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4" sheetId="1" r:id="rId1"/>
  </sheets>
  <definedNames>
    <definedName name="_xlnm.Print_Titles" localSheetId="0">BO_EM0004!$1:$6</definedName>
  </definedNames>
  <calcPr calcId="145621"/>
</workbook>
</file>

<file path=xl/sharedStrings.xml><?xml version="1.0" encoding="utf-8"?>
<sst xmlns="http://schemas.openxmlformats.org/spreadsheetml/2006/main" count="5605" uniqueCount="1452">
  <si>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</si>
  <si>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sb="0" eb="1">
      <t>トウ</t>
    </rPh>
    <rPh sb="2" eb="3">
      <t>シン</t>
    </rPh>
    <rPh sb="4" eb="5">
      <t>トウ</t>
    </rPh>
    <rPh sb="6" eb="7">
      <t>ソウ</t>
    </rPh>
    <rPh sb="8" eb="9">
      <t>バ</t>
    </rPh>
    <rPh sb="10" eb="11">
      <t>ヒョウ</t>
    </rPh>
    <phoneticPr fontId="3"/>
  </si>
  <si>
    <t>Investment Trust Quotations</t>
    <phoneticPr fontId="3"/>
  </si>
  <si>
    <t>年月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</si>
  <si>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</si>
  <si>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</si>
  <si>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</si>
  <si>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</si>
  <si>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</si>
  <si>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sb="0" eb="2">
      <t>ヒヅケ</t>
    </rPh>
    <phoneticPr fontId="3"/>
  </si>
  <si>
    <t>区分</t>
  </si>
  <si>
    <t>信用・貸借</t>
    <rPh sb="0" eb="2">
      <t>シンヨウ</t>
    </rPh>
    <rPh sb="3" eb="5">
      <t>タイシャク</t>
    </rPh>
    <phoneticPr fontId="3"/>
  </si>
  <si>
    <t>売買単位</t>
    <rPh sb="0" eb="2">
      <t>バイバイ</t>
    </rPh>
    <rPh sb="2" eb="4">
      <t>タンイ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</si>
  <si>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</si>
  <si>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</si>
  <si>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</si>
  <si>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</si>
  <si>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</si>
  <si>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売買高</t>
    <rPh sb="0" eb="3">
      <t>バイバイダカ</t>
    </rPh>
    <phoneticPr fontId="3"/>
  </si>
  <si>
    <t>うちToSTNeT売買高</t>
  </si>
  <si>
    <t>売買代金</t>
    <rPh sb="0" eb="2">
      <t>バイバイ</t>
    </rPh>
    <rPh sb="2" eb="4">
      <t>ダイキン</t>
    </rPh>
    <phoneticPr fontId="3"/>
  </si>
  <si>
    <t>うちToSTNeT売買代金</t>
  </si>
  <si>
    <t>値付日数</t>
    <rPh sb="0" eb="2">
      <t>ネツ</t>
    </rPh>
    <rPh sb="2" eb="4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</si>
  <si>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</si>
  <si>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</si>
  <si>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</si>
  <si>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</si>
  <si>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</si>
  <si>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</si>
  <si>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</si>
  <si>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</si>
  <si>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</si>
  <si>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</si>
  <si>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</si>
  <si>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</si>
  <si>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</si>
  <si>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</si>
  <si>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</si>
  <si>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</si>
  <si>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</si>
  <si>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</si>
  <si>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</si>
  <si>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2025/08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</si>
  <si>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</si>
  <si>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</si>
  <si>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</si>
  <si>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</si>
  <si>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</si>
  <si>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1</t>
  </si>
  <si>
    <t>18</t>
  </si>
  <si>
    <t>4</t>
  </si>
  <si>
    <t>29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</si>
  <si>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</si>
  <si>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</si>
  <si>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</si>
  <si>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</si>
  <si>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</si>
  <si>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Listed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</si>
  <si>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</si>
  <si>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</si>
  <si>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</si>
  <si>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1311</t>
  </si>
  <si>
    <t>ＮＥＸＴ　ＦＵＮＤＳ　ＴＯＰＩＸ　Ｃｏｒｅ　３０連動型上場投信　受益証券</t>
  </si>
  <si>
    <t>NEXT FUNDS TOPIX Core 30 Exchange Traded Fund</t>
  </si>
  <si>
    <t>19</t>
  </si>
  <si>
    <t>1319</t>
  </si>
  <si>
    <t>ＮＥＸＴ　ＦＵＮＤＳ　日経３００株価指数連動型上場投信　受益証券</t>
  </si>
  <si>
    <t>NEXT FUNDS Nikkei 300 Index Exchange Traded Fund</t>
  </si>
  <si>
    <t>1320</t>
  </si>
  <si>
    <t>ｉＦｒｅｅＥＴＦ　日経２２５（年１回決算型）　受益証券</t>
  </si>
  <si>
    <t>iFreeETF Nikkei225 (Yearly Dividend Type)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</si>
  <si>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</si>
  <si>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</si>
  <si>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</si>
  <si>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</si>
  <si>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</si>
  <si>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</si>
  <si>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27</t>
  </si>
  <si>
    <t>1325</t>
  </si>
  <si>
    <t>ＮＥＸＴ　ＦＵＮＤＳ　ブラジル株式指数・ボベスパ連動型上場投信　受益証券</t>
  </si>
  <si>
    <t>NEXT FUNDS Ibovespa Linked Exchange Traded Fund</t>
  </si>
  <si>
    <t>28</t>
  </si>
  <si>
    <t>5</t>
  </si>
  <si>
    <t>1326</t>
  </si>
  <si>
    <t>ＳＰＤＲゴールド・シェア　受益証券</t>
  </si>
  <si>
    <t>SPDR Gold Shares</t>
  </si>
  <si>
    <t>20</t>
  </si>
  <si>
    <t>1328</t>
  </si>
  <si>
    <t>ＮＥＸＴ　ＦＵＮＤＳ　金価格連動型上場投信　受益証券</t>
  </si>
  <si>
    <t>NEXT FUNDS Gold Price Exchange Traded Fund</t>
  </si>
  <si>
    <t>8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</si>
  <si>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</si>
  <si>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</si>
  <si>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</si>
  <si>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</si>
  <si>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</si>
  <si>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Listed Index Fund 225</t>
  </si>
  <si>
    <t>133A</t>
  </si>
  <si>
    <t>グローバルＸ　超短期米国債　ＥＴＦ　受益証券</t>
  </si>
  <si>
    <t>Global X Ultra Short-Term T-Bill ETF</t>
  </si>
  <si>
    <t>14</t>
  </si>
  <si>
    <t>1343</t>
  </si>
  <si>
    <t>ＮＥＸＴ　ＦＵＮＤＳ　東証ＲＥＩＴ　指数連動型上場投信　受益証券</t>
  </si>
  <si>
    <t>NEXT FUNDS REIT INDEX ETF</t>
  </si>
  <si>
    <t>1345</t>
  </si>
  <si>
    <t>上場インデックスファンドＪリート（東証ＲＥＩＴ指数）隔月分配型　受益証券</t>
  </si>
  <si>
    <t>Listed Index Fund J-REIT (Tokyo Stock Exchange REIT Index)Bi-Monthly Dividend Payment Type</t>
  </si>
  <si>
    <t>1346</t>
  </si>
  <si>
    <t>ＭＡＸＩＳ　日経２２５上場投信　受益証券</t>
  </si>
  <si>
    <t>MAXIS NIKKEI 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</si>
  <si>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</si>
  <si>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</si>
  <si>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</si>
  <si>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</si>
  <si>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</si>
  <si>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</si>
  <si>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6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</si>
  <si>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</si>
  <si>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</si>
  <si>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</si>
  <si>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</si>
  <si>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</si>
  <si>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Exchange Traded Fund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</si>
  <si>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</si>
  <si>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</si>
  <si>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</si>
  <si>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</si>
  <si>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</si>
  <si>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</si>
  <si>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</si>
  <si>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</si>
  <si>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</si>
  <si>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</si>
  <si>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</si>
  <si>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</si>
  <si>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</si>
  <si>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</si>
  <si>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</si>
  <si>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</si>
  <si>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</si>
  <si>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</si>
  <si>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</si>
  <si>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</si>
  <si>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</si>
  <si>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</si>
  <si>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</si>
  <si>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</si>
  <si>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</si>
  <si>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</si>
  <si>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</si>
  <si>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</si>
  <si>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</si>
  <si>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</si>
  <si>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</si>
  <si>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</si>
  <si>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</si>
  <si>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26</t>
  </si>
  <si>
    <t>140A</t>
  </si>
  <si>
    <t>ｉＦｒｅｅＥＴＦ　米国１０年国債先物インバース　受益証券</t>
  </si>
  <si>
    <t>iFreeETF 10-Year U.S. Treasury Note Futures Inverse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</si>
  <si>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</si>
  <si>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</si>
  <si>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</si>
  <si>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</si>
  <si>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</si>
  <si>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</si>
  <si>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</si>
  <si>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</si>
  <si>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</si>
  <si>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</si>
  <si>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</si>
  <si>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</si>
  <si>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1466</t>
  </si>
  <si>
    <t>ｉＦｒｅｅＥＴＦ　ＪＰＸ日経４００ダブルインバース・インデックス　受益証券</t>
  </si>
  <si>
    <t>iFreeETF JPX-Nikkei400 Double Inverse (-2x) Index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</si>
  <si>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</si>
  <si>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</si>
  <si>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</si>
  <si>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</si>
  <si>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</si>
  <si>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</si>
  <si>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</si>
  <si>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</si>
  <si>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</si>
  <si>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</si>
  <si>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</si>
  <si>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</si>
  <si>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</si>
  <si>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</si>
  <si>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</si>
  <si>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</si>
  <si>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</si>
  <si>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</si>
  <si>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</si>
  <si>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</si>
  <si>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</si>
  <si>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</si>
  <si>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</si>
  <si>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</si>
  <si>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25</t>
  </si>
  <si>
    <t>1479</t>
  </si>
  <si>
    <t>ｉＦｒｅｅＥＴＦ　ＭＳＣＩ日本株人材設備投資指数　受益証券</t>
  </si>
  <si>
    <t>iFreeETF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</si>
  <si>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</si>
  <si>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</si>
  <si>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</si>
  <si>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</si>
  <si>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</si>
  <si>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</si>
  <si>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</si>
  <si>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</si>
  <si>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</si>
  <si>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</si>
  <si>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</si>
  <si>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</si>
  <si>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</si>
  <si>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</si>
  <si>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</si>
  <si>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</si>
  <si>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</si>
  <si>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</si>
  <si>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13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</si>
  <si>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</si>
  <si>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</si>
  <si>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</si>
  <si>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</si>
  <si>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</si>
  <si>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</si>
  <si>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</si>
  <si>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ｉＦｒｅｅＥＴＦ　東証ＲＥＩＴ指数　受益証券</t>
  </si>
  <si>
    <t>iFreeETF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</si>
  <si>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</si>
  <si>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</si>
  <si>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</si>
  <si>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</si>
  <si>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</si>
  <si>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</si>
  <si>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</si>
  <si>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</si>
  <si>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</si>
  <si>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</si>
  <si>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</si>
  <si>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</si>
  <si>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</si>
  <si>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</si>
  <si>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</si>
  <si>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</si>
  <si>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</si>
  <si>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</si>
  <si>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</si>
  <si>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</si>
  <si>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</si>
  <si>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</si>
  <si>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</si>
  <si>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</si>
  <si>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</si>
  <si>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</si>
  <si>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</si>
  <si>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</si>
  <si>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</si>
  <si>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</si>
  <si>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</si>
  <si>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</si>
  <si>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</si>
  <si>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</si>
  <si>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</si>
  <si>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</si>
  <si>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</si>
  <si>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</si>
  <si>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</si>
  <si>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</si>
  <si>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</si>
  <si>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</si>
  <si>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</si>
  <si>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</si>
  <si>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</si>
  <si>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</si>
  <si>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</si>
  <si>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</si>
  <si>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</si>
  <si>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</si>
  <si>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</si>
  <si>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</t>
  </si>
  <si>
    <t>1551</t>
  </si>
  <si>
    <t>東証スタンダードＴＯＰ２０ＥＴＦ　受益証券</t>
  </si>
  <si>
    <t>TSE Standard Top 20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</si>
  <si>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</si>
  <si>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</si>
  <si>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</si>
  <si>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</si>
  <si>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Ａ－ＲＥＩＴ）　受益証券</t>
  </si>
  <si>
    <t>Listed Index Fund Australian REIT (S&amp;P/ASX200 A-REIT)</t>
  </si>
  <si>
    <t>21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</si>
  <si>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</si>
  <si>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</si>
  <si>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</si>
  <si>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</si>
  <si>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</si>
  <si>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</si>
  <si>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</si>
  <si>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</si>
  <si>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</si>
  <si>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22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</si>
  <si>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</si>
  <si>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</si>
  <si>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</si>
  <si>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</si>
  <si>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</si>
  <si>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</si>
  <si>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</si>
  <si>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</si>
  <si>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</si>
  <si>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</si>
  <si>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</si>
  <si>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</si>
  <si>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</si>
  <si>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</si>
  <si>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</si>
  <si>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</si>
  <si>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</si>
  <si>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</si>
  <si>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</si>
  <si>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</si>
  <si>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</si>
  <si>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</si>
  <si>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</si>
  <si>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</si>
  <si>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</si>
  <si>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</si>
  <si>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Exchange Traded Fund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</si>
  <si>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</si>
  <si>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</si>
  <si>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</si>
  <si>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</si>
  <si>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</si>
  <si>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</si>
  <si>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</si>
  <si>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</si>
  <si>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</si>
  <si>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</si>
  <si>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</si>
  <si>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</si>
  <si>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</si>
  <si>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</si>
  <si>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</si>
  <si>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</si>
  <si>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</si>
  <si>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</si>
  <si>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</si>
  <si>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</si>
  <si>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</si>
  <si>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</si>
  <si>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</si>
  <si>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</si>
  <si>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</si>
  <si>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</si>
  <si>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</si>
  <si>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</si>
  <si>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</si>
  <si>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</si>
  <si>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</si>
  <si>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</si>
  <si>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</si>
  <si>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</si>
  <si>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</si>
  <si>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</si>
  <si>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159A</t>
  </si>
  <si>
    <t>ＮＥＸＴ　ＦＵＮＤＳ　ＪＰＸプライム１５０指数連動型上場投信　受益証券</t>
  </si>
  <si>
    <t>NEXT FUNDS JPX Prime 150 Index Exchange Traded Fund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</si>
  <si>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</si>
  <si>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</si>
  <si>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</si>
  <si>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</si>
  <si>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</si>
  <si>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</si>
  <si>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</si>
  <si>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</si>
  <si>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</si>
  <si>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</si>
  <si>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</si>
  <si>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</si>
  <si>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</si>
  <si>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</si>
  <si>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</si>
  <si>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</si>
  <si>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</si>
  <si>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</si>
  <si>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</si>
  <si>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</si>
  <si>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</si>
  <si>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</si>
  <si>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</si>
  <si>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</si>
  <si>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</si>
  <si>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</si>
  <si>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</si>
  <si>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</si>
  <si>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</si>
  <si>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</si>
  <si>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</si>
  <si>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</si>
  <si>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</si>
  <si>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</si>
  <si>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</si>
  <si>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</si>
  <si>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</si>
  <si>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</si>
  <si>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</si>
  <si>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</si>
  <si>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</si>
  <si>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</si>
  <si>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162A</t>
  </si>
  <si>
    <t>ＡＩセレクトメガトレンド　日本株（ネットリターン）ＥＴＮ　受益証券</t>
  </si>
  <si>
    <t>AI Select Megatrend Japan Equity Net Return ETN</t>
  </si>
  <si>
    <t>信用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</si>
  <si>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</si>
  <si>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</si>
  <si>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</si>
  <si>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</si>
  <si>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</si>
  <si>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</si>
  <si>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</si>
  <si>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</si>
  <si>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</si>
  <si>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</si>
  <si>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</si>
  <si>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</si>
  <si>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163A</t>
  </si>
  <si>
    <t>半導体フォーカス　日本株（ネットリターン）ＥＴＮ　受益証券</t>
  </si>
  <si>
    <t>Semiconductor Focus Japan Equity Net Return ETN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</si>
  <si>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</si>
  <si>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</si>
  <si>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</si>
  <si>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</si>
  <si>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</si>
  <si>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</si>
  <si>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</si>
  <si>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</si>
  <si>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</si>
  <si>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</si>
  <si>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Ｂｌｏｓｓｏｍ　Ｊａｐａｎ　Ｉｎｄｅｘ　受益証券</t>
  </si>
  <si>
    <t>iFreeETF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</si>
  <si>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</si>
  <si>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</si>
  <si>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</si>
  <si>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</si>
  <si>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</si>
  <si>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</si>
  <si>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</si>
  <si>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</si>
  <si>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</si>
  <si>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</si>
  <si>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</si>
  <si>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</si>
  <si>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7</t>
  </si>
  <si>
    <t>1659</t>
  </si>
  <si>
    <t>ｉシェアーズ　米国リート　ＥＴＦ　受益証券</t>
  </si>
  <si>
    <t>iShares US REIT ETF</t>
  </si>
  <si>
    <t>12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</si>
  <si>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</si>
  <si>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</si>
  <si>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</si>
  <si>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</si>
  <si>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</si>
  <si>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</si>
  <si>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</si>
  <si>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</si>
  <si>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</si>
  <si>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</si>
  <si>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</si>
  <si>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</si>
  <si>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</si>
  <si>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</si>
  <si>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</si>
  <si>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</si>
  <si>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</si>
  <si>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</si>
  <si>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</si>
  <si>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</si>
  <si>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</si>
  <si>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</si>
  <si>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</si>
  <si>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</si>
  <si>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</si>
  <si>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　連動型上場投信　受益証券</t>
  </si>
  <si>
    <t>NEXT FUNDS Nifty 50 Linked Exchange Traded Fund</t>
  </si>
  <si>
    <t>1679</t>
  </si>
  <si>
    <t>Ｓｉｍｐｌｅ－Ｘ　ＮＹ　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</si>
  <si>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</si>
  <si>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</si>
  <si>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</si>
  <si>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 (MSCI-KOKUSAI)</t>
  </si>
  <si>
    <t>1681</t>
  </si>
  <si>
    <t>上場インデックスファンド海外新興国株式（ＭＳＣＩ　エマージング）　受益証券</t>
  </si>
  <si>
    <t>Listed Index Fund International Emerging Countries Equity (MSCI EMERGING)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</si>
  <si>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</si>
  <si>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</si>
  <si>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</si>
  <si>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</si>
  <si>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</si>
  <si>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</si>
  <si>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</si>
  <si>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</si>
  <si>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</si>
  <si>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</si>
  <si>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</si>
  <si>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</si>
  <si>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</si>
  <si>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</si>
  <si>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</si>
  <si>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</si>
  <si>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</si>
  <si>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</si>
  <si>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</si>
  <si>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</si>
  <si>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</si>
  <si>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</si>
  <si>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</si>
  <si>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</si>
  <si>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</si>
  <si>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</si>
  <si>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</si>
  <si>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</si>
  <si>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</si>
  <si>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</si>
  <si>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</si>
  <si>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</si>
  <si>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</si>
  <si>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</si>
  <si>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</si>
  <si>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</si>
  <si>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</si>
  <si>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</si>
  <si>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</si>
  <si>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</si>
  <si>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</si>
  <si>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</si>
  <si>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</si>
  <si>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</si>
  <si>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 (TSE Dividend Focus 100)</t>
  </si>
  <si>
    <t>1699</t>
  </si>
  <si>
    <t>ＮＥＸＴ　ＦＵＮＤＳ　ＮＯＭＵＲＡ　原油インデックス連動型上場投信　受益証券</t>
  </si>
  <si>
    <t>NEXT FUNDS NOMURA Crude Oil Long Index Linked Exchange Traded Fund</t>
  </si>
  <si>
    <t>170A</t>
  </si>
  <si>
    <t>ＳＭＴ　ＥＴＦ日本好配当株アクティブ　受益証券</t>
  </si>
  <si>
    <t>SMT ETF Japan Equity Income Strategy Active</t>
  </si>
  <si>
    <t>178A</t>
  </si>
  <si>
    <t>グローバルＸ　革新的優良企業　ＥＴＦ　受益証券</t>
  </si>
  <si>
    <t>Global X Innovative Bluechip Top 10+ ETF</t>
  </si>
  <si>
    <t>179A</t>
  </si>
  <si>
    <t>グローバルＸ　超長期米国債　ＥＴＦ（為替ヘッジあり）　受益証券</t>
  </si>
  <si>
    <t>Global X 25+ Year T-Bond ETF (JPY Hedged)</t>
  </si>
  <si>
    <t>180A</t>
  </si>
  <si>
    <t>グローバルＸ　超長期米国債　ＥＴＦ　受益証券</t>
  </si>
  <si>
    <t>Global X 25+ Year T-Bond ETF</t>
  </si>
  <si>
    <t>181A</t>
  </si>
  <si>
    <t>ＭＡＸＩＳ米国国債１－３年上場投信（為替ヘッジなし）　受益証券</t>
  </si>
  <si>
    <t>MAXIS US Treasury Bond 1-3 Year ETF (Unhedged)</t>
  </si>
  <si>
    <t>182A</t>
  </si>
  <si>
    <t>ＭＡＸＩＳ米国国債２０年超上場投信（為替ヘッジなし）　受益証券</t>
  </si>
  <si>
    <t>MAXIS US Treasury Bond 20+ Year ETF (Unhedged)</t>
  </si>
  <si>
    <t>183A</t>
  </si>
  <si>
    <t>ＭＡＸＩＳ米国国債２０年超上場投信（為替ヘッジあり）　受益証券</t>
  </si>
  <si>
    <t>MAXIS US Treasury Bond 20+ Year ETF (JPY Hedged)</t>
  </si>
  <si>
    <t>188A</t>
  </si>
  <si>
    <t>グローバルＸ　インド・トップ１０＋　ＥＴＦ　受益証券</t>
  </si>
  <si>
    <t>Global X India Top 10+ ETF</t>
  </si>
  <si>
    <t>200A</t>
  </si>
  <si>
    <t>ＮＥＸＴ　ＦＵＮＤＳ　日経半導体株指数連動型上場投信　受益証券</t>
  </si>
  <si>
    <t>NEXT FUNDS Nikkei Semiconductor Stock Index Exchange Traded Fund</t>
  </si>
  <si>
    <t>2011</t>
  </si>
  <si>
    <t>ＳＭＤＡＭ　Ａｃｔｉｖｅ　ＥＴＦ　日本高配当株式　受益証券</t>
  </si>
  <si>
    <t>SMDAM Active ETF Japan High Dividend Equity</t>
  </si>
  <si>
    <t>2012</t>
  </si>
  <si>
    <t>ｉシェアーズ　米国債０－３ヶ月　ＥＴＦ　受益証券</t>
  </si>
  <si>
    <t>iShares 0-3 Month US Treasury Bond ETF</t>
  </si>
  <si>
    <t>2013</t>
  </si>
  <si>
    <t>ｉシェアーズ　米国高配当株　ＥＴＦ　受益証券</t>
  </si>
  <si>
    <t>iShares US High Dividend ETF</t>
  </si>
  <si>
    <t>2014</t>
  </si>
  <si>
    <t>ｉシェアーズ　米国連続増配株　ＥＴＦ　受益証券</t>
  </si>
  <si>
    <t>iShares US Dividend Growth ETF</t>
  </si>
  <si>
    <t>2015</t>
  </si>
  <si>
    <t>ｉＦｒｅｅＥＴＦ　米国国債７－１０年（為替ヘッジなし）　受益証券</t>
  </si>
  <si>
    <t>iFreeETF US Treasury Bond 7-10 Year (NON HEDGED)</t>
  </si>
  <si>
    <t>2016</t>
  </si>
  <si>
    <t>ｉＦｒｅｅＥＴＦ　米国国債７－１０年（為替ヘッジあり）　受益証券</t>
  </si>
  <si>
    <t>iFreeETF US Treasury Bond 7-10 Year (JPY HEDGED)</t>
  </si>
  <si>
    <t>2017</t>
  </si>
  <si>
    <t>ｉＦｒｅｅＥＴＦ　ＪＰＸプライム１５０　受益証券</t>
  </si>
  <si>
    <t>iFreeETF JPX Prime 150</t>
  </si>
  <si>
    <t>2018</t>
  </si>
  <si>
    <t>グローバルＸ　ＵＳ　ＲＥＩＴ・トップ２０　ＥＴＦ　受益証券</t>
  </si>
  <si>
    <t>Global X US REIT Top 20 ETF</t>
  </si>
  <si>
    <t>2019</t>
  </si>
  <si>
    <t>グローバルＸ　米国優先証券　ＥＴＦ（隔月分配型）　受益証券</t>
  </si>
  <si>
    <t>Global X U.S. Preferred Security ETF (Bi-monthly dividend type)</t>
  </si>
  <si>
    <t>201A</t>
  </si>
  <si>
    <t>ｉシェアーズ　Ｎｉｆｔｙ　５０　インド株　ＥＴＦ　受益証券</t>
  </si>
  <si>
    <t>iShares Nifty 50 ETF</t>
  </si>
  <si>
    <t>2031</t>
  </si>
  <si>
    <t>ＮＥＸＴ　ＮＯＴＥＳ　香港ハンセン・ダブル・ブル　ＥＴＮ　受益証券</t>
  </si>
  <si>
    <t>NEXT NOTES HSI Leveraged ETN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</si>
  <si>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</si>
  <si>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</si>
  <si>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</si>
  <si>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</si>
  <si>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</si>
  <si>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</si>
  <si>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</si>
  <si>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</si>
  <si>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</si>
  <si>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</si>
  <si>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</si>
  <si>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</si>
  <si>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</si>
  <si>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</si>
  <si>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</si>
  <si>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</si>
  <si>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</si>
  <si>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</si>
  <si>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</si>
  <si>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</si>
  <si>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</si>
  <si>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</si>
  <si>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</si>
  <si>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</si>
  <si>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</si>
  <si>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</si>
  <si>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</si>
  <si>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</si>
  <si>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東証グロース市場２５０　ＥＴＮ　受益証券</t>
  </si>
  <si>
    <t>NEXT NOTES Tokyo Stock Exchange Growth Market 250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</si>
  <si>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</si>
  <si>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</si>
  <si>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</si>
  <si>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</si>
  <si>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</si>
  <si>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</si>
  <si>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</si>
  <si>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</si>
  <si>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</si>
  <si>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</si>
  <si>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</si>
  <si>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</si>
  <si>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</si>
  <si>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</si>
  <si>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</si>
  <si>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</si>
  <si>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</si>
  <si>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</si>
  <si>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</si>
  <si>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</si>
  <si>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</si>
  <si>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</si>
  <si>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</si>
  <si>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</si>
  <si>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</si>
  <si>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</si>
  <si>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</si>
  <si>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</si>
  <si>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</si>
  <si>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</si>
  <si>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</si>
  <si>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</si>
  <si>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</si>
  <si>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</si>
  <si>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</si>
  <si>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</si>
  <si>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</si>
  <si>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</si>
  <si>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</si>
  <si>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</si>
  <si>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</si>
  <si>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</si>
  <si>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</si>
  <si>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</si>
  <si>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</si>
  <si>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</si>
  <si>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</si>
  <si>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</si>
  <si>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2080</t>
  </si>
  <si>
    <t>ＰＢＲ１倍割れ解消推進ＥＴＦ　受益証券</t>
  </si>
  <si>
    <t>PBR Improvement over 1x ETF</t>
  </si>
  <si>
    <t>2081</t>
  </si>
  <si>
    <t>政策保有解消推進ＥＴＦ　受益証券</t>
  </si>
  <si>
    <t>Strategic Shareholding Disposal Promotion ETF</t>
  </si>
  <si>
    <t>2082</t>
  </si>
  <si>
    <t>投資家経営者一心同体ＥＴＦ　受益証券</t>
  </si>
  <si>
    <t>Investor-Management Unite as One ETF</t>
  </si>
  <si>
    <t>2083</t>
  </si>
  <si>
    <t>ＮＥＸＴ　ＦＵＮＤＳ　日本成長株アクティブ上場投信　受益証券</t>
  </si>
  <si>
    <t>NEXT FUNDS Japan Growth Equity Active Exchange Traded Fund</t>
  </si>
  <si>
    <t>2084</t>
  </si>
  <si>
    <t>ＮＥＸＴ　ＦＵＮＤＳ　日本高配当株アクティブ上場投信　受益証券</t>
  </si>
  <si>
    <t>NEXT FUNDS Japan High Dividend Equity Active Exchange Traded Fund</t>
  </si>
  <si>
    <t>2085</t>
  </si>
  <si>
    <t>ＭＡＸＩＳ高配当日本株アクティブ上場投信　受益証券</t>
  </si>
  <si>
    <t>MAXIS High Dividend Japan Equity Actively Managed ETF</t>
  </si>
  <si>
    <t>2086</t>
  </si>
  <si>
    <t>ＮＺＡＭ　上場投信　Ｓ＆Ｐ５００（為替ヘッジあり）　受益証券</t>
  </si>
  <si>
    <t>NZAM ETF S&amp;P500 (JPY Hedged)</t>
  </si>
  <si>
    <t>2087</t>
  </si>
  <si>
    <t>ＮＺＡＭ　上場投信　ＮＡＳＤＡＱ１００（為替ヘッジあり）　受益証券</t>
  </si>
  <si>
    <t>NZAM ETF NASDAQ100 (JPY Hedged)</t>
  </si>
  <si>
    <t>2088</t>
  </si>
  <si>
    <t>ＮＺＡＭ　上場投信　ＮＹダウ３０（為替ヘッジあり）　受益証券</t>
  </si>
  <si>
    <t>NZAM ETF NY Dow30 (JPY Hedged)</t>
  </si>
  <si>
    <t>2089</t>
  </si>
  <si>
    <t>ＮＺＡＭ　上場投信　ＤＡＸ（為替ヘッジあり）　受益証券</t>
  </si>
  <si>
    <t>NZAM ETF DAX (JPY Hedged)</t>
  </si>
  <si>
    <t>2090</t>
  </si>
  <si>
    <t>ＮＺＡＭ　上場投信　米国国債７－１０年（為替ヘッジあり）　受益証券</t>
  </si>
  <si>
    <t>NZAM ETF US Treasury 7-10Y (JPY Hedged)</t>
  </si>
  <si>
    <t>2091</t>
  </si>
  <si>
    <t>ＮＺＡＭ　上場投信　ドイツ国債７－１０年（為替ヘッジあり）　受益証券</t>
  </si>
  <si>
    <t>NZAM ETF German Government Bond 7-10Y (JPY Hedged)</t>
  </si>
  <si>
    <t>2092</t>
  </si>
  <si>
    <t>ＮＺＡＭ　上場投信　フランス国債７－１０年（為替ヘッジあり）　受益証券</t>
  </si>
  <si>
    <t>NZAM ETF France Government Bond 7-10Y (JPY Hedged)</t>
  </si>
  <si>
    <t>2093</t>
  </si>
  <si>
    <t>上場Ｔｒａｃｅｒｓ　米国債０－２年ラダー（為替ヘッジなし）　受益証券</t>
  </si>
  <si>
    <t>Listed Tracers US Government Bond 0-2years Ladder (No Currency Hedge)</t>
  </si>
  <si>
    <t>2094</t>
  </si>
  <si>
    <t>東証ＲＥＩＴインバースＥＴＦ　受益証券</t>
  </si>
  <si>
    <t>TSE REIT Inverse ETF</t>
  </si>
  <si>
    <t>2095</t>
  </si>
  <si>
    <t>グローバルＸ　Ｓ＆Ｐ５００配当貴族　ＥＴＦ（為替ヘッジあり）　受益証券</t>
  </si>
  <si>
    <t>Global X S&amp;P 500 Dividend Aristocrats ETF (JPY Hedged)</t>
  </si>
  <si>
    <t>2096</t>
  </si>
  <si>
    <t>グローバルＸ　オフィス・Ｊ－ＲＥＩＴ　ＥＴＦ　受益証券</t>
  </si>
  <si>
    <t>Global X Office J-REIT ETF</t>
  </si>
  <si>
    <t>2097</t>
  </si>
  <si>
    <t>グローバルＸ　レジデンシャル・Ｊ－ＲＥＩＴ　ＥＴＦ　受益証券</t>
  </si>
  <si>
    <t>Global X Residential J-REIT ETF</t>
  </si>
  <si>
    <t>2098</t>
  </si>
  <si>
    <t>グローバルＸ　ホテル＆リテール・Ｊ－ＲＥＩＴ　ＥＴＦ　受益証券</t>
  </si>
  <si>
    <t>Global X Hotel &amp; Retail J-REIT ETF</t>
  </si>
  <si>
    <t>210A</t>
  </si>
  <si>
    <t>ｉＦｒｅｅＥＴＦ　日経高利回りＲＥＩＴ指数　受益証券</t>
  </si>
  <si>
    <t>iFreeETF Nikkei High Yield REIT Index</t>
  </si>
  <si>
    <t>213A</t>
  </si>
  <si>
    <t>上場インデックスファンド日経半導体株　受益証券</t>
  </si>
  <si>
    <t>Listed Index Fund Nikkei Semiconductor Stock</t>
  </si>
  <si>
    <t>221A</t>
  </si>
  <si>
    <t>ＭＡＸＩＳ日経半導体株上場投信　受益証券</t>
  </si>
  <si>
    <t>MAXIS Nikkei Semiconductor Stock (Japan) ETF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</si>
  <si>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</si>
  <si>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</si>
  <si>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</si>
  <si>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</si>
  <si>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</si>
  <si>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</si>
  <si>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</si>
  <si>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</si>
  <si>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</si>
  <si>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</si>
  <si>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</si>
  <si>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</si>
  <si>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</si>
  <si>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</si>
  <si>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</si>
  <si>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223A</t>
  </si>
  <si>
    <t>グローバルＸ　ＡＩ＆ビッグデータ　ＥＴＦ　受益証券</t>
  </si>
  <si>
    <t>Global X Artificial Intelligence &amp; Technology ETF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</si>
  <si>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</si>
  <si>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</si>
  <si>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</si>
  <si>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</si>
  <si>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</si>
  <si>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</si>
  <si>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</si>
  <si>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</si>
  <si>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</si>
  <si>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</si>
  <si>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</si>
  <si>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</si>
  <si>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</si>
  <si>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</si>
  <si>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</si>
  <si>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</si>
  <si>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</si>
  <si>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</si>
  <si>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</si>
  <si>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</si>
  <si>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</si>
  <si>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2247</t>
  </si>
  <si>
    <t>ｉＦｒｅｅＥＴＦ　Ｓ＆Ｐ５００（為替ヘッジなし）　受益証券</t>
  </si>
  <si>
    <t>iFreeETF S&amp;P500 (NON HEDGED)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</si>
  <si>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</si>
  <si>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</si>
  <si>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</si>
  <si>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</si>
  <si>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</si>
  <si>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</si>
  <si>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224A</t>
  </si>
  <si>
    <t>グローバルＸ　ウラニウムビジネス　ＥＴＦ　受益証券</t>
  </si>
  <si>
    <t>Global X Uranium ETF</t>
  </si>
  <si>
    <t>2250</t>
  </si>
  <si>
    <t>ｉシェアーズ　ＭＳＣＩ　ジャパン気候変動アクション　ＥＴＦ　受益証券</t>
  </si>
  <si>
    <t>iShares MSCI Japan Climate Action ETF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</si>
  <si>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</si>
  <si>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</si>
  <si>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</si>
  <si>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>2252</t>
  </si>
  <si>
    <t>グローバルＸ　Ｍｏｒｎｉｎｇｓｔａｒ　米国中小型　Ｍｏａｔ　ＥＴＦ　受益証券</t>
  </si>
  <si>
    <t>Global X Morningstar US Small Mid Moat ETF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</si>
  <si>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</si>
  <si>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</si>
  <si>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</si>
  <si>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</si>
  <si>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</si>
  <si>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</si>
  <si>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2255</t>
  </si>
  <si>
    <t>ｉシェアーズ　米国債２０年超　ＥＴＦ　受益証券</t>
  </si>
  <si>
    <t>iShares 20+ Year US Treasury Bond ETF</t>
  </si>
  <si>
    <t>2256</t>
  </si>
  <si>
    <t>ｉシェアーズ　米国総合債券　ＥＴＦ　受益証券</t>
  </si>
  <si>
    <t>iShares US Aggregate Bond ETF</t>
  </si>
  <si>
    <t>2257</t>
  </si>
  <si>
    <t>ｉシェアーズ　米ドル建て投資適格社債　ＥＴＦ　受益証券</t>
  </si>
  <si>
    <t>iShares USD Investment Grade Corporate Bond ETF</t>
  </si>
  <si>
    <t>2258</t>
  </si>
  <si>
    <t>ｉシェアーズ　米ドル建てハイイールド社債　ＥＴＦ　受益証券</t>
  </si>
  <si>
    <t>iShares USD High Yield Corporate Bond ETF</t>
  </si>
  <si>
    <t>2259</t>
  </si>
  <si>
    <t>ｉシェアーズ　フランス国債７－１０年　ＥＴＦ（為替ヘッジあり）　受益証券</t>
  </si>
  <si>
    <t>iShares 7-10 Year France Government Bond JPY Hedged ETF</t>
  </si>
  <si>
    <t>233A</t>
  </si>
  <si>
    <t>ｉＦｒｅｅＥＴＦ　インドＮｉｆｔｙ５０　受益証券</t>
  </si>
  <si>
    <t>iFreeETF Nifty50</t>
  </si>
  <si>
    <t>234A</t>
  </si>
  <si>
    <t>グローバルＸ　ＭＳＣＩ　キャッシュフローキング－日本株式　ＥＴＦ　受益証券</t>
  </si>
  <si>
    <t>Global X MSCI Japan Cash Flow Kings ETF</t>
  </si>
  <si>
    <t>235A</t>
  </si>
  <si>
    <t>グローバルＸ　高配当３０－日本株式　ＥＴＦ　受益証券</t>
  </si>
  <si>
    <t>Global X Japan High Dividend 30 ETF</t>
  </si>
  <si>
    <t>236A</t>
  </si>
  <si>
    <t>ｉシェアーズ　日本国債７－１０年　ＥＴＦ　受益証券</t>
  </si>
  <si>
    <t>iShares 7-10 Year Japan Government Bond ETF</t>
  </si>
  <si>
    <t>237A</t>
  </si>
  <si>
    <t>ｉシェアーズ　米国債２５年超　ロングデュレーション　ＥＴＦ　受益証券</t>
  </si>
  <si>
    <t>iShares 25+ Year US Treasury Bond Long Duration ETF</t>
  </si>
  <si>
    <t>238A</t>
  </si>
  <si>
    <t>ｉシェアーズ　米国債２５年超　ロングデュレーション　ＥＴＦ（為替ヘッジあり）　受益証券</t>
  </si>
  <si>
    <t>iShares 25+ Year US Treasury Bond Long Duration JPY Hedged ETF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</si>
  <si>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</si>
  <si>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</si>
  <si>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</si>
  <si>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</si>
  <si>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</si>
  <si>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</si>
  <si>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</si>
  <si>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</si>
  <si>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</si>
  <si>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</si>
  <si>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</si>
  <si>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</si>
  <si>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</si>
  <si>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</si>
  <si>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</si>
  <si>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</si>
  <si>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</si>
  <si>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</si>
  <si>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</si>
  <si>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東証グロース２５０ＥＴＦ　受益証券</t>
  </si>
  <si>
    <t>TSE Growth 250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</si>
  <si>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</si>
  <si>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</si>
  <si>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</si>
  <si>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</si>
  <si>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</si>
  <si>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</si>
  <si>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</si>
  <si>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</si>
  <si>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</si>
  <si>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</si>
  <si>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</si>
  <si>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</si>
  <si>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</si>
  <si>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</si>
  <si>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</si>
  <si>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</si>
  <si>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</si>
  <si>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</si>
  <si>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</si>
  <si>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</si>
  <si>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</si>
  <si>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</si>
  <si>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</si>
  <si>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</si>
  <si>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</si>
  <si>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</si>
  <si>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</si>
  <si>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</si>
  <si>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</si>
  <si>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</si>
  <si>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</si>
  <si>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</si>
  <si>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</si>
  <si>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</si>
  <si>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</si>
  <si>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</si>
  <si>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</si>
  <si>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</si>
  <si>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</si>
  <si>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</si>
  <si>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</si>
  <si>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</si>
  <si>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</si>
  <si>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</si>
  <si>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</si>
  <si>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</si>
  <si>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</si>
  <si>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</si>
  <si>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</si>
  <si>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</si>
  <si>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</si>
  <si>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</si>
  <si>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</si>
  <si>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</si>
  <si>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</si>
  <si>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</si>
  <si>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</si>
  <si>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</si>
  <si>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</si>
  <si>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</si>
  <si>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</si>
  <si>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</si>
  <si>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</si>
  <si>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</si>
  <si>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</si>
  <si>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</si>
  <si>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</si>
  <si>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</si>
  <si>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</si>
  <si>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</si>
  <si>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</si>
  <si>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</si>
  <si>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</si>
  <si>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</si>
  <si>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</si>
  <si>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</si>
  <si>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</si>
  <si>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</si>
  <si>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</si>
  <si>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</si>
  <si>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</si>
  <si>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</si>
  <si>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</si>
  <si>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</si>
  <si>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</si>
  <si>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</si>
  <si>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</si>
  <si>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</si>
  <si>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</si>
  <si>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</si>
  <si>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</si>
  <si>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</si>
  <si>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</si>
  <si>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</si>
  <si>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</si>
  <si>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</si>
  <si>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257A</t>
  </si>
  <si>
    <t>ＳＭＴ　ＥＴＦ日本株厳選投資アクティブ　受益証券</t>
  </si>
  <si>
    <t>SMT ETF Selected Japan Equity Active</t>
  </si>
  <si>
    <t>258A</t>
  </si>
  <si>
    <t>ＳＭＴ　ＥＴＦ国内リート厳選投資アクティブ　受益証券</t>
  </si>
  <si>
    <t>SMT ETF Selected J-REIT Active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</si>
  <si>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</si>
  <si>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</si>
  <si>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</si>
  <si>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</si>
  <si>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</si>
  <si>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</si>
  <si>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</si>
  <si>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</si>
  <si>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</si>
  <si>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</si>
  <si>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</si>
  <si>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</si>
  <si>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</si>
  <si>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</si>
  <si>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</si>
  <si>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</si>
  <si>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</si>
  <si>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</si>
  <si>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</si>
  <si>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</si>
  <si>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</si>
  <si>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</si>
  <si>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</si>
  <si>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</si>
  <si>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</si>
  <si>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</si>
  <si>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</si>
  <si>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</si>
  <si>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</si>
  <si>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</si>
  <si>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</si>
  <si>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</si>
  <si>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</si>
  <si>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</si>
  <si>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</si>
  <si>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</si>
  <si>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</si>
  <si>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</si>
  <si>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</si>
  <si>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</si>
  <si>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</si>
  <si>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</si>
  <si>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</si>
  <si>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</si>
  <si>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</si>
  <si>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</si>
  <si>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５００スコアリング＆スクリーニング指数連動型上場投信　受益証券</t>
  </si>
  <si>
    <t>NEXT FUNDS S&amp;P 500 Scored &amp; Screened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</si>
  <si>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</si>
  <si>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</si>
  <si>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</si>
  <si>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</si>
  <si>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クリーンテック－日本株式　ＥＴＦ　受益証券</t>
  </si>
  <si>
    <t>Global X CleanTech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</si>
  <si>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</si>
  <si>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</si>
  <si>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</si>
  <si>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</si>
  <si>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</si>
  <si>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</si>
  <si>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</si>
  <si>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</si>
  <si>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</si>
  <si>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</si>
  <si>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グローバルリーダーズ－日本株式　ＥＴＦ　受益証券</t>
  </si>
  <si>
    <t>Global X Japan Global Leaders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</si>
  <si>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</si>
  <si>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</si>
  <si>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</si>
  <si>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</si>
  <si>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ＭＳＣＩジャパンカントリー指数（セレクト）連動型上場投信　受益証券</t>
  </si>
  <si>
    <t>NEXT FUNDS MSCI Japan Country Selection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</si>
  <si>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</si>
  <si>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</si>
  <si>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</si>
  <si>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</si>
  <si>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</si>
  <si>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</si>
  <si>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</si>
  <si>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</si>
  <si>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</si>
  <si>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</si>
  <si>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</si>
  <si>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</si>
  <si>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</si>
  <si>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</si>
  <si>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</si>
  <si>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</si>
  <si>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</si>
  <si>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</si>
  <si>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273A</t>
  </si>
  <si>
    <t>ＳＢＩ　サウジアラビア株式上場投信　受益証券</t>
  </si>
  <si>
    <t>SBI Saudi Arabia Equity Exchange Traded Fund</t>
  </si>
  <si>
    <t>282A</t>
  </si>
  <si>
    <t>グローバルＸ　半導体・トップ１０－日本株式　ＥＴＦ　受益証券</t>
  </si>
  <si>
    <t>Global X Japan Semiconductor Top 10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</si>
  <si>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</si>
  <si>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</si>
  <si>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</si>
  <si>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</si>
  <si>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中小型リーダーズ－日本株式　ＥＴＦ　受益証券</t>
  </si>
  <si>
    <t>Global X Japan Mid &amp; Small Cap Leaders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</si>
  <si>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</si>
  <si>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</si>
  <si>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</si>
  <si>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</si>
  <si>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</si>
  <si>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</si>
  <si>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283A</t>
  </si>
  <si>
    <t>グローバルＸ　ＵＳ　テック・配当貴族　ＥＴＦ　受益証券</t>
  </si>
  <si>
    <t>Global X US Tech Dividend Aristocrats ETF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</si>
  <si>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</si>
  <si>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</si>
  <si>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</si>
  <si>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</si>
  <si>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</si>
  <si>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</si>
  <si>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</si>
  <si>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</si>
  <si>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</si>
  <si>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</si>
  <si>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</si>
  <si>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</si>
  <si>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</si>
  <si>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</si>
  <si>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</si>
  <si>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</si>
  <si>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</si>
  <si>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</si>
  <si>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</si>
  <si>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</si>
  <si>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</si>
  <si>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</si>
  <si>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</si>
  <si>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</si>
  <si>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</si>
  <si>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</si>
  <si>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</si>
  <si>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</si>
  <si>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</si>
  <si>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</si>
  <si>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</si>
  <si>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</si>
  <si>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</si>
  <si>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</si>
  <si>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</si>
  <si>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</si>
  <si>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</si>
  <si>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</si>
  <si>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</si>
  <si>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</si>
  <si>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</si>
  <si>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</si>
  <si>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</si>
  <si>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</si>
  <si>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</si>
  <si>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</si>
  <si>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</si>
  <si>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</si>
  <si>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</si>
  <si>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</si>
  <si>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</si>
  <si>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</si>
  <si>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</si>
  <si>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</si>
  <si>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</si>
  <si>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</si>
  <si>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</si>
  <si>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</si>
  <si>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</si>
  <si>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</si>
  <si>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</si>
  <si>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</si>
  <si>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</si>
  <si>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</si>
  <si>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</si>
  <si>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</si>
  <si>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2863</t>
  </si>
  <si>
    <t>ＮＥＸＴ　ＦＵＮＤＳ　Ｓ＆Ｐ米国株式・債券バランス保守型指数（為替ヘッジあり）連動型上場投信　受益証券</t>
  </si>
  <si>
    <t>NEXT FUNDS S&amp;P US Equity and Bond Balance Conservative Index (Yen-Hedged) Exchange Traded Fund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</si>
  <si>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</si>
  <si>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</si>
  <si>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</si>
  <si>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</si>
  <si>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</si>
  <si>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</si>
  <si>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</si>
  <si>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</si>
  <si>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</si>
  <si>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</si>
  <si>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</si>
  <si>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</si>
  <si>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</si>
  <si>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</si>
  <si>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</si>
  <si>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</si>
  <si>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</si>
  <si>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</si>
  <si>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</si>
  <si>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</si>
  <si>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</si>
  <si>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294A</t>
  </si>
  <si>
    <t>ＮＥＸＴ　ＦＵＮＤＳ　ＭＳＣＩジャパン気候変動指数（セレクト）連動型上場投信　受益証券</t>
  </si>
  <si>
    <t>NEXT FUNDS MSCI Global Climate 500 Japan Selection Index Exchange Traded Fund</t>
  </si>
  <si>
    <t>295A</t>
  </si>
  <si>
    <t>Ｏｎｅ　ＥＴＦ　ＦＴＳＥ・サウジアラビア・インデックス　受益証券</t>
  </si>
  <si>
    <t>One ETF FTSE Saudi Arabia Index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</si>
  <si>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</si>
  <si>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</si>
  <si>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</si>
  <si>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</si>
  <si>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</si>
  <si>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</si>
  <si>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</si>
  <si>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</si>
  <si>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</si>
  <si>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</si>
  <si>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</si>
  <si>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</si>
  <si>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313A</t>
  </si>
  <si>
    <t>ｉシェアーズ　Ｓ＆Ｐ　５００　トップ　２０　ＥＴＦ　受益証券</t>
  </si>
  <si>
    <t>iShares S&amp;P 500 Top 20 ETF</t>
  </si>
  <si>
    <t>314A</t>
  </si>
  <si>
    <t>ｉシェアーズ　ゴールド　ＥＴＦ　受益証券</t>
  </si>
  <si>
    <t>iShares Gold ETF</t>
  </si>
  <si>
    <t>315A</t>
  </si>
  <si>
    <t>グローバルＸ　銀行　高配当－日本株式　ＥＴＦ　受益証券</t>
  </si>
  <si>
    <t>Global X Japan Bank High Dividend ETF</t>
  </si>
  <si>
    <t>316A</t>
  </si>
  <si>
    <t>ｉＦｒｅｅＥＴＦ　ＦＡＮＧ＋　受益証券</t>
  </si>
  <si>
    <t>iFreeETF FANG+</t>
  </si>
  <si>
    <t>318A</t>
  </si>
  <si>
    <t>ＶＩＸ短期先物指数ＥＴＦ　受益証券</t>
  </si>
  <si>
    <t>SIMPLEX VIX Short-Term Futures ETF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</si>
  <si>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</si>
  <si>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</si>
  <si>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</si>
  <si>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</si>
  <si>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</si>
  <si>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</si>
  <si>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</si>
  <si>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</si>
  <si>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</si>
  <si>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</si>
  <si>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</si>
  <si>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</si>
  <si>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</si>
  <si>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</si>
  <si>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</si>
  <si>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</si>
  <si>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</si>
  <si>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</si>
  <si>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</si>
  <si>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</si>
  <si>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</si>
  <si>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</si>
  <si>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</si>
  <si>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</si>
  <si>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</si>
  <si>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</si>
  <si>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</si>
  <si>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328A</t>
  </si>
  <si>
    <t>グローバルＸ　プライシングパワー・リーダーズ－日本株式　ＥＴＦ　受益証券</t>
  </si>
  <si>
    <t>Global X Japan Pricing Power Leaders ETF</t>
  </si>
  <si>
    <t>3290</t>
  </si>
  <si>
    <t>Ｏｎｅリート投資法人　投資証券</t>
  </si>
  <si>
    <t>One REIT,Inc.</t>
  </si>
  <si>
    <t xml:space="preserve">新株落ち  </t>
  </si>
  <si>
    <t xml:space="preserve">ex-subscription right  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</si>
  <si>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</si>
  <si>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</si>
  <si>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</si>
  <si>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</si>
  <si>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</si>
  <si>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</si>
  <si>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</si>
  <si>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</si>
  <si>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</si>
  <si>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</si>
  <si>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</si>
  <si>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</si>
  <si>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</si>
  <si>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</si>
  <si>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</si>
  <si>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</si>
  <si>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</si>
  <si>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</si>
  <si>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</si>
  <si>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</si>
  <si>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</si>
  <si>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345A</t>
  </si>
  <si>
    <t>高配当成長　日本株（ネットリターン）ＥＴＮ　受益証券</t>
  </si>
  <si>
    <t>High Dividend Growth Japan Equity Net Return ETN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</si>
  <si>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</si>
  <si>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</si>
  <si>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</si>
  <si>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</si>
  <si>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</si>
  <si>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</si>
  <si>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</si>
  <si>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</si>
  <si>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</si>
  <si>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</si>
  <si>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</si>
  <si>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</si>
  <si>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346A</t>
  </si>
  <si>
    <t>ＮＥＸＴ　ＦＵＮＤＳ　Ｓ＆Ｐ　５００　半導体・半導体製造装置３５％キャップ指数連動型上場投信　受益証券</t>
  </si>
  <si>
    <t>NEXT FUNDS S&amp;P 500 Semiconductors &amp; Semiconductor Equipment (Industry Group) 35% Capped Index Exchange Traded Fund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</si>
  <si>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</si>
  <si>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</si>
  <si>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</si>
  <si>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</si>
  <si>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</si>
  <si>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</si>
  <si>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</si>
  <si>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日本ホテル＆レジデンシャル投資法人　投資証券</t>
  </si>
  <si>
    <t>Nippon Hotel &amp; Residential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</si>
  <si>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</si>
  <si>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</si>
  <si>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</si>
  <si>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</si>
  <si>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</si>
  <si>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</si>
  <si>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</si>
  <si>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</si>
  <si>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</si>
  <si>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</si>
  <si>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</si>
  <si>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</si>
  <si>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348A</t>
  </si>
  <si>
    <t>ＭＡＸＩＳ読売３３３日本株上場投信　受益証券</t>
  </si>
  <si>
    <t>MAXIS Yomiuri333 Japan Stock ETF</t>
  </si>
  <si>
    <t>3492</t>
  </si>
  <si>
    <t>タカラレーベン不動産投資法人　投資証券</t>
  </si>
  <si>
    <t>Takara Leben Real Estate Investment Corporation</t>
  </si>
  <si>
    <t>349A</t>
  </si>
  <si>
    <t>ＳＭＤＡＭ　Ａｃｔｉｖｅ　ＥＴＦ　日本グロース株式　受益証券</t>
  </si>
  <si>
    <t>SMDAM Active ETF Japan Growth Equity</t>
  </si>
  <si>
    <t>354A</t>
  </si>
  <si>
    <t>ｉＦｒｅｅＥＴＦ　ブルームバーグ日本株高配当５０指数　受益証券</t>
  </si>
  <si>
    <t>iFreeETF Bloomberg Japan High Dividend 50 Index</t>
  </si>
  <si>
    <t>356A</t>
  </si>
  <si>
    <t>グローバルＸ　Ｓ＆Ｐ５００　キャッシュフロー・トップ１００　ＥＴＦ　受益証券</t>
  </si>
  <si>
    <t>Global X S&amp;P 500 Cash Flow Top 100 ETF</t>
  </si>
  <si>
    <t>360A</t>
  </si>
  <si>
    <t>東証ＲＥＩＴ　Ｃｏｒｅ　ＥＴＦ　受益証券</t>
  </si>
  <si>
    <t>TSE REIT Core ETF</t>
  </si>
  <si>
    <t>363A</t>
  </si>
  <si>
    <t>ｉＦｒｅｅＥＴＦ　英国ＦＴＳＥ１００　受益証券</t>
  </si>
  <si>
    <t>iFreeETF FTSE100</t>
  </si>
  <si>
    <t>364A</t>
  </si>
  <si>
    <t>ＮＥＸＴ　ＦＵＮＤＳ　Ｓ＆Ｐ　５００　配当貴族指数連動型上場投信　受益証券</t>
  </si>
  <si>
    <t>NEXT FUNDS S&amp;P 500 Dividend Aristocrats Index Exchange Traded Fund</t>
  </si>
  <si>
    <t>376A</t>
  </si>
  <si>
    <t>ＮＥＸＴ　ＦＵＮＤＳ　ブルームバーグ米国国債（７－１０年）インデックス（７５％為替ヘッジあり）連動型上場投信　受益証券</t>
  </si>
  <si>
    <t>NEXT FUNDS Bloomberg US Treasury Bond (7-10 year) Index (75% Yen-Hedged) Exchange Traded Fund</t>
  </si>
  <si>
    <t>379A</t>
  </si>
  <si>
    <t>グローバルＸ　Ｓ＆Ｐ５００　ＥＴＦ（ダイナミック・プロテクション）　受益証券</t>
  </si>
  <si>
    <t>Global X S&amp;P 500 ETF (Dynamic Protection)</t>
  </si>
  <si>
    <t>380A</t>
  </si>
  <si>
    <t>グローバルＸ　チャイナテック　ＥＴＦ　受益証券</t>
  </si>
  <si>
    <t>Global X China Tech ETF</t>
  </si>
  <si>
    <t>381A</t>
  </si>
  <si>
    <t>ｉＦｒｅｅＥＴＦ　米国国債３－５年（為替ヘッジなし）　受益証券</t>
  </si>
  <si>
    <t>iFreeETF US Treasury Bond 3-5 Year (NON HEDGED)</t>
  </si>
  <si>
    <t>382A</t>
  </si>
  <si>
    <t>ｉＦｒｅｅＥＴＦ　米国国債３－５年（為替ヘッジあり）　受益証券</t>
  </si>
  <si>
    <t>iFreeETF US Treasury Bond 3-5 Year (JPY HEDGED)</t>
  </si>
  <si>
    <t>383A</t>
  </si>
  <si>
    <t>ＭＡＸＩＳ　Ｓ＆Ｐ５００均等ウェイト上場投信　受益証券</t>
  </si>
  <si>
    <t>MAXIS S&amp;P500 Equal Weight ETF</t>
  </si>
  <si>
    <t>392A</t>
  </si>
  <si>
    <t>ｉシェアーズ　ＮＡＳＤＡＱ　トップ　３０　ＥＴＦ　受益証券</t>
  </si>
  <si>
    <t>iShares Nasdaq Top 30 ETF</t>
  </si>
  <si>
    <t>394A</t>
  </si>
  <si>
    <t>業界改革厳選ＥＴＦテレビ業界　受益証券</t>
  </si>
  <si>
    <t>Sector Restructuring Select ETF TV</t>
  </si>
  <si>
    <t>395A</t>
  </si>
  <si>
    <t>業界改革厳選ＥＴＦ地銀　受益証券</t>
  </si>
  <si>
    <t>Sector Restructuring Select ETF Regional Banks</t>
  </si>
  <si>
    <t>396A</t>
  </si>
  <si>
    <t>業界改革厳選ＥＴＦ　ＲＥＩＴイベント・ドリブン　受益証券</t>
  </si>
  <si>
    <t>Sector Restructuring Select ETF Event-Driven REITs</t>
  </si>
  <si>
    <t>399A</t>
  </si>
  <si>
    <t>上場インデックスファンド日経平均高配当株５０　受益証券</t>
  </si>
  <si>
    <t>Listed Index Fund Nikkei 225 High Dividend Yield Stock 50</t>
  </si>
  <si>
    <t>401A</t>
  </si>
  <si>
    <t>霞ヶ関ホテルリート投資法人　投資証券</t>
  </si>
  <si>
    <t>Kasumigaseki Hotel REIT Investment Corporation</t>
  </si>
  <si>
    <t xml:space="preserve">新規上場  </t>
  </si>
  <si>
    <t xml:space="preserve">New Listing  </t>
  </si>
  <si>
    <t xml:space="preserve">2025/08/13  </t>
  </si>
  <si>
    <t>404A</t>
  </si>
  <si>
    <t>グローバルＸ　チャイナテック・トップ１０　ＥＴＦ　受益証券</t>
  </si>
  <si>
    <t>Global X China Tech Top 10 ETF</t>
  </si>
  <si>
    <t xml:space="preserve">2025/08/20  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</si>
  <si>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</si>
  <si>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</si>
  <si>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</si>
  <si>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</si>
  <si>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</si>
  <si>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</si>
  <si>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</si>
  <si>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</si>
  <si>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</si>
  <si>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</si>
  <si>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</si>
  <si>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</si>
  <si>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</si>
  <si>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</si>
  <si>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</si>
  <si>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</si>
  <si>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</si>
  <si>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</si>
  <si>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</si>
  <si>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</si>
  <si>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</si>
  <si>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</si>
  <si>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</si>
  <si>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</si>
  <si>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</si>
  <si>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</si>
  <si>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</si>
  <si>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</si>
  <si>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</si>
  <si>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</si>
  <si>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</si>
  <si>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</si>
  <si>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</si>
  <si>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</si>
  <si>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</si>
  <si>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</si>
  <si>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</si>
  <si>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</si>
  <si>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</si>
  <si>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</si>
  <si>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</si>
  <si>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</si>
  <si>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</si>
  <si>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</si>
  <si>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</si>
  <si>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</si>
  <si>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ＫＤＸ不動産投資法人　投資証券</t>
  </si>
  <si>
    <t>KDX Realty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</si>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</sst>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9" fontId="2" fillId="0" borderId="0" applyFont="0" applyFill="0" applyBorder="0" applyAlignment="0" applyProtection="0"/>
    <xf numFmtId="0" fontId="12" fillId="0" borderId="0"/>
    <xf numFmtId="0" fontId="8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2" fillId="21" borderId="28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9" applyNumberFormat="0" applyAlignment="0" applyProtection="0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1" fillId="0" borderId="30" applyNumberFormat="0" applyFill="0" applyAlignment="0" applyProtection="0"/>
    <xf numFmtId="0" fontId="32" fillId="0" borderId="31" applyNumberFormat="0" applyFill="0" applyAlignment="0" applyProtection="0"/>
    <xf numFmtId="0" fontId="33" fillId="0" borderId="32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7" applyNumberFormat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7" fillId="0" borderId="0"/>
    <xf numFmtId="0" fontId="35" fillId="0" borderId="33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6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7" applyNumberFormat="0" applyFill="0" applyBorder="0" applyProtection="0"/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64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9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8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8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" fillId="0" borderId="0"/>
    <xf numFmtId="0" fontId="8" fillId="0" borderId="0"/>
    <xf numFmtId="0" fontId="83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3" fillId="0" borderId="0"/>
    <xf numFmtId="0" fontId="8" fillId="0" borderId="0"/>
    <xf numFmtId="0" fontId="83" fillId="0" borderId="0"/>
    <xf numFmtId="0" fontId="1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4" fillId="0" borderId="0">
      <alignment vertical="center"/>
    </xf>
    <xf numFmtId="0" fontId="8" fillId="0" borderId="0"/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8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49" fontId="2" fillId="0" borderId="15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49" fontId="2" fillId="0" borderId="16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right" vertical="center"/>
    </xf>
    <xf numFmtId="0" fontId="2" fillId="0" borderId="6" xfId="1" applyNumberFormat="1" applyFont="1" applyFill="1" applyBorder="1" applyAlignment="1">
      <alignment horizontal="right" vertical="center"/>
    </xf>
    <xf numFmtId="0" fontId="2" fillId="0" borderId="18" xfId="1" applyNumberFormat="1" applyFont="1" applyFill="1" applyBorder="1" applyAlignment="1">
      <alignment horizontal="right" vertical="center"/>
    </xf>
    <xf numFmtId="0" fontId="2" fillId="0" borderId="19" xfId="1" applyNumberFormat="1" applyFont="1" applyFill="1" applyBorder="1" applyAlignment="1">
      <alignment horizontal="right" vertical="center"/>
    </xf>
    <xf numFmtId="49" fontId="11" fillId="0" borderId="17" xfId="2" applyNumberFormat="1" applyFont="1" applyFill="1" applyBorder="1" applyAlignment="1">
      <alignment horizontal="right"/>
    </xf>
    <xf numFmtId="49" fontId="11" fillId="0" borderId="20" xfId="2" applyNumberFormat="1" applyFont="1" applyFill="1" applyBorder="1" applyAlignment="1">
      <alignment horizontal="right"/>
    </xf>
    <xf numFmtId="49" fontId="11" fillId="0" borderId="19" xfId="2" applyNumberFormat="1" applyFont="1" applyFill="1" applyBorder="1" applyAlignment="1">
      <alignment horizontal="right"/>
    </xf>
    <xf numFmtId="49" fontId="7" fillId="0" borderId="21" xfId="1" applyNumberFormat="1" applyFont="1" applyFill="1" applyBorder="1" applyAlignment="1">
      <alignment horizontal="left" vertical="center"/>
    </xf>
    <xf numFmtId="49" fontId="7" fillId="0" borderId="22" xfId="1" applyNumberFormat="1" applyFont="1" applyFill="1" applyBorder="1" applyAlignment="1">
      <alignment horizontal="left" vertical="center"/>
    </xf>
    <xf numFmtId="49" fontId="7" fillId="0" borderId="23" xfId="1" applyNumberFormat="1" applyFont="1" applyFill="1" applyBorder="1" applyAlignment="1">
      <alignment horizontal="left" vertical="center"/>
    </xf>
    <xf numFmtId="49" fontId="7" fillId="0" borderId="24" xfId="1" applyNumberFormat="1" applyFont="1" applyFill="1" applyBorder="1" applyAlignment="1">
      <alignment horizontal="left" vertical="center"/>
    </xf>
    <xf numFmtId="49" fontId="7" fillId="0" borderId="21" xfId="2" applyNumberFormat="1" applyFont="1" applyFill="1" applyBorder="1" applyAlignment="1">
      <alignment horizontal="left"/>
    </xf>
    <xf numFmtId="3" fontId="7" fillId="0" borderId="21" xfId="2" applyNumberFormat="1" applyFont="1" applyFill="1" applyBorder="1" applyAlignment="1">
      <alignment horizontal="right"/>
    </xf>
    <xf numFmtId="4" fontId="7" fillId="0" borderId="25" xfId="2" applyNumberFormat="1" applyFont="1" applyFill="1" applyBorder="1" applyAlignment="1">
      <alignment horizontal="right"/>
    </xf>
    <xf numFmtId="49" fontId="7" fillId="0" borderId="24" xfId="2" applyNumberFormat="1" applyFont="1" applyFill="1" applyBorder="1" applyAlignment="1">
      <alignment horizontal="right"/>
    </xf>
    <xf numFmtId="4" fontId="7" fillId="0" borderId="21" xfId="2" applyNumberFormat="1" applyFont="1" applyFill="1" applyBorder="1" applyAlignment="1">
      <alignment horizontal="right"/>
    </xf>
    <xf numFmtId="189" fontId="7" fillId="0" borderId="21" xfId="2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9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r="1" spans="1:24" ht="13.5" customHeight="1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r="2" spans="1:24" ht="99" customHeight="1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r="3" spans="1:24" ht="39" customHeight="1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r="4" spans="1:24" s="2" customFormat="1" ht="13.5" customHeight="1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r="7" spans="1:24" s="2" customFormat="1" ht="13.5" customHeight="1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3084</f>
        <v>3084.0</v>
      </c>
      <c r="L7" s="34" t="s">
        <v>48</v>
      </c>
      <c r="M7" s="33" t="n">
        <f>3285</f>
        <v>3285.0</v>
      </c>
      <c r="N7" s="34" t="s">
        <v>49</v>
      </c>
      <c r="O7" s="33" t="n">
        <f>3023</f>
        <v>3023.0</v>
      </c>
      <c r="P7" s="34" t="s">
        <v>50</v>
      </c>
      <c r="Q7" s="33" t="n">
        <f>3228</f>
        <v>3228.0</v>
      </c>
      <c r="R7" s="34" t="s">
        <v>51</v>
      </c>
      <c r="S7" s="35" t="n">
        <f>3203.15</f>
        <v>3203.15</v>
      </c>
      <c r="T7" s="32" t="n">
        <f>4206960</f>
        <v>4206960.0</v>
      </c>
      <c r="U7" s="32" t="n">
        <f>1919910</f>
        <v>1919910.0</v>
      </c>
      <c r="V7" s="32" t="n">
        <f>13450674106</f>
        <v>1.3450674106E10</v>
      </c>
      <c r="W7" s="32" t="n">
        <f>6151954856</f>
        <v>6.151954856E9</v>
      </c>
      <c r="X7" s="36" t="n">
        <f>20</f>
        <v>20.0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3052</f>
        <v>3052.0</v>
      </c>
      <c r="L8" s="34" t="s">
        <v>48</v>
      </c>
      <c r="M8" s="33" t="n">
        <f>3252</f>
        <v>3252.0</v>
      </c>
      <c r="N8" s="34" t="s">
        <v>49</v>
      </c>
      <c r="O8" s="33" t="n">
        <f>2990.5</f>
        <v>2990.5</v>
      </c>
      <c r="P8" s="34" t="s">
        <v>50</v>
      </c>
      <c r="Q8" s="33" t="n">
        <f>3196</f>
        <v>3196.0</v>
      </c>
      <c r="R8" s="34" t="s">
        <v>51</v>
      </c>
      <c r="S8" s="35" t="n">
        <f>3170.05</f>
        <v>3170.05</v>
      </c>
      <c r="T8" s="32" t="n">
        <f>27211570</f>
        <v>2.721157E7</v>
      </c>
      <c r="U8" s="32" t="n">
        <f>4081370</f>
        <v>4081370.0</v>
      </c>
      <c r="V8" s="32" t="n">
        <f>86082525614</f>
        <v>8.6082525614E10</v>
      </c>
      <c r="W8" s="32" t="n">
        <f>12874690554</f>
        <v>1.2874690554E10</v>
      </c>
      <c r="X8" s="36" t="n">
        <f>20</f>
        <v>20.0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1.0</v>
      </c>
      <c r="K9" s="33" t="n">
        <f>3013</f>
        <v>3013.0</v>
      </c>
      <c r="L9" s="34" t="s">
        <v>48</v>
      </c>
      <c r="M9" s="33" t="n">
        <f>3212</f>
        <v>3212.0</v>
      </c>
      <c r="N9" s="34" t="s">
        <v>49</v>
      </c>
      <c r="O9" s="33" t="n">
        <f>2955</f>
        <v>2955.0</v>
      </c>
      <c r="P9" s="34" t="s">
        <v>50</v>
      </c>
      <c r="Q9" s="33" t="n">
        <f>3154</f>
        <v>3154.0</v>
      </c>
      <c r="R9" s="34" t="s">
        <v>51</v>
      </c>
      <c r="S9" s="35" t="n">
        <f>3132.15</f>
        <v>3132.15</v>
      </c>
      <c r="T9" s="32" t="n">
        <f>8079426</f>
        <v>8079426.0</v>
      </c>
      <c r="U9" s="32" t="n">
        <f>3496272</f>
        <v>3496272.0</v>
      </c>
      <c r="V9" s="32" t="n">
        <f>25248852642</f>
        <v>2.5248852642E10</v>
      </c>
      <c r="W9" s="32" t="n">
        <f>10929749618</f>
        <v>1.0929749618E10</v>
      </c>
      <c r="X9" s="36" t="n">
        <f>20</f>
        <v>20.0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46280</f>
        <v>46280.0</v>
      </c>
      <c r="L10" s="34" t="s">
        <v>48</v>
      </c>
      <c r="M10" s="33" t="n">
        <f>49880</f>
        <v>49880.0</v>
      </c>
      <c r="N10" s="34" t="s">
        <v>51</v>
      </c>
      <c r="O10" s="33" t="n">
        <f>45300</f>
        <v>45300.0</v>
      </c>
      <c r="P10" s="34" t="s">
        <v>50</v>
      </c>
      <c r="Q10" s="33" t="n">
        <f>48920</f>
        <v>48920.0</v>
      </c>
      <c r="R10" s="34" t="s">
        <v>51</v>
      </c>
      <c r="S10" s="35" t="n">
        <f>47122</f>
        <v>47122.0</v>
      </c>
      <c r="T10" s="32" t="n">
        <f>4569</f>
        <v>4569.0</v>
      </c>
      <c r="U10" s="32" t="str">
        <f>"－"</f>
        <v>－</v>
      </c>
      <c r="V10" s="32" t="n">
        <f>218118650</f>
        <v>2.1811865E8</v>
      </c>
      <c r="W10" s="32" t="str">
        <f>"－"</f>
        <v>－</v>
      </c>
      <c r="X10" s="36" t="n">
        <f>20</f>
        <v>20.0</v>
      </c>
    </row>
    <row r="11">
      <c r="A11" s="27" t="s">
        <v>42</v>
      </c>
      <c r="B11" s="27" t="s">
        <v>61</v>
      </c>
      <c r="C11" s="27" t="s">
        <v>62</v>
      </c>
      <c r="D11" s="27" t="s">
        <v>63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1526</f>
        <v>1526.0</v>
      </c>
      <c r="L11" s="34" t="s">
        <v>48</v>
      </c>
      <c r="M11" s="33" t="n">
        <f>1654.5</f>
        <v>1654.5</v>
      </c>
      <c r="N11" s="34" t="s">
        <v>64</v>
      </c>
      <c r="O11" s="33" t="n">
        <f>1483</f>
        <v>1483.0</v>
      </c>
      <c r="P11" s="34" t="s">
        <v>50</v>
      </c>
      <c r="Q11" s="33" t="n">
        <f>1605.5</f>
        <v>1605.5</v>
      </c>
      <c r="R11" s="34" t="s">
        <v>51</v>
      </c>
      <c r="S11" s="35" t="n">
        <f>1590.7</f>
        <v>1590.7</v>
      </c>
      <c r="T11" s="32" t="n">
        <f>530550</f>
        <v>530550.0</v>
      </c>
      <c r="U11" s="32" t="n">
        <f>70880</f>
        <v>70880.0</v>
      </c>
      <c r="V11" s="32" t="n">
        <f>845519771</f>
        <v>8.45519771E8</v>
      </c>
      <c r="W11" s="32" t="n">
        <f>106360176</f>
        <v>1.06360176E8</v>
      </c>
      <c r="X11" s="36" t="n">
        <f>20</f>
        <v>20.0</v>
      </c>
    </row>
    <row r="12">
      <c r="A12" s="27" t="s">
        <v>42</v>
      </c>
      <c r="B12" s="27" t="s">
        <v>65</v>
      </c>
      <c r="C12" s="27" t="s">
        <v>66</v>
      </c>
      <c r="D12" s="27" t="s">
        <v>67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1000.0</v>
      </c>
      <c r="K12" s="33" t="n">
        <f>571</f>
        <v>571.0</v>
      </c>
      <c r="L12" s="34" t="s">
        <v>48</v>
      </c>
      <c r="M12" s="33" t="n">
        <f>605.6</f>
        <v>605.6</v>
      </c>
      <c r="N12" s="34" t="s">
        <v>64</v>
      </c>
      <c r="O12" s="33" t="n">
        <f>571</f>
        <v>571.0</v>
      </c>
      <c r="P12" s="34" t="s">
        <v>48</v>
      </c>
      <c r="Q12" s="33" t="n">
        <f>590.3</f>
        <v>590.3</v>
      </c>
      <c r="R12" s="34" t="s">
        <v>51</v>
      </c>
      <c r="S12" s="35" t="n">
        <f>589.05</f>
        <v>589.05</v>
      </c>
      <c r="T12" s="32" t="n">
        <f>79000</f>
        <v>79000.0</v>
      </c>
      <c r="U12" s="32" t="str">
        <f>"－"</f>
        <v>－</v>
      </c>
      <c r="V12" s="32" t="n">
        <f>46775100</f>
        <v>4.67751E7</v>
      </c>
      <c r="W12" s="32" t="str">
        <f>"－"</f>
        <v>－</v>
      </c>
      <c r="X12" s="36" t="n">
        <f>15</f>
        <v>15.0</v>
      </c>
    </row>
    <row r="13">
      <c r="A13" s="27" t="s">
        <v>42</v>
      </c>
      <c r="B13" s="27" t="s">
        <v>68</v>
      </c>
      <c r="C13" s="27" t="s">
        <v>69</v>
      </c>
      <c r="D13" s="27" t="s">
        <v>70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1.0</v>
      </c>
      <c r="K13" s="33" t="n">
        <f>41810</f>
        <v>41810.0</v>
      </c>
      <c r="L13" s="34" t="s">
        <v>48</v>
      </c>
      <c r="M13" s="33" t="n">
        <f>45060</f>
        <v>45060.0</v>
      </c>
      <c r="N13" s="34" t="s">
        <v>64</v>
      </c>
      <c r="O13" s="33" t="n">
        <f>40880</f>
        <v>40880.0</v>
      </c>
      <c r="P13" s="34" t="s">
        <v>50</v>
      </c>
      <c r="Q13" s="33" t="n">
        <f>43930</f>
        <v>43930.0</v>
      </c>
      <c r="R13" s="34" t="s">
        <v>51</v>
      </c>
      <c r="S13" s="35" t="n">
        <f>43451</f>
        <v>43451.0</v>
      </c>
      <c r="T13" s="32" t="n">
        <f>924548</f>
        <v>924548.0</v>
      </c>
      <c r="U13" s="32" t="n">
        <f>193612</f>
        <v>193612.0</v>
      </c>
      <c r="V13" s="32" t="n">
        <f>40309493622</f>
        <v>4.0309493622E10</v>
      </c>
      <c r="W13" s="32" t="n">
        <f>8484955472</f>
        <v>8.484955472E9</v>
      </c>
      <c r="X13" s="36" t="n">
        <f>20</f>
        <v>20.0</v>
      </c>
    </row>
    <row r="14">
      <c r="A14" s="27" t="s">
        <v>42</v>
      </c>
      <c r="B14" s="27" t="s">
        <v>71</v>
      </c>
      <c r="C14" s="27" t="s">
        <v>72</v>
      </c>
      <c r="D14" s="27" t="s">
        <v>73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41960</f>
        <v>41960.0</v>
      </c>
      <c r="L14" s="34" t="s">
        <v>48</v>
      </c>
      <c r="M14" s="33" t="n">
        <f>45220</f>
        <v>45220.0</v>
      </c>
      <c r="N14" s="34" t="s">
        <v>64</v>
      </c>
      <c r="O14" s="33" t="n">
        <f>41020</f>
        <v>41020.0</v>
      </c>
      <c r="P14" s="34" t="s">
        <v>50</v>
      </c>
      <c r="Q14" s="33" t="n">
        <f>44080</f>
        <v>44080.0</v>
      </c>
      <c r="R14" s="34" t="s">
        <v>51</v>
      </c>
      <c r="S14" s="35" t="n">
        <f>43599.5</f>
        <v>43599.5</v>
      </c>
      <c r="T14" s="32" t="n">
        <f>6093983</f>
        <v>6093983.0</v>
      </c>
      <c r="U14" s="32" t="n">
        <f>1483776</f>
        <v>1483776.0</v>
      </c>
      <c r="V14" s="32" t="n">
        <f>265871694230</f>
        <v>2.6587169423E11</v>
      </c>
      <c r="W14" s="32" t="n">
        <f>64826652710</f>
        <v>6.482665271E10</v>
      </c>
      <c r="X14" s="36" t="n">
        <f>20</f>
        <v>20.0</v>
      </c>
    </row>
    <row r="15">
      <c r="A15" s="27" t="s">
        <v>42</v>
      </c>
      <c r="B15" s="27" t="s">
        <v>74</v>
      </c>
      <c r="C15" s="27" t="s">
        <v>75</v>
      </c>
      <c r="D15" s="27" t="s">
        <v>76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8976</f>
        <v>8976.0</v>
      </c>
      <c r="L15" s="34" t="s">
        <v>48</v>
      </c>
      <c r="M15" s="33" t="n">
        <f>9930</f>
        <v>9930.0</v>
      </c>
      <c r="N15" s="34" t="s">
        <v>77</v>
      </c>
      <c r="O15" s="33" t="n">
        <f>8804</f>
        <v>8804.0</v>
      </c>
      <c r="P15" s="34" t="s">
        <v>50</v>
      </c>
      <c r="Q15" s="33" t="n">
        <f>9880</f>
        <v>9880.0</v>
      </c>
      <c r="R15" s="34" t="s">
        <v>51</v>
      </c>
      <c r="S15" s="35" t="n">
        <f>9310.2</f>
        <v>9310.2</v>
      </c>
      <c r="T15" s="32" t="n">
        <f>34430</f>
        <v>34430.0</v>
      </c>
      <c r="U15" s="32" t="n">
        <f>4500</f>
        <v>4500.0</v>
      </c>
      <c r="V15" s="32" t="n">
        <f>321657118</f>
        <v>3.21657118E8</v>
      </c>
      <c r="W15" s="32" t="n">
        <f>40746600</f>
        <v>4.07466E7</v>
      </c>
      <c r="X15" s="36" t="n">
        <f>20</f>
        <v>20.0</v>
      </c>
    </row>
    <row r="16">
      <c r="A16" s="27" t="s">
        <v>42</v>
      </c>
      <c r="B16" s="27" t="s">
        <v>78</v>
      </c>
      <c r="C16" s="27" t="s">
        <v>79</v>
      </c>
      <c r="D16" s="27" t="s">
        <v>80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100.0</v>
      </c>
      <c r="K16" s="33" t="n">
        <f>203.2</f>
        <v>203.2</v>
      </c>
      <c r="L16" s="34" t="s">
        <v>48</v>
      </c>
      <c r="M16" s="33" t="n">
        <f>216</f>
        <v>216.0</v>
      </c>
      <c r="N16" s="34" t="s">
        <v>81</v>
      </c>
      <c r="O16" s="33" t="n">
        <f>199.8</f>
        <v>199.8</v>
      </c>
      <c r="P16" s="34" t="s">
        <v>82</v>
      </c>
      <c r="Q16" s="33" t="n">
        <f>213.8</f>
        <v>213.8</v>
      </c>
      <c r="R16" s="34" t="s">
        <v>51</v>
      </c>
      <c r="S16" s="35" t="n">
        <f>207.44</f>
        <v>207.44</v>
      </c>
      <c r="T16" s="32" t="n">
        <f>619500</f>
        <v>619500.0</v>
      </c>
      <c r="U16" s="32" t="n">
        <f>23200</f>
        <v>23200.0</v>
      </c>
      <c r="V16" s="32" t="n">
        <f>128991070</f>
        <v>1.2899107E8</v>
      </c>
      <c r="W16" s="32" t="n">
        <f>4848050</f>
        <v>4848050.0</v>
      </c>
      <c r="X16" s="36" t="n">
        <f>20</f>
        <v>20.0</v>
      </c>
    </row>
    <row r="17">
      <c r="A17" s="27" t="s">
        <v>42</v>
      </c>
      <c r="B17" s="27" t="s">
        <v>83</v>
      </c>
      <c r="C17" s="27" t="s">
        <v>84</v>
      </c>
      <c r="D17" s="27" t="s">
        <v>85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1.0</v>
      </c>
      <c r="K17" s="33" t="n">
        <f>45670</f>
        <v>45670.0</v>
      </c>
      <c r="L17" s="34" t="s">
        <v>48</v>
      </c>
      <c r="M17" s="33" t="n">
        <f>46190</f>
        <v>46190.0</v>
      </c>
      <c r="N17" s="34" t="s">
        <v>51</v>
      </c>
      <c r="O17" s="33" t="n">
        <f>45030</f>
        <v>45030.0</v>
      </c>
      <c r="P17" s="34" t="s">
        <v>86</v>
      </c>
      <c r="Q17" s="33" t="n">
        <f>46190</f>
        <v>46190.0</v>
      </c>
      <c r="R17" s="34" t="s">
        <v>51</v>
      </c>
      <c r="S17" s="35" t="n">
        <f>45650</f>
        <v>45650.0</v>
      </c>
      <c r="T17" s="32" t="n">
        <f>351065</f>
        <v>351065.0</v>
      </c>
      <c r="U17" s="32" t="n">
        <f>1100</f>
        <v>1100.0</v>
      </c>
      <c r="V17" s="32" t="n">
        <f>16007707690</f>
        <v>1.600770769E10</v>
      </c>
      <c r="W17" s="32" t="n">
        <f>50432250</f>
        <v>5.043225E7</v>
      </c>
      <c r="X17" s="36" t="n">
        <f>20</f>
        <v>20.0</v>
      </c>
    </row>
    <row r="18">
      <c r="A18" s="27" t="s">
        <v>42</v>
      </c>
      <c r="B18" s="27" t="s">
        <v>87</v>
      </c>
      <c r="C18" s="27" t="s">
        <v>88</v>
      </c>
      <c r="D18" s="27" t="s">
        <v>89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10.0</v>
      </c>
      <c r="K18" s="33" t="n">
        <f>11890</f>
        <v>11890.0</v>
      </c>
      <c r="L18" s="34" t="s">
        <v>48</v>
      </c>
      <c r="M18" s="33" t="n">
        <f>12180</f>
        <v>12180.0</v>
      </c>
      <c r="N18" s="34" t="s">
        <v>90</v>
      </c>
      <c r="O18" s="33" t="n">
        <f>11700</f>
        <v>11700.0</v>
      </c>
      <c r="P18" s="34" t="s">
        <v>86</v>
      </c>
      <c r="Q18" s="33" t="n">
        <f>12035</f>
        <v>12035.0</v>
      </c>
      <c r="R18" s="34" t="s">
        <v>51</v>
      </c>
      <c r="S18" s="35" t="n">
        <f>11887.25</f>
        <v>11887.25</v>
      </c>
      <c r="T18" s="32" t="n">
        <f>753880</f>
        <v>753880.0</v>
      </c>
      <c r="U18" s="32" t="n">
        <f>9230</f>
        <v>9230.0</v>
      </c>
      <c r="V18" s="32" t="n">
        <f>8973415167</f>
        <v>8.973415167E9</v>
      </c>
      <c r="W18" s="32" t="n">
        <f>109726917</f>
        <v>1.09726917E8</v>
      </c>
      <c r="X18" s="36" t="n">
        <f>20</f>
        <v>20.0</v>
      </c>
    </row>
    <row r="19">
      <c r="A19" s="27" t="s">
        <v>42</v>
      </c>
      <c r="B19" s="27" t="s">
        <v>91</v>
      </c>
      <c r="C19" s="27" t="s">
        <v>92</v>
      </c>
      <c r="D19" s="27" t="s">
        <v>93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1.0</v>
      </c>
      <c r="K19" s="33" t="n">
        <f>4245</f>
        <v>4245.0</v>
      </c>
      <c r="L19" s="34" t="s">
        <v>48</v>
      </c>
      <c r="M19" s="33" t="n">
        <f>4532</f>
        <v>4532.0</v>
      </c>
      <c r="N19" s="34" t="s">
        <v>64</v>
      </c>
      <c r="O19" s="33" t="n">
        <f>4148</f>
        <v>4148.0</v>
      </c>
      <c r="P19" s="34" t="s">
        <v>50</v>
      </c>
      <c r="Q19" s="33" t="n">
        <f>4411</f>
        <v>4411.0</v>
      </c>
      <c r="R19" s="34" t="s">
        <v>51</v>
      </c>
      <c r="S19" s="35" t="n">
        <f>4376.05</f>
        <v>4376.05</v>
      </c>
      <c r="T19" s="32" t="n">
        <f>12026796</f>
        <v>1.2026796E7</v>
      </c>
      <c r="U19" s="32" t="n">
        <f>2064154</f>
        <v>2064154.0</v>
      </c>
      <c r="V19" s="32" t="n">
        <f>52504479817</f>
        <v>5.2504479817E10</v>
      </c>
      <c r="W19" s="32" t="n">
        <f>9031060954</f>
        <v>9.031060954E9</v>
      </c>
      <c r="X19" s="36" t="n">
        <f>20</f>
        <v>20.0</v>
      </c>
    </row>
    <row r="20">
      <c r="A20" s="27" t="s">
        <v>42</v>
      </c>
      <c r="B20" s="27" t="s">
        <v>94</v>
      </c>
      <c r="C20" s="27" t="s">
        <v>95</v>
      </c>
      <c r="D20" s="27" t="s">
        <v>96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42000</f>
        <v>42000.0</v>
      </c>
      <c r="L20" s="34" t="s">
        <v>48</v>
      </c>
      <c r="M20" s="33" t="n">
        <f>45270</f>
        <v>45270.0</v>
      </c>
      <c r="N20" s="34" t="s">
        <v>64</v>
      </c>
      <c r="O20" s="33" t="n">
        <f>41070</f>
        <v>41070.0</v>
      </c>
      <c r="P20" s="34" t="s">
        <v>50</v>
      </c>
      <c r="Q20" s="33" t="n">
        <f>44070</f>
        <v>44070.0</v>
      </c>
      <c r="R20" s="34" t="s">
        <v>51</v>
      </c>
      <c r="S20" s="35" t="n">
        <f>43639</f>
        <v>43639.0</v>
      </c>
      <c r="T20" s="32" t="n">
        <f>1220618</f>
        <v>1220618.0</v>
      </c>
      <c r="U20" s="32" t="n">
        <f>404286</f>
        <v>404286.0</v>
      </c>
      <c r="V20" s="32" t="n">
        <f>52766316946</f>
        <v>5.2766316946E10</v>
      </c>
      <c r="W20" s="32" t="n">
        <f>17258397586</f>
        <v>1.7258397586E10</v>
      </c>
      <c r="X20" s="36" t="n">
        <f>20</f>
        <v>20.0</v>
      </c>
    </row>
    <row r="21">
      <c r="A21" s="27" t="s">
        <v>42</v>
      </c>
      <c r="B21" s="27" t="s">
        <v>97</v>
      </c>
      <c r="C21" s="27" t="s">
        <v>98</v>
      </c>
      <c r="D21" s="27" t="s">
        <v>99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1014</f>
        <v>1014.0</v>
      </c>
      <c r="L21" s="34" t="s">
        <v>48</v>
      </c>
      <c r="M21" s="33" t="n">
        <f>1015</f>
        <v>1015.0</v>
      </c>
      <c r="N21" s="34" t="s">
        <v>48</v>
      </c>
      <c r="O21" s="33" t="n">
        <f>985</f>
        <v>985.0</v>
      </c>
      <c r="P21" s="34" t="s">
        <v>100</v>
      </c>
      <c r="Q21" s="33" t="n">
        <f>1002</f>
        <v>1002.0</v>
      </c>
      <c r="R21" s="34" t="s">
        <v>51</v>
      </c>
      <c r="S21" s="35" t="n">
        <f>995.5</f>
        <v>995.5</v>
      </c>
      <c r="T21" s="32" t="n">
        <f>2282467</f>
        <v>2282467.0</v>
      </c>
      <c r="U21" s="32" t="n">
        <f>1307110</f>
        <v>1307110.0</v>
      </c>
      <c r="V21" s="32" t="n">
        <f>2266335533</f>
        <v>2.266335533E9</v>
      </c>
      <c r="W21" s="32" t="n">
        <f>1297679594</f>
        <v>1.297679594E9</v>
      </c>
      <c r="X21" s="36" t="n">
        <f>20</f>
        <v>20.0</v>
      </c>
    </row>
    <row r="22">
      <c r="A22" s="27" t="s">
        <v>42</v>
      </c>
      <c r="B22" s="27" t="s">
        <v>101</v>
      </c>
      <c r="C22" s="27" t="s">
        <v>102</v>
      </c>
      <c r="D22" s="27" t="s">
        <v>103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2020</f>
        <v>2020.0</v>
      </c>
      <c r="L22" s="34" t="s">
        <v>48</v>
      </c>
      <c r="M22" s="33" t="n">
        <f>2090</f>
        <v>2090.0</v>
      </c>
      <c r="N22" s="34" t="s">
        <v>81</v>
      </c>
      <c r="O22" s="33" t="n">
        <f>2010</f>
        <v>2010.0</v>
      </c>
      <c r="P22" s="34" t="s">
        <v>48</v>
      </c>
      <c r="Q22" s="33" t="n">
        <f>2073.5</f>
        <v>2073.5</v>
      </c>
      <c r="R22" s="34" t="s">
        <v>51</v>
      </c>
      <c r="S22" s="35" t="n">
        <f>2052.95</f>
        <v>2052.95</v>
      </c>
      <c r="T22" s="32" t="n">
        <f>20149880</f>
        <v>2.014988E7</v>
      </c>
      <c r="U22" s="32" t="n">
        <f>6478880</f>
        <v>6478880.0</v>
      </c>
      <c r="V22" s="32" t="n">
        <f>41253142294</f>
        <v>4.1253142294E10</v>
      </c>
      <c r="W22" s="32" t="n">
        <f>13229572259</f>
        <v>1.3229572259E10</v>
      </c>
      <c r="X22" s="36" t="n">
        <f>20</f>
        <v>20.0</v>
      </c>
    </row>
    <row r="23">
      <c r="A23" s="27" t="s">
        <v>42</v>
      </c>
      <c r="B23" s="27" t="s">
        <v>104</v>
      </c>
      <c r="C23" s="27" t="s">
        <v>105</v>
      </c>
      <c r="D23" s="27" t="s">
        <v>106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100.0</v>
      </c>
      <c r="K23" s="33" t="n">
        <f>1890</f>
        <v>1890.0</v>
      </c>
      <c r="L23" s="34" t="s">
        <v>48</v>
      </c>
      <c r="M23" s="33" t="n">
        <f>1977.5</f>
        <v>1977.5</v>
      </c>
      <c r="N23" s="34" t="s">
        <v>81</v>
      </c>
      <c r="O23" s="33" t="n">
        <f>1885</f>
        <v>1885.0</v>
      </c>
      <c r="P23" s="34" t="s">
        <v>48</v>
      </c>
      <c r="Q23" s="33" t="n">
        <f>1964</f>
        <v>1964.0</v>
      </c>
      <c r="R23" s="34" t="s">
        <v>51</v>
      </c>
      <c r="S23" s="35" t="n">
        <f>1939.18</f>
        <v>1939.18</v>
      </c>
      <c r="T23" s="32" t="n">
        <f>3150200</f>
        <v>3150200.0</v>
      </c>
      <c r="U23" s="32" t="n">
        <f>2031000</f>
        <v>2031000.0</v>
      </c>
      <c r="V23" s="32" t="n">
        <f>6090471468</f>
        <v>6.090471468E9</v>
      </c>
      <c r="W23" s="32" t="n">
        <f>3914366018</f>
        <v>3.914366018E9</v>
      </c>
      <c r="X23" s="36" t="n">
        <f>20</f>
        <v>20.0</v>
      </c>
    </row>
    <row r="24">
      <c r="A24" s="27" t="s">
        <v>42</v>
      </c>
      <c r="B24" s="27" t="s">
        <v>107</v>
      </c>
      <c r="C24" s="27" t="s">
        <v>108</v>
      </c>
      <c r="D24" s="27" t="s">
        <v>109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42000</f>
        <v>42000.0</v>
      </c>
      <c r="L24" s="34" t="s">
        <v>48</v>
      </c>
      <c r="M24" s="33" t="n">
        <f>45280</f>
        <v>45280.0</v>
      </c>
      <c r="N24" s="34" t="s">
        <v>64</v>
      </c>
      <c r="O24" s="33" t="n">
        <f>41060</f>
        <v>41060.0</v>
      </c>
      <c r="P24" s="34" t="s">
        <v>50</v>
      </c>
      <c r="Q24" s="33" t="n">
        <f>44120</f>
        <v>44120.0</v>
      </c>
      <c r="R24" s="34" t="s">
        <v>51</v>
      </c>
      <c r="S24" s="35" t="n">
        <f>43633</f>
        <v>43633.0</v>
      </c>
      <c r="T24" s="32" t="n">
        <f>1001536</f>
        <v>1001536.0</v>
      </c>
      <c r="U24" s="32" t="n">
        <f>622102</f>
        <v>622102.0</v>
      </c>
      <c r="V24" s="32" t="n">
        <f>43933609055</f>
        <v>4.3933609055E10</v>
      </c>
      <c r="W24" s="32" t="n">
        <f>27328564625</f>
        <v>2.7328564625E10</v>
      </c>
      <c r="X24" s="36" t="n">
        <f>20</f>
        <v>20.0</v>
      </c>
    </row>
    <row r="25">
      <c r="A25" s="27" t="s">
        <v>42</v>
      </c>
      <c r="B25" s="27" t="s">
        <v>110</v>
      </c>
      <c r="C25" s="27" t="s">
        <v>111</v>
      </c>
      <c r="D25" s="27" t="s">
        <v>112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3040</f>
        <v>3040.0</v>
      </c>
      <c r="L25" s="34" t="s">
        <v>48</v>
      </c>
      <c r="M25" s="33" t="n">
        <f>3238</f>
        <v>3238.0</v>
      </c>
      <c r="N25" s="34" t="s">
        <v>49</v>
      </c>
      <c r="O25" s="33" t="n">
        <f>2981.5</f>
        <v>2981.5</v>
      </c>
      <c r="P25" s="34" t="s">
        <v>50</v>
      </c>
      <c r="Q25" s="33" t="n">
        <f>3184</f>
        <v>3184.0</v>
      </c>
      <c r="R25" s="34" t="s">
        <v>51</v>
      </c>
      <c r="S25" s="35" t="n">
        <f>3159.35</f>
        <v>3159.35</v>
      </c>
      <c r="T25" s="32" t="n">
        <f>13803690</f>
        <v>1.380369E7</v>
      </c>
      <c r="U25" s="32" t="n">
        <f>11792070</f>
        <v>1.179207E7</v>
      </c>
      <c r="V25" s="32" t="n">
        <f>44216117325</f>
        <v>4.4216117325E10</v>
      </c>
      <c r="W25" s="32" t="n">
        <f>37853103350</f>
        <v>3.785310335E10</v>
      </c>
      <c r="X25" s="36" t="n">
        <f>20</f>
        <v>20.0</v>
      </c>
    </row>
    <row r="26">
      <c r="A26" s="27" t="s">
        <v>42</v>
      </c>
      <c r="B26" s="27" t="s">
        <v>113</v>
      </c>
      <c r="C26" s="27" t="s">
        <v>114</v>
      </c>
      <c r="D26" s="27" t="s">
        <v>115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16945</f>
        <v>16945.0</v>
      </c>
      <c r="L26" s="34" t="s">
        <v>48</v>
      </c>
      <c r="M26" s="33" t="n">
        <f>17155</f>
        <v>17155.0</v>
      </c>
      <c r="N26" s="34" t="s">
        <v>48</v>
      </c>
      <c r="O26" s="33" t="n">
        <f>16720</f>
        <v>16720.0</v>
      </c>
      <c r="P26" s="34" t="s">
        <v>116</v>
      </c>
      <c r="Q26" s="33" t="n">
        <f>16945</f>
        <v>16945.0</v>
      </c>
      <c r="R26" s="34" t="s">
        <v>51</v>
      </c>
      <c r="S26" s="35" t="n">
        <f>16893.53</f>
        <v>16893.53</v>
      </c>
      <c r="T26" s="32" t="n">
        <f>1306</f>
        <v>1306.0</v>
      </c>
      <c r="U26" s="32" t="str">
        <f>"－"</f>
        <v>－</v>
      </c>
      <c r="V26" s="32" t="n">
        <f>22072705</f>
        <v>2.2072705E7</v>
      </c>
      <c r="W26" s="32" t="str">
        <f>"－"</f>
        <v>－</v>
      </c>
      <c r="X26" s="36" t="n">
        <f>17</f>
        <v>17.0</v>
      </c>
    </row>
    <row r="27">
      <c r="A27" s="27" t="s">
        <v>42</v>
      </c>
      <c r="B27" s="27" t="s">
        <v>117</v>
      </c>
      <c r="C27" s="27" t="s">
        <v>118</v>
      </c>
      <c r="D27" s="27" t="s">
        <v>119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242.6</f>
        <v>242.6</v>
      </c>
      <c r="L27" s="34" t="s">
        <v>48</v>
      </c>
      <c r="M27" s="33" t="n">
        <f>251.6</f>
        <v>251.6</v>
      </c>
      <c r="N27" s="34" t="s">
        <v>50</v>
      </c>
      <c r="O27" s="33" t="n">
        <f>212.7</f>
        <v>212.7</v>
      </c>
      <c r="P27" s="34" t="s">
        <v>49</v>
      </c>
      <c r="Q27" s="33" t="n">
        <f>220.1</f>
        <v>220.1</v>
      </c>
      <c r="R27" s="34" t="s">
        <v>51</v>
      </c>
      <c r="S27" s="35" t="n">
        <f>224.24</f>
        <v>224.24</v>
      </c>
      <c r="T27" s="32" t="n">
        <f>46254050</f>
        <v>4.625405E7</v>
      </c>
      <c r="U27" s="32" t="n">
        <f>291100</f>
        <v>291100.0</v>
      </c>
      <c r="V27" s="32" t="n">
        <f>10362371323</f>
        <v>1.0362371323E10</v>
      </c>
      <c r="W27" s="32" t="n">
        <f>67179468</f>
        <v>6.7179468E7</v>
      </c>
      <c r="X27" s="36" t="n">
        <f>20</f>
        <v>20.0</v>
      </c>
    </row>
    <row r="28">
      <c r="A28" s="27" t="s">
        <v>42</v>
      </c>
      <c r="B28" s="27" t="s">
        <v>120</v>
      </c>
      <c r="C28" s="27" t="s">
        <v>121</v>
      </c>
      <c r="D28" s="27" t="s">
        <v>122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9624</f>
        <v>9624.0</v>
      </c>
      <c r="L28" s="34" t="s">
        <v>48</v>
      </c>
      <c r="M28" s="33" t="n">
        <f>9991</f>
        <v>9991.0</v>
      </c>
      <c r="N28" s="34" t="s">
        <v>50</v>
      </c>
      <c r="O28" s="33" t="n">
        <f>8213</f>
        <v>8213.0</v>
      </c>
      <c r="P28" s="34" t="s">
        <v>64</v>
      </c>
      <c r="Q28" s="33" t="n">
        <f>8641</f>
        <v>8641.0</v>
      </c>
      <c r="R28" s="34" t="s">
        <v>51</v>
      </c>
      <c r="S28" s="35" t="n">
        <f>8867.05</f>
        <v>8867.05</v>
      </c>
      <c r="T28" s="32" t="n">
        <f>55545740</f>
        <v>5.554574E7</v>
      </c>
      <c r="U28" s="32" t="n">
        <f>1470821</f>
        <v>1470821.0</v>
      </c>
      <c r="V28" s="32" t="n">
        <f>489844173278</f>
        <v>4.89844173278E11</v>
      </c>
      <c r="W28" s="32" t="n">
        <f>12892591433</f>
        <v>1.2892591433E10</v>
      </c>
      <c r="X28" s="36" t="n">
        <f>20</f>
        <v>20.0</v>
      </c>
    </row>
    <row r="29">
      <c r="A29" s="27" t="s">
        <v>42</v>
      </c>
      <c r="B29" s="27" t="s">
        <v>123</v>
      </c>
      <c r="C29" s="27" t="s">
        <v>124</v>
      </c>
      <c r="D29" s="27" t="s">
        <v>125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53550</f>
        <v>53550.0</v>
      </c>
      <c r="L29" s="34" t="s">
        <v>48</v>
      </c>
      <c r="M29" s="33" t="n">
        <f>62240</f>
        <v>62240.0</v>
      </c>
      <c r="N29" s="34" t="s">
        <v>64</v>
      </c>
      <c r="O29" s="33" t="n">
        <f>51490</f>
        <v>51490.0</v>
      </c>
      <c r="P29" s="34" t="s">
        <v>50</v>
      </c>
      <c r="Q29" s="33" t="n">
        <f>59080</f>
        <v>59080.0</v>
      </c>
      <c r="R29" s="34" t="s">
        <v>51</v>
      </c>
      <c r="S29" s="35" t="n">
        <f>57858</f>
        <v>57858.0</v>
      </c>
      <c r="T29" s="32" t="n">
        <f>294964</f>
        <v>294964.0</v>
      </c>
      <c r="U29" s="32" t="n">
        <f>4375</f>
        <v>4375.0</v>
      </c>
      <c r="V29" s="32" t="n">
        <f>17202098582</f>
        <v>1.7202098582E10</v>
      </c>
      <c r="W29" s="32" t="n">
        <f>255943472</f>
        <v>2.55943472E8</v>
      </c>
      <c r="X29" s="36" t="n">
        <f>20</f>
        <v>20.0</v>
      </c>
    </row>
    <row r="30">
      <c r="A30" s="27" t="s">
        <v>42</v>
      </c>
      <c r="B30" s="27" t="s">
        <v>126</v>
      </c>
      <c r="C30" s="27" t="s">
        <v>127</v>
      </c>
      <c r="D30" s="27" t="s">
        <v>128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235.9</f>
        <v>235.9</v>
      </c>
      <c r="L30" s="34" t="s">
        <v>48</v>
      </c>
      <c r="M30" s="33" t="n">
        <f>246.2</f>
        <v>246.2</v>
      </c>
      <c r="N30" s="34" t="s">
        <v>50</v>
      </c>
      <c r="O30" s="33" t="n">
        <f>201.6</f>
        <v>201.6</v>
      </c>
      <c r="P30" s="34" t="s">
        <v>64</v>
      </c>
      <c r="Q30" s="33" t="n">
        <f>211.9</f>
        <v>211.9</v>
      </c>
      <c r="R30" s="34" t="s">
        <v>51</v>
      </c>
      <c r="S30" s="35" t="n">
        <f>217.7</f>
        <v>217.7</v>
      </c>
      <c r="T30" s="32" t="n">
        <f>1152676830</f>
        <v>1.15267683E9</v>
      </c>
      <c r="U30" s="32" t="n">
        <f>16719440</f>
        <v>1.671944E7</v>
      </c>
      <c r="V30" s="32" t="n">
        <f>249297875543</f>
        <v>2.49297875543E11</v>
      </c>
      <c r="W30" s="32" t="n">
        <f>3621082912</f>
        <v>3.621082912E9</v>
      </c>
      <c r="X30" s="36" t="n">
        <f>20</f>
        <v>20.0</v>
      </c>
    </row>
    <row r="31">
      <c r="A31" s="27" t="s">
        <v>42</v>
      </c>
      <c r="B31" s="27" t="s">
        <v>129</v>
      </c>
      <c r="C31" s="27" t="s">
        <v>130</v>
      </c>
      <c r="D31" s="27" t="s">
        <v>131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2739</f>
        <v>2739.0</v>
      </c>
      <c r="L31" s="34" t="s">
        <v>48</v>
      </c>
      <c r="M31" s="33" t="n">
        <f>2871</f>
        <v>2871.0</v>
      </c>
      <c r="N31" s="34" t="s">
        <v>49</v>
      </c>
      <c r="O31" s="33" t="n">
        <f>2687</f>
        <v>2687.0</v>
      </c>
      <c r="P31" s="34" t="s">
        <v>50</v>
      </c>
      <c r="Q31" s="33" t="n">
        <f>2827</f>
        <v>2827.0</v>
      </c>
      <c r="R31" s="34" t="s">
        <v>51</v>
      </c>
      <c r="S31" s="35" t="n">
        <f>2808.15</f>
        <v>2808.15</v>
      </c>
      <c r="T31" s="32" t="n">
        <f>796082</f>
        <v>796082.0</v>
      </c>
      <c r="U31" s="32" t="n">
        <f>671768</f>
        <v>671768.0</v>
      </c>
      <c r="V31" s="32" t="n">
        <f>2227366310</f>
        <v>2.22736631E9</v>
      </c>
      <c r="W31" s="32" t="n">
        <f>1878346146</f>
        <v>1.878346146E9</v>
      </c>
      <c r="X31" s="36" t="n">
        <f>20</f>
        <v>20.0</v>
      </c>
    </row>
    <row r="32">
      <c r="A32" s="27" t="s">
        <v>42</v>
      </c>
      <c r="B32" s="27" t="s">
        <v>132</v>
      </c>
      <c r="C32" s="27" t="s">
        <v>133</v>
      </c>
      <c r="D32" s="27" t="s">
        <v>134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43720</f>
        <v>43720.0</v>
      </c>
      <c r="L32" s="34" t="s">
        <v>48</v>
      </c>
      <c r="M32" s="33" t="n">
        <f>50770</f>
        <v>50770.0</v>
      </c>
      <c r="N32" s="34" t="s">
        <v>64</v>
      </c>
      <c r="O32" s="33" t="n">
        <f>42010</f>
        <v>42010.0</v>
      </c>
      <c r="P32" s="34" t="s">
        <v>50</v>
      </c>
      <c r="Q32" s="33" t="n">
        <f>48160</f>
        <v>48160.0</v>
      </c>
      <c r="R32" s="34" t="s">
        <v>51</v>
      </c>
      <c r="S32" s="35" t="n">
        <f>47240</f>
        <v>47240.0</v>
      </c>
      <c r="T32" s="32" t="n">
        <f>916746</f>
        <v>916746.0</v>
      </c>
      <c r="U32" s="32" t="n">
        <f>19901</f>
        <v>19901.0</v>
      </c>
      <c r="V32" s="32" t="n">
        <f>43521334776</f>
        <v>4.3521334776E10</v>
      </c>
      <c r="W32" s="32" t="n">
        <f>942070926</f>
        <v>9.42070926E8</v>
      </c>
      <c r="X32" s="36" t="n">
        <f>20</f>
        <v>20.0</v>
      </c>
    </row>
    <row r="33">
      <c r="A33" s="27" t="s">
        <v>42</v>
      </c>
      <c r="B33" s="27" t="s">
        <v>135</v>
      </c>
      <c r="C33" s="27" t="s">
        <v>136</v>
      </c>
      <c r="D33" s="27" t="s">
        <v>137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241</f>
        <v>241.0</v>
      </c>
      <c r="L33" s="34" t="s">
        <v>48</v>
      </c>
      <c r="M33" s="33" t="n">
        <f>253</f>
        <v>253.0</v>
      </c>
      <c r="N33" s="34" t="s">
        <v>50</v>
      </c>
      <c r="O33" s="33" t="n">
        <f>206</f>
        <v>206.0</v>
      </c>
      <c r="P33" s="34" t="s">
        <v>64</v>
      </c>
      <c r="Q33" s="33" t="n">
        <f>218</f>
        <v>218.0</v>
      </c>
      <c r="R33" s="34" t="s">
        <v>51</v>
      </c>
      <c r="S33" s="35" t="n">
        <f>223</f>
        <v>223.0</v>
      </c>
      <c r="T33" s="32" t="n">
        <f>66260363</f>
        <v>6.6260363E7</v>
      </c>
      <c r="U33" s="32" t="n">
        <f>1124277</f>
        <v>1124277.0</v>
      </c>
      <c r="V33" s="32" t="n">
        <f>14753929822</f>
        <v>1.4753929822E10</v>
      </c>
      <c r="W33" s="32" t="n">
        <f>249167508</f>
        <v>2.49167508E8</v>
      </c>
      <c r="X33" s="36" t="n">
        <f>20</f>
        <v>20.0</v>
      </c>
    </row>
    <row r="34">
      <c r="A34" s="27" t="s">
        <v>42</v>
      </c>
      <c r="B34" s="27" t="s">
        <v>138</v>
      </c>
      <c r="C34" s="27" t="s">
        <v>139</v>
      </c>
      <c r="D34" s="27" t="s">
        <v>140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40750</f>
        <v>40750.0</v>
      </c>
      <c r="L34" s="34" t="s">
        <v>48</v>
      </c>
      <c r="M34" s="33" t="n">
        <f>46210</f>
        <v>46210.0</v>
      </c>
      <c r="N34" s="34" t="s">
        <v>49</v>
      </c>
      <c r="O34" s="33" t="n">
        <f>39320</f>
        <v>39320.0</v>
      </c>
      <c r="P34" s="34" t="s">
        <v>50</v>
      </c>
      <c r="Q34" s="33" t="n">
        <f>44590</f>
        <v>44590.0</v>
      </c>
      <c r="R34" s="34" t="s">
        <v>51</v>
      </c>
      <c r="S34" s="35" t="n">
        <f>43978.5</f>
        <v>43978.5</v>
      </c>
      <c r="T34" s="32" t="n">
        <f>126447</f>
        <v>126447.0</v>
      </c>
      <c r="U34" s="32" t="n">
        <f>3087</f>
        <v>3087.0</v>
      </c>
      <c r="V34" s="32" t="n">
        <f>5595014730</f>
        <v>5.59501473E9</v>
      </c>
      <c r="W34" s="32" t="n">
        <f>133603210</f>
        <v>1.3360321E8</v>
      </c>
      <c r="X34" s="36" t="n">
        <f>20</f>
        <v>20.0</v>
      </c>
    </row>
    <row r="35">
      <c r="A35" s="27" t="s">
        <v>42</v>
      </c>
      <c r="B35" s="27" t="s">
        <v>141</v>
      </c>
      <c r="C35" s="27" t="s">
        <v>142</v>
      </c>
      <c r="D35" s="27" t="s">
        <v>143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355</f>
        <v>355.0</v>
      </c>
      <c r="L35" s="34" t="s">
        <v>48</v>
      </c>
      <c r="M35" s="33" t="n">
        <f>365</f>
        <v>365.0</v>
      </c>
      <c r="N35" s="34" t="s">
        <v>50</v>
      </c>
      <c r="O35" s="33" t="n">
        <f>309</f>
        <v>309.0</v>
      </c>
      <c r="P35" s="34" t="s">
        <v>49</v>
      </c>
      <c r="Q35" s="33" t="n">
        <f>319</f>
        <v>319.0</v>
      </c>
      <c r="R35" s="34" t="s">
        <v>51</v>
      </c>
      <c r="S35" s="35" t="n">
        <f>326.05</f>
        <v>326.05</v>
      </c>
      <c r="T35" s="32" t="n">
        <f>3534160</f>
        <v>3534160.0</v>
      </c>
      <c r="U35" s="32" t="n">
        <f>6251</f>
        <v>6251.0</v>
      </c>
      <c r="V35" s="32" t="n">
        <f>1154597138</f>
        <v>1.154597138E9</v>
      </c>
      <c r="W35" s="32" t="n">
        <f>2028936</f>
        <v>2028936.0</v>
      </c>
      <c r="X35" s="36" t="n">
        <f>20</f>
        <v>20.0</v>
      </c>
    </row>
    <row r="36">
      <c r="A36" s="27" t="s">
        <v>42</v>
      </c>
      <c r="B36" s="27" t="s">
        <v>144</v>
      </c>
      <c r="C36" s="27" t="s">
        <v>145</v>
      </c>
      <c r="D36" s="27" t="s">
        <v>146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40820</f>
        <v>40820.0</v>
      </c>
      <c r="L36" s="34" t="s">
        <v>48</v>
      </c>
      <c r="M36" s="33" t="n">
        <f>43940</f>
        <v>43940.0</v>
      </c>
      <c r="N36" s="34" t="s">
        <v>64</v>
      </c>
      <c r="O36" s="33" t="n">
        <f>39920</f>
        <v>39920.0</v>
      </c>
      <c r="P36" s="34" t="s">
        <v>50</v>
      </c>
      <c r="Q36" s="33" t="n">
        <f>42860</f>
        <v>42860.0</v>
      </c>
      <c r="R36" s="34" t="s">
        <v>51</v>
      </c>
      <c r="S36" s="35" t="n">
        <f>42425</f>
        <v>42425.0</v>
      </c>
      <c r="T36" s="32" t="n">
        <f>165527</f>
        <v>165527.0</v>
      </c>
      <c r="U36" s="32" t="n">
        <f>23285</f>
        <v>23285.0</v>
      </c>
      <c r="V36" s="32" t="n">
        <f>7032405325</f>
        <v>7.032405325E9</v>
      </c>
      <c r="W36" s="32" t="n">
        <f>990160545</f>
        <v>9.90160545E8</v>
      </c>
      <c r="X36" s="36" t="n">
        <f>20</f>
        <v>20.0</v>
      </c>
    </row>
    <row r="37">
      <c r="A37" s="27" t="s">
        <v>42</v>
      </c>
      <c r="B37" s="27" t="s">
        <v>147</v>
      </c>
      <c r="C37" s="27" t="s">
        <v>148</v>
      </c>
      <c r="D37" s="27" t="s">
        <v>149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41190</f>
        <v>41190.0</v>
      </c>
      <c r="L37" s="34" t="s">
        <v>48</v>
      </c>
      <c r="M37" s="33" t="n">
        <f>44360</f>
        <v>44360.0</v>
      </c>
      <c r="N37" s="34" t="s">
        <v>64</v>
      </c>
      <c r="O37" s="33" t="n">
        <f>40240</f>
        <v>40240.0</v>
      </c>
      <c r="P37" s="34" t="s">
        <v>50</v>
      </c>
      <c r="Q37" s="33" t="n">
        <f>43280</f>
        <v>43280.0</v>
      </c>
      <c r="R37" s="34" t="s">
        <v>51</v>
      </c>
      <c r="S37" s="35" t="n">
        <f>42759</f>
        <v>42759.0</v>
      </c>
      <c r="T37" s="32" t="n">
        <f>92123</f>
        <v>92123.0</v>
      </c>
      <c r="U37" s="32" t="n">
        <f>31488</f>
        <v>31488.0</v>
      </c>
      <c r="V37" s="32" t="n">
        <f>3932271838</f>
        <v>3.932271838E9</v>
      </c>
      <c r="W37" s="32" t="n">
        <f>1349585218</f>
        <v>1.349585218E9</v>
      </c>
      <c r="X37" s="36" t="n">
        <f>20</f>
        <v>20.0</v>
      </c>
    </row>
    <row r="38">
      <c r="A38" s="27" t="s">
        <v>42</v>
      </c>
      <c r="B38" s="27" t="s">
        <v>150</v>
      </c>
      <c r="C38" s="27" t="s">
        <v>151</v>
      </c>
      <c r="D38" s="27" t="s">
        <v>152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10.0</v>
      </c>
      <c r="K38" s="33" t="n">
        <f>1920</f>
        <v>1920.0</v>
      </c>
      <c r="L38" s="34" t="s">
        <v>48</v>
      </c>
      <c r="M38" s="33" t="n">
        <f>2007.5</f>
        <v>2007.5</v>
      </c>
      <c r="N38" s="34" t="s">
        <v>81</v>
      </c>
      <c r="O38" s="33" t="n">
        <f>1912</f>
        <v>1912.0</v>
      </c>
      <c r="P38" s="34" t="s">
        <v>48</v>
      </c>
      <c r="Q38" s="33" t="n">
        <f>1994.5</f>
        <v>1994.5</v>
      </c>
      <c r="R38" s="34" t="s">
        <v>51</v>
      </c>
      <c r="S38" s="35" t="n">
        <f>1968.48</f>
        <v>1968.48</v>
      </c>
      <c r="T38" s="32" t="n">
        <f>7259060</f>
        <v>7259060.0</v>
      </c>
      <c r="U38" s="32" t="n">
        <f>3194350</f>
        <v>3194350.0</v>
      </c>
      <c r="V38" s="32" t="n">
        <f>14244158241</f>
        <v>1.4244158241E10</v>
      </c>
      <c r="W38" s="32" t="n">
        <f>6249596341</f>
        <v>6.249596341E9</v>
      </c>
      <c r="X38" s="36" t="n">
        <f>20</f>
        <v>20.0</v>
      </c>
    </row>
    <row r="39">
      <c r="A39" s="27" t="s">
        <v>42</v>
      </c>
      <c r="B39" s="27" t="s">
        <v>153</v>
      </c>
      <c r="C39" s="27" t="s">
        <v>154</v>
      </c>
      <c r="D39" s="27" t="s">
        <v>155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2310</f>
        <v>2310.0</v>
      </c>
      <c r="L39" s="34" t="s">
        <v>48</v>
      </c>
      <c r="M39" s="33" t="n">
        <f>2541</f>
        <v>2541.0</v>
      </c>
      <c r="N39" s="34" t="s">
        <v>156</v>
      </c>
      <c r="O39" s="33" t="n">
        <f>2310</f>
        <v>2310.0</v>
      </c>
      <c r="P39" s="34" t="s">
        <v>48</v>
      </c>
      <c r="Q39" s="33" t="n">
        <f>2489</f>
        <v>2489.0</v>
      </c>
      <c r="R39" s="34" t="s">
        <v>51</v>
      </c>
      <c r="S39" s="35" t="n">
        <f>2459.85</f>
        <v>2459.85</v>
      </c>
      <c r="T39" s="32" t="n">
        <f>11767</f>
        <v>11767.0</v>
      </c>
      <c r="U39" s="32" t="n">
        <f>281</f>
        <v>281.0</v>
      </c>
      <c r="V39" s="32" t="n">
        <f>28824222</f>
        <v>2.8824222E7</v>
      </c>
      <c r="W39" s="32" t="n">
        <f>667980</f>
        <v>667980.0</v>
      </c>
      <c r="X39" s="36" t="n">
        <f>20</f>
        <v>20.0</v>
      </c>
    </row>
    <row r="40">
      <c r="A40" s="27" t="s">
        <v>42</v>
      </c>
      <c r="B40" s="27" t="s">
        <v>157</v>
      </c>
      <c r="C40" s="27" t="s">
        <v>158</v>
      </c>
      <c r="D40" s="27" t="s">
        <v>159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1985</f>
        <v>1985.0</v>
      </c>
      <c r="L40" s="34" t="s">
        <v>48</v>
      </c>
      <c r="M40" s="33" t="n">
        <f>1987</f>
        <v>1987.0</v>
      </c>
      <c r="N40" s="34" t="s">
        <v>48</v>
      </c>
      <c r="O40" s="33" t="n">
        <f>1953</f>
        <v>1953.0</v>
      </c>
      <c r="P40" s="34" t="s">
        <v>51</v>
      </c>
      <c r="Q40" s="33" t="n">
        <f>1953</f>
        <v>1953.0</v>
      </c>
      <c r="R40" s="34" t="s">
        <v>51</v>
      </c>
      <c r="S40" s="35" t="n">
        <f>1966.21</f>
        <v>1966.21</v>
      </c>
      <c r="T40" s="32" t="n">
        <f>923</f>
        <v>923.0</v>
      </c>
      <c r="U40" s="32" t="str">
        <f>"－"</f>
        <v>－</v>
      </c>
      <c r="V40" s="32" t="n">
        <f>1813248</f>
        <v>1813248.0</v>
      </c>
      <c r="W40" s="32" t="str">
        <f>"－"</f>
        <v>－</v>
      </c>
      <c r="X40" s="36" t="n">
        <f>19</f>
        <v>19.0</v>
      </c>
    </row>
    <row r="41">
      <c r="A41" s="27" t="s">
        <v>42</v>
      </c>
      <c r="B41" s="27" t="s">
        <v>160</v>
      </c>
      <c r="C41" s="27" t="s">
        <v>161</v>
      </c>
      <c r="D41" s="27" t="s">
        <v>162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2255</f>
        <v>2255.0</v>
      </c>
      <c r="L41" s="34" t="s">
        <v>48</v>
      </c>
      <c r="M41" s="33" t="n">
        <f>2304</f>
        <v>2304.0</v>
      </c>
      <c r="N41" s="34" t="s">
        <v>50</v>
      </c>
      <c r="O41" s="33" t="n">
        <f>2087</f>
        <v>2087.0</v>
      </c>
      <c r="P41" s="34" t="s">
        <v>64</v>
      </c>
      <c r="Q41" s="33" t="n">
        <f>2142</f>
        <v>2142.0</v>
      </c>
      <c r="R41" s="34" t="s">
        <v>51</v>
      </c>
      <c r="S41" s="35" t="n">
        <f>2166.55</f>
        <v>2166.55</v>
      </c>
      <c r="T41" s="32" t="n">
        <f>3034868</f>
        <v>3034868.0</v>
      </c>
      <c r="U41" s="32" t="n">
        <f>603965</f>
        <v>603965.0</v>
      </c>
      <c r="V41" s="32" t="n">
        <f>6662593842</f>
        <v>6.662593842E9</v>
      </c>
      <c r="W41" s="32" t="n">
        <f>1313830399</f>
        <v>1.313830399E9</v>
      </c>
      <c r="X41" s="36" t="n">
        <f>20</f>
        <v>20.0</v>
      </c>
    </row>
    <row r="42">
      <c r="A42" s="27" t="s">
        <v>42</v>
      </c>
      <c r="B42" s="27" t="s">
        <v>163</v>
      </c>
      <c r="C42" s="27" t="s">
        <v>164</v>
      </c>
      <c r="D42" s="27" t="s">
        <v>165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2615</f>
        <v>2615.0</v>
      </c>
      <c r="L42" s="34" t="s">
        <v>48</v>
      </c>
      <c r="M42" s="33" t="n">
        <f>2662</f>
        <v>2662.0</v>
      </c>
      <c r="N42" s="34" t="s">
        <v>50</v>
      </c>
      <c r="O42" s="33" t="n">
        <f>2447</f>
        <v>2447.0</v>
      </c>
      <c r="P42" s="34" t="s">
        <v>49</v>
      </c>
      <c r="Q42" s="33" t="n">
        <f>2492</f>
        <v>2492.0</v>
      </c>
      <c r="R42" s="34" t="s">
        <v>51</v>
      </c>
      <c r="S42" s="35" t="n">
        <f>2514.6</f>
        <v>2514.6</v>
      </c>
      <c r="T42" s="32" t="n">
        <f>2530547</f>
        <v>2530547.0</v>
      </c>
      <c r="U42" s="32" t="n">
        <f>842820</f>
        <v>842820.0</v>
      </c>
      <c r="V42" s="32" t="n">
        <f>6282385476</f>
        <v>6.282385476E9</v>
      </c>
      <c r="W42" s="32" t="n">
        <f>2100818475</f>
        <v>2.100818475E9</v>
      </c>
      <c r="X42" s="36" t="n">
        <f>20</f>
        <v>20.0</v>
      </c>
    </row>
    <row r="43">
      <c r="A43" s="27" t="s">
        <v>42</v>
      </c>
      <c r="B43" s="27" t="s">
        <v>166</v>
      </c>
      <c r="C43" s="27" t="s">
        <v>167</v>
      </c>
      <c r="D43" s="27" t="s">
        <v>168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33750</f>
        <v>33750.0</v>
      </c>
      <c r="L43" s="34" t="s">
        <v>48</v>
      </c>
      <c r="M43" s="33" t="n">
        <f>39120</f>
        <v>39120.0</v>
      </c>
      <c r="N43" s="34" t="s">
        <v>64</v>
      </c>
      <c r="O43" s="33" t="n">
        <f>32350</f>
        <v>32350.0</v>
      </c>
      <c r="P43" s="34" t="s">
        <v>50</v>
      </c>
      <c r="Q43" s="33" t="n">
        <f>37120</f>
        <v>37120.0</v>
      </c>
      <c r="R43" s="34" t="s">
        <v>51</v>
      </c>
      <c r="S43" s="35" t="n">
        <f>36399.5</f>
        <v>36399.5</v>
      </c>
      <c r="T43" s="32" t="n">
        <f>5869239</f>
        <v>5869239.0</v>
      </c>
      <c r="U43" s="32" t="n">
        <f>10323</f>
        <v>10323.0</v>
      </c>
      <c r="V43" s="32" t="n">
        <f>213861835661</f>
        <v>2.13861835661E11</v>
      </c>
      <c r="W43" s="32" t="n">
        <f>377226101</f>
        <v>3.77226101E8</v>
      </c>
      <c r="X43" s="36" t="n">
        <f>20</f>
        <v>20.0</v>
      </c>
    </row>
    <row r="44">
      <c r="A44" s="27" t="s">
        <v>42</v>
      </c>
      <c r="B44" s="27" t="s">
        <v>169</v>
      </c>
      <c r="C44" s="27" t="s">
        <v>170</v>
      </c>
      <c r="D44" s="27" t="s">
        <v>171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386</f>
        <v>386.0</v>
      </c>
      <c r="L44" s="34" t="s">
        <v>48</v>
      </c>
      <c r="M44" s="33" t="n">
        <f>403</f>
        <v>403.0</v>
      </c>
      <c r="N44" s="34" t="s">
        <v>50</v>
      </c>
      <c r="O44" s="33" t="n">
        <f>330</f>
        <v>330.0</v>
      </c>
      <c r="P44" s="34" t="s">
        <v>64</v>
      </c>
      <c r="Q44" s="33" t="n">
        <f>348</f>
        <v>348.0</v>
      </c>
      <c r="R44" s="34" t="s">
        <v>51</v>
      </c>
      <c r="S44" s="35" t="n">
        <f>357</f>
        <v>357.0</v>
      </c>
      <c r="T44" s="32" t="n">
        <f>333788116</f>
        <v>3.33788116E8</v>
      </c>
      <c r="U44" s="32" t="n">
        <f>4950041</f>
        <v>4950041.0</v>
      </c>
      <c r="V44" s="32" t="n">
        <f>119051362274</f>
        <v>1.19051362274E11</v>
      </c>
      <c r="W44" s="32" t="n">
        <f>1753775083</f>
        <v>1.753775083E9</v>
      </c>
      <c r="X44" s="36" t="n">
        <f>20</f>
        <v>20.0</v>
      </c>
    </row>
    <row r="45">
      <c r="A45" s="27" t="s">
        <v>42</v>
      </c>
      <c r="B45" s="27" t="s">
        <v>172</v>
      </c>
      <c r="C45" s="27" t="s">
        <v>173</v>
      </c>
      <c r="D45" s="27" t="s">
        <v>174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452</f>
        <v>452.0</v>
      </c>
      <c r="L45" s="34" t="s">
        <v>48</v>
      </c>
      <c r="M45" s="33" t="n">
        <f>469</f>
        <v>469.0</v>
      </c>
      <c r="N45" s="34" t="s">
        <v>50</v>
      </c>
      <c r="O45" s="33" t="n">
        <f>399</f>
        <v>399.0</v>
      </c>
      <c r="P45" s="34" t="s">
        <v>49</v>
      </c>
      <c r="Q45" s="33" t="n">
        <f>419</f>
        <v>419.0</v>
      </c>
      <c r="R45" s="34" t="s">
        <v>51</v>
      </c>
      <c r="S45" s="35" t="n">
        <f>425.3</f>
        <v>425.3</v>
      </c>
      <c r="T45" s="32" t="n">
        <f>212575</f>
        <v>212575.0</v>
      </c>
      <c r="U45" s="32" t="str">
        <f>"－"</f>
        <v>－</v>
      </c>
      <c r="V45" s="32" t="n">
        <f>89202171</f>
        <v>8.9202171E7</v>
      </c>
      <c r="W45" s="32" t="str">
        <f>"－"</f>
        <v>－</v>
      </c>
      <c r="X45" s="36" t="n">
        <f>20</f>
        <v>20.0</v>
      </c>
    </row>
    <row r="46">
      <c r="A46" s="27" t="s">
        <v>42</v>
      </c>
      <c r="B46" s="27" t="s">
        <v>175</v>
      </c>
      <c r="C46" s="27" t="s">
        <v>176</v>
      </c>
      <c r="D46" s="27" t="s">
        <v>177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10.0</v>
      </c>
      <c r="K46" s="33" t="n">
        <f>444.9</f>
        <v>444.9</v>
      </c>
      <c r="L46" s="34" t="s">
        <v>48</v>
      </c>
      <c r="M46" s="33" t="n">
        <f>454.2</f>
        <v>454.2</v>
      </c>
      <c r="N46" s="34" t="s">
        <v>50</v>
      </c>
      <c r="O46" s="33" t="n">
        <f>388</f>
        <v>388.0</v>
      </c>
      <c r="P46" s="34" t="s">
        <v>64</v>
      </c>
      <c r="Q46" s="33" t="n">
        <f>404</f>
        <v>404.0</v>
      </c>
      <c r="R46" s="34" t="s">
        <v>51</v>
      </c>
      <c r="S46" s="35" t="n">
        <f>408.77</f>
        <v>408.77</v>
      </c>
      <c r="T46" s="32" t="n">
        <f>235360</f>
        <v>235360.0</v>
      </c>
      <c r="U46" s="32" t="n">
        <f>3940</f>
        <v>3940.0</v>
      </c>
      <c r="V46" s="32" t="n">
        <f>96952037</f>
        <v>9.6952037E7</v>
      </c>
      <c r="W46" s="32" t="n">
        <f>1613609</f>
        <v>1613609.0</v>
      </c>
      <c r="X46" s="36" t="n">
        <f>20</f>
        <v>20.0</v>
      </c>
    </row>
    <row r="47">
      <c r="A47" s="27" t="s">
        <v>42</v>
      </c>
      <c r="B47" s="27" t="s">
        <v>178</v>
      </c>
      <c r="C47" s="27" t="s">
        <v>179</v>
      </c>
      <c r="D47" s="27" t="s">
        <v>180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178</f>
        <v>178.0</v>
      </c>
      <c r="L47" s="34" t="s">
        <v>48</v>
      </c>
      <c r="M47" s="33" t="n">
        <f>187</f>
        <v>187.0</v>
      </c>
      <c r="N47" s="34" t="s">
        <v>50</v>
      </c>
      <c r="O47" s="33" t="n">
        <f>158</f>
        <v>158.0</v>
      </c>
      <c r="P47" s="34" t="s">
        <v>64</v>
      </c>
      <c r="Q47" s="33" t="n">
        <f>165</f>
        <v>165.0</v>
      </c>
      <c r="R47" s="34" t="s">
        <v>51</v>
      </c>
      <c r="S47" s="35" t="n">
        <f>167</f>
        <v>167.0</v>
      </c>
      <c r="T47" s="32" t="n">
        <f>455028</f>
        <v>455028.0</v>
      </c>
      <c r="U47" s="32" t="str">
        <f>"－"</f>
        <v>－</v>
      </c>
      <c r="V47" s="32" t="n">
        <f>76897405</f>
        <v>7.6897405E7</v>
      </c>
      <c r="W47" s="32" t="str">
        <f>"－"</f>
        <v>－</v>
      </c>
      <c r="X47" s="36" t="n">
        <f>20</f>
        <v>20.0</v>
      </c>
    </row>
    <row r="48">
      <c r="A48" s="27" t="s">
        <v>42</v>
      </c>
      <c r="B48" s="27" t="s">
        <v>181</v>
      </c>
      <c r="C48" s="27" t="s">
        <v>182</v>
      </c>
      <c r="D48" s="27" t="s">
        <v>183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10.0</v>
      </c>
      <c r="K48" s="33" t="n">
        <f>2984</f>
        <v>2984.0</v>
      </c>
      <c r="L48" s="34" t="s">
        <v>48</v>
      </c>
      <c r="M48" s="33" t="n">
        <f>3175</f>
        <v>3175.0</v>
      </c>
      <c r="N48" s="34" t="s">
        <v>64</v>
      </c>
      <c r="O48" s="33" t="n">
        <f>2928</f>
        <v>2928.0</v>
      </c>
      <c r="P48" s="34" t="s">
        <v>50</v>
      </c>
      <c r="Q48" s="33" t="n">
        <f>3121</f>
        <v>3121.0</v>
      </c>
      <c r="R48" s="34" t="s">
        <v>51</v>
      </c>
      <c r="S48" s="35" t="n">
        <f>3099.13</f>
        <v>3099.13</v>
      </c>
      <c r="T48" s="32" t="n">
        <f>3467150</f>
        <v>3467150.0</v>
      </c>
      <c r="U48" s="32" t="n">
        <f>3076460</f>
        <v>3076460.0</v>
      </c>
      <c r="V48" s="32" t="n">
        <f>10852012675</f>
        <v>1.0852012675E10</v>
      </c>
      <c r="W48" s="32" t="n">
        <f>9646459935</f>
        <v>9.646459935E9</v>
      </c>
      <c r="X48" s="36" t="n">
        <f>20</f>
        <v>20.0</v>
      </c>
    </row>
    <row r="49">
      <c r="A49" s="27" t="s">
        <v>42</v>
      </c>
      <c r="B49" s="27" t="s">
        <v>184</v>
      </c>
      <c r="C49" s="27" t="s">
        <v>185</v>
      </c>
      <c r="D49" s="27" t="s">
        <v>186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26765</f>
        <v>26765.0</v>
      </c>
      <c r="L49" s="34" t="s">
        <v>48</v>
      </c>
      <c r="M49" s="33" t="n">
        <f>28370</f>
        <v>28370.0</v>
      </c>
      <c r="N49" s="34" t="s">
        <v>64</v>
      </c>
      <c r="O49" s="33" t="n">
        <f>26275</f>
        <v>26275.0</v>
      </c>
      <c r="P49" s="34" t="s">
        <v>50</v>
      </c>
      <c r="Q49" s="33" t="n">
        <f>27895</f>
        <v>27895.0</v>
      </c>
      <c r="R49" s="34" t="s">
        <v>51</v>
      </c>
      <c r="S49" s="35" t="n">
        <f>27723</f>
        <v>27723.0</v>
      </c>
      <c r="T49" s="32" t="n">
        <f>31261</f>
        <v>31261.0</v>
      </c>
      <c r="U49" s="32" t="n">
        <f>17000</f>
        <v>17000.0</v>
      </c>
      <c r="V49" s="32" t="n">
        <f>869757992</f>
        <v>8.69757992E8</v>
      </c>
      <c r="W49" s="32" t="n">
        <f>479434992</f>
        <v>4.79434992E8</v>
      </c>
      <c r="X49" s="36" t="n">
        <f>20</f>
        <v>20.0</v>
      </c>
    </row>
    <row r="50">
      <c r="A50" s="27" t="s">
        <v>42</v>
      </c>
      <c r="B50" s="27" t="s">
        <v>187</v>
      </c>
      <c r="C50" s="27" t="s">
        <v>188</v>
      </c>
      <c r="D50" s="27" t="s">
        <v>189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10.0</v>
      </c>
      <c r="K50" s="33" t="n">
        <f>304.4</f>
        <v>304.4</v>
      </c>
      <c r="L50" s="34" t="s">
        <v>48</v>
      </c>
      <c r="M50" s="33" t="n">
        <f>320.2</f>
        <v>320.2</v>
      </c>
      <c r="N50" s="34" t="s">
        <v>49</v>
      </c>
      <c r="O50" s="33" t="n">
        <f>298.3</f>
        <v>298.3</v>
      </c>
      <c r="P50" s="34" t="s">
        <v>50</v>
      </c>
      <c r="Q50" s="33" t="n">
        <f>314.5</f>
        <v>314.5</v>
      </c>
      <c r="R50" s="34" t="s">
        <v>51</v>
      </c>
      <c r="S50" s="35" t="n">
        <f>312.98</f>
        <v>312.98</v>
      </c>
      <c r="T50" s="32" t="n">
        <f>114807530</f>
        <v>1.1480753E8</v>
      </c>
      <c r="U50" s="32" t="n">
        <f>70883120</f>
        <v>7.088312E7</v>
      </c>
      <c r="V50" s="32" t="n">
        <f>35939090883</f>
        <v>3.5939090883E10</v>
      </c>
      <c r="W50" s="32" t="n">
        <f>22252707464</f>
        <v>2.2252707464E10</v>
      </c>
      <c r="X50" s="36" t="n">
        <f>20</f>
        <v>20.0</v>
      </c>
    </row>
    <row r="51">
      <c r="A51" s="27" t="s">
        <v>42</v>
      </c>
      <c r="B51" s="27" t="s">
        <v>190</v>
      </c>
      <c r="C51" s="27" t="s">
        <v>191</v>
      </c>
      <c r="D51" s="27" t="s">
        <v>192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1936</f>
        <v>1936.0</v>
      </c>
      <c r="L51" s="34" t="s">
        <v>48</v>
      </c>
      <c r="M51" s="33" t="n">
        <f>2004</f>
        <v>2004.0</v>
      </c>
      <c r="N51" s="34" t="s">
        <v>81</v>
      </c>
      <c r="O51" s="33" t="n">
        <f>1929</f>
        <v>1929.0</v>
      </c>
      <c r="P51" s="34" t="s">
        <v>48</v>
      </c>
      <c r="Q51" s="33" t="n">
        <f>1989</f>
        <v>1989.0</v>
      </c>
      <c r="R51" s="34" t="s">
        <v>51</v>
      </c>
      <c r="S51" s="35" t="n">
        <f>1969.2</f>
        <v>1969.2</v>
      </c>
      <c r="T51" s="32" t="n">
        <f>15259899</f>
        <v>1.5259899E7</v>
      </c>
      <c r="U51" s="32" t="n">
        <f>11123938</f>
        <v>1.1123938E7</v>
      </c>
      <c r="V51" s="32" t="n">
        <f>29932704458</f>
        <v>2.9932704458E10</v>
      </c>
      <c r="W51" s="32" t="n">
        <f>21815532931</f>
        <v>2.1815532931E10</v>
      </c>
      <c r="X51" s="36" t="n">
        <f>20</f>
        <v>20.0</v>
      </c>
    </row>
    <row r="52">
      <c r="A52" s="27" t="s">
        <v>42</v>
      </c>
      <c r="B52" s="27" t="s">
        <v>193</v>
      </c>
      <c r="C52" s="27" t="s">
        <v>194</v>
      </c>
      <c r="D52" s="27" t="s">
        <v>195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2691</f>
        <v>2691.0</v>
      </c>
      <c r="L52" s="34" t="s">
        <v>48</v>
      </c>
      <c r="M52" s="33" t="n">
        <f>2848</f>
        <v>2848.0</v>
      </c>
      <c r="N52" s="34" t="s">
        <v>86</v>
      </c>
      <c r="O52" s="33" t="n">
        <f>2606</f>
        <v>2606.0</v>
      </c>
      <c r="P52" s="34" t="s">
        <v>50</v>
      </c>
      <c r="Q52" s="33" t="n">
        <f>2776</f>
        <v>2776.0</v>
      </c>
      <c r="R52" s="34" t="s">
        <v>51</v>
      </c>
      <c r="S52" s="35" t="n">
        <f>2777.65</f>
        <v>2777.65</v>
      </c>
      <c r="T52" s="32" t="n">
        <f>129998</f>
        <v>129998.0</v>
      </c>
      <c r="U52" s="32" t="n">
        <f>65295</f>
        <v>65295.0</v>
      </c>
      <c r="V52" s="32" t="n">
        <f>365942873</f>
        <v>3.65942873E8</v>
      </c>
      <c r="W52" s="32" t="n">
        <f>184582409</f>
        <v>1.84582409E8</v>
      </c>
      <c r="X52" s="36" t="n">
        <f>20</f>
        <v>20.0</v>
      </c>
    </row>
    <row r="53">
      <c r="A53" s="27" t="s">
        <v>42</v>
      </c>
      <c r="B53" s="27" t="s">
        <v>196</v>
      </c>
      <c r="C53" s="27" t="s">
        <v>197</v>
      </c>
      <c r="D53" s="27" t="s">
        <v>198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3991</f>
        <v>3991.0</v>
      </c>
      <c r="L53" s="34" t="s">
        <v>48</v>
      </c>
      <c r="M53" s="33" t="n">
        <f>4215</f>
        <v>4215.0</v>
      </c>
      <c r="N53" s="34" t="s">
        <v>199</v>
      </c>
      <c r="O53" s="33" t="n">
        <f>3915</f>
        <v>3915.0</v>
      </c>
      <c r="P53" s="34" t="s">
        <v>50</v>
      </c>
      <c r="Q53" s="33" t="n">
        <f>4130</f>
        <v>4130.0</v>
      </c>
      <c r="R53" s="34" t="s">
        <v>51</v>
      </c>
      <c r="S53" s="35" t="n">
        <f>4105.55</f>
        <v>4105.55</v>
      </c>
      <c r="T53" s="32" t="n">
        <f>1370798</f>
        <v>1370798.0</v>
      </c>
      <c r="U53" s="32" t="n">
        <f>629339</f>
        <v>629339.0</v>
      </c>
      <c r="V53" s="32" t="n">
        <f>5594069583</f>
        <v>5.594069583E9</v>
      </c>
      <c r="W53" s="32" t="n">
        <f>2574988496</f>
        <v>2.574988496E9</v>
      </c>
      <c r="X53" s="36" t="n">
        <f>20</f>
        <v>20.0</v>
      </c>
    </row>
    <row r="54">
      <c r="A54" s="27" t="s">
        <v>42</v>
      </c>
      <c r="B54" s="27" t="s">
        <v>200</v>
      </c>
      <c r="C54" s="27" t="s">
        <v>201</v>
      </c>
      <c r="D54" s="27" t="s">
        <v>202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36980</f>
        <v>36980.0</v>
      </c>
      <c r="L54" s="34" t="s">
        <v>50</v>
      </c>
      <c r="M54" s="33" t="n">
        <f>39580</f>
        <v>39580.0</v>
      </c>
      <c r="N54" s="34" t="s">
        <v>64</v>
      </c>
      <c r="O54" s="33" t="n">
        <f>36280</f>
        <v>36280.0</v>
      </c>
      <c r="P54" s="34" t="s">
        <v>50</v>
      </c>
      <c r="Q54" s="33" t="n">
        <f>38220</f>
        <v>38220.0</v>
      </c>
      <c r="R54" s="34" t="s">
        <v>199</v>
      </c>
      <c r="S54" s="35" t="n">
        <f>38478.18</f>
        <v>38478.18</v>
      </c>
      <c r="T54" s="32" t="n">
        <f>174</f>
        <v>174.0</v>
      </c>
      <c r="U54" s="32" t="n">
        <f>11</f>
        <v>11.0</v>
      </c>
      <c r="V54" s="32" t="n">
        <f>6730345</f>
        <v>6730345.0</v>
      </c>
      <c r="W54" s="32" t="n">
        <f>414385</f>
        <v>414385.0</v>
      </c>
      <c r="X54" s="36" t="n">
        <f>11</f>
        <v>11.0</v>
      </c>
    </row>
    <row r="55">
      <c r="A55" s="27" t="s">
        <v>42</v>
      </c>
      <c r="B55" s="27" t="s">
        <v>203</v>
      </c>
      <c r="C55" s="27" t="s">
        <v>204</v>
      </c>
      <c r="D55" s="27" t="s">
        <v>205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28325</f>
        <v>28325.0</v>
      </c>
      <c r="L55" s="34" t="s">
        <v>50</v>
      </c>
      <c r="M55" s="33" t="n">
        <f>29950</f>
        <v>29950.0</v>
      </c>
      <c r="N55" s="34" t="s">
        <v>49</v>
      </c>
      <c r="O55" s="33" t="n">
        <f>28325</f>
        <v>28325.0</v>
      </c>
      <c r="P55" s="34" t="s">
        <v>50</v>
      </c>
      <c r="Q55" s="33" t="n">
        <f>29700</f>
        <v>29700.0</v>
      </c>
      <c r="R55" s="34" t="s">
        <v>156</v>
      </c>
      <c r="S55" s="35" t="n">
        <f>29288.57</f>
        <v>29288.57</v>
      </c>
      <c r="T55" s="32" t="n">
        <f>1792</f>
        <v>1792.0</v>
      </c>
      <c r="U55" s="32" t="str">
        <f>"－"</f>
        <v>－</v>
      </c>
      <c r="V55" s="32" t="n">
        <f>51617155</f>
        <v>5.1617155E7</v>
      </c>
      <c r="W55" s="32" t="str">
        <f>"－"</f>
        <v>－</v>
      </c>
      <c r="X55" s="36" t="n">
        <f>7</f>
        <v>7.0</v>
      </c>
    </row>
    <row r="56">
      <c r="A56" s="27" t="s">
        <v>42</v>
      </c>
      <c r="B56" s="27" t="s">
        <v>206</v>
      </c>
      <c r="C56" s="27" t="s">
        <v>207</v>
      </c>
      <c r="D56" s="27" t="s">
        <v>208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2942</f>
        <v>2942.0</v>
      </c>
      <c r="L56" s="34" t="s">
        <v>50</v>
      </c>
      <c r="M56" s="33" t="n">
        <f>3131</f>
        <v>3131.0</v>
      </c>
      <c r="N56" s="34" t="s">
        <v>86</v>
      </c>
      <c r="O56" s="33" t="n">
        <f>2942</f>
        <v>2942.0</v>
      </c>
      <c r="P56" s="34" t="s">
        <v>50</v>
      </c>
      <c r="Q56" s="33" t="n">
        <f>3070</f>
        <v>3070.0</v>
      </c>
      <c r="R56" s="34" t="s">
        <v>51</v>
      </c>
      <c r="S56" s="35" t="n">
        <f>3068.11</f>
        <v>3068.11</v>
      </c>
      <c r="T56" s="32" t="n">
        <f>795</f>
        <v>795.0</v>
      </c>
      <c r="U56" s="32" t="n">
        <f>3</f>
        <v>3.0</v>
      </c>
      <c r="V56" s="32" t="n">
        <f>2420047</f>
        <v>2420047.0</v>
      </c>
      <c r="W56" s="32" t="n">
        <f>9107</f>
        <v>9107.0</v>
      </c>
      <c r="X56" s="36" t="n">
        <f>19</f>
        <v>19.0</v>
      </c>
    </row>
    <row r="57">
      <c r="A57" s="27" t="s">
        <v>42</v>
      </c>
      <c r="B57" s="27" t="s">
        <v>209</v>
      </c>
      <c r="C57" s="27" t="s">
        <v>210</v>
      </c>
      <c r="D57" s="27" t="s">
        <v>211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1628</f>
        <v>1628.0</v>
      </c>
      <c r="L57" s="34" t="s">
        <v>48</v>
      </c>
      <c r="M57" s="33" t="n">
        <f>1653</f>
        <v>1653.0</v>
      </c>
      <c r="N57" s="34" t="s">
        <v>51</v>
      </c>
      <c r="O57" s="33" t="n">
        <f>1626</f>
        <v>1626.0</v>
      </c>
      <c r="P57" s="34" t="s">
        <v>48</v>
      </c>
      <c r="Q57" s="33" t="n">
        <f>1652</f>
        <v>1652.0</v>
      </c>
      <c r="R57" s="34" t="s">
        <v>51</v>
      </c>
      <c r="S57" s="35" t="n">
        <f>1642.4</f>
        <v>1642.4</v>
      </c>
      <c r="T57" s="32" t="n">
        <f>5720425</f>
        <v>5720425.0</v>
      </c>
      <c r="U57" s="32" t="n">
        <f>4587887</f>
        <v>4587887.0</v>
      </c>
      <c r="V57" s="32" t="n">
        <f>9389771642</f>
        <v>9.389771642E9</v>
      </c>
      <c r="W57" s="32" t="n">
        <f>7529307836</f>
        <v>7.529307836E9</v>
      </c>
      <c r="X57" s="36" t="n">
        <f>20</f>
        <v>20.0</v>
      </c>
    </row>
    <row r="58">
      <c r="A58" s="27" t="s">
        <v>42</v>
      </c>
      <c r="B58" s="27" t="s">
        <v>212</v>
      </c>
      <c r="C58" s="27" t="s">
        <v>213</v>
      </c>
      <c r="D58" s="27" t="s">
        <v>214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3002</f>
        <v>3002.0</v>
      </c>
      <c r="L58" s="34" t="s">
        <v>48</v>
      </c>
      <c r="M58" s="33" t="n">
        <f>3100</f>
        <v>3100.0</v>
      </c>
      <c r="N58" s="34" t="s">
        <v>49</v>
      </c>
      <c r="O58" s="33" t="n">
        <f>2940</f>
        <v>2940.0</v>
      </c>
      <c r="P58" s="34" t="s">
        <v>50</v>
      </c>
      <c r="Q58" s="33" t="n">
        <f>3044</f>
        <v>3044.0</v>
      </c>
      <c r="R58" s="34" t="s">
        <v>51</v>
      </c>
      <c r="S58" s="35" t="n">
        <f>3034.53</f>
        <v>3034.53</v>
      </c>
      <c r="T58" s="32" t="n">
        <f>952</f>
        <v>952.0</v>
      </c>
      <c r="U58" s="32" t="str">
        <f>"－"</f>
        <v>－</v>
      </c>
      <c r="V58" s="32" t="n">
        <f>2889003</f>
        <v>2889003.0</v>
      </c>
      <c r="W58" s="32" t="str">
        <f>"－"</f>
        <v>－</v>
      </c>
      <c r="X58" s="36" t="n">
        <f>17</f>
        <v>17.0</v>
      </c>
    </row>
    <row r="59">
      <c r="A59" s="27" t="s">
        <v>42</v>
      </c>
      <c r="B59" s="27" t="s">
        <v>215</v>
      </c>
      <c r="C59" s="27" t="s">
        <v>216</v>
      </c>
      <c r="D59" s="27" t="s">
        <v>217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10.0</v>
      </c>
      <c r="K59" s="33" t="n">
        <f>2948.5</f>
        <v>2948.5</v>
      </c>
      <c r="L59" s="34" t="s">
        <v>48</v>
      </c>
      <c r="M59" s="33" t="n">
        <f>3105</f>
        <v>3105.0</v>
      </c>
      <c r="N59" s="34" t="s">
        <v>51</v>
      </c>
      <c r="O59" s="33" t="n">
        <f>2901</f>
        <v>2901.0</v>
      </c>
      <c r="P59" s="34" t="s">
        <v>50</v>
      </c>
      <c r="Q59" s="33" t="n">
        <f>3028</f>
        <v>3028.0</v>
      </c>
      <c r="R59" s="34" t="s">
        <v>51</v>
      </c>
      <c r="S59" s="35" t="n">
        <f>3022.92</f>
        <v>3022.92</v>
      </c>
      <c r="T59" s="32" t="n">
        <f>5880</f>
        <v>5880.0</v>
      </c>
      <c r="U59" s="32" t="str">
        <f>"－"</f>
        <v>－</v>
      </c>
      <c r="V59" s="32" t="n">
        <f>17564730</f>
        <v>1.756473E7</v>
      </c>
      <c r="W59" s="32" t="str">
        <f>"－"</f>
        <v>－</v>
      </c>
      <c r="X59" s="36" t="n">
        <f>19</f>
        <v>19.0</v>
      </c>
    </row>
    <row r="60">
      <c r="A60" s="27" t="s">
        <v>42</v>
      </c>
      <c r="B60" s="27" t="s">
        <v>218</v>
      </c>
      <c r="C60" s="27" t="s">
        <v>219</v>
      </c>
      <c r="D60" s="27" t="s">
        <v>220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43140</f>
        <v>43140.0</v>
      </c>
      <c r="L60" s="34" t="s">
        <v>90</v>
      </c>
      <c r="M60" s="33" t="n">
        <f>44060</f>
        <v>44060.0</v>
      </c>
      <c r="N60" s="34" t="s">
        <v>221</v>
      </c>
      <c r="O60" s="33" t="n">
        <f>43140</f>
        <v>43140.0</v>
      </c>
      <c r="P60" s="34" t="s">
        <v>90</v>
      </c>
      <c r="Q60" s="33" t="n">
        <f>44060</f>
        <v>44060.0</v>
      </c>
      <c r="R60" s="34" t="s">
        <v>221</v>
      </c>
      <c r="S60" s="35" t="n">
        <f>43600</f>
        <v>43600.0</v>
      </c>
      <c r="T60" s="32" t="n">
        <f>4</f>
        <v>4.0</v>
      </c>
      <c r="U60" s="32" t="str">
        <f>"－"</f>
        <v>－</v>
      </c>
      <c r="V60" s="32" t="n">
        <f>173480</f>
        <v>173480.0</v>
      </c>
      <c r="W60" s="32" t="str">
        <f>"－"</f>
        <v>－</v>
      </c>
      <c r="X60" s="36" t="n">
        <f>2</f>
        <v>2.0</v>
      </c>
    </row>
    <row r="61">
      <c r="A61" s="27" t="s">
        <v>42</v>
      </c>
      <c r="B61" s="27" t="s">
        <v>222</v>
      </c>
      <c r="C61" s="27" t="s">
        <v>223</v>
      </c>
      <c r="D61" s="27" t="s">
        <v>224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23105</f>
        <v>23105.0</v>
      </c>
      <c r="L61" s="34" t="s">
        <v>48</v>
      </c>
      <c r="M61" s="33" t="n">
        <f>23140</f>
        <v>23140.0</v>
      </c>
      <c r="N61" s="34" t="s">
        <v>48</v>
      </c>
      <c r="O61" s="33" t="n">
        <f>22750</f>
        <v>22750.0</v>
      </c>
      <c r="P61" s="34" t="s">
        <v>100</v>
      </c>
      <c r="Q61" s="33" t="n">
        <f>22950</f>
        <v>22950.0</v>
      </c>
      <c r="R61" s="34" t="s">
        <v>51</v>
      </c>
      <c r="S61" s="35" t="n">
        <f>22880.5</f>
        <v>22880.5</v>
      </c>
      <c r="T61" s="32" t="n">
        <f>22267</f>
        <v>22267.0</v>
      </c>
      <c r="U61" s="32" t="n">
        <f>2364</f>
        <v>2364.0</v>
      </c>
      <c r="V61" s="32" t="n">
        <f>510556761</f>
        <v>5.10556761E8</v>
      </c>
      <c r="W61" s="32" t="n">
        <f>54466386</f>
        <v>5.4466386E7</v>
      </c>
      <c r="X61" s="36" t="n">
        <f>20</f>
        <v>20.0</v>
      </c>
    </row>
    <row r="62">
      <c r="A62" s="27" t="s">
        <v>42</v>
      </c>
      <c r="B62" s="27" t="s">
        <v>225</v>
      </c>
      <c r="C62" s="27" t="s">
        <v>226</v>
      </c>
      <c r="D62" s="27" t="s">
        <v>227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12480</f>
        <v>12480.0</v>
      </c>
      <c r="L62" s="34" t="s">
        <v>48</v>
      </c>
      <c r="M62" s="33" t="n">
        <f>12680</f>
        <v>12680.0</v>
      </c>
      <c r="N62" s="34" t="s">
        <v>82</v>
      </c>
      <c r="O62" s="33" t="n">
        <f>12470</f>
        <v>12470.0</v>
      </c>
      <c r="P62" s="34" t="s">
        <v>48</v>
      </c>
      <c r="Q62" s="33" t="n">
        <f>12660</f>
        <v>12660.0</v>
      </c>
      <c r="R62" s="34" t="s">
        <v>51</v>
      </c>
      <c r="S62" s="35" t="n">
        <f>12597.25</f>
        <v>12597.25</v>
      </c>
      <c r="T62" s="32" t="n">
        <f>506486</f>
        <v>506486.0</v>
      </c>
      <c r="U62" s="32" t="n">
        <f>462803</f>
        <v>462803.0</v>
      </c>
      <c r="V62" s="32" t="n">
        <f>6399854946</f>
        <v>6.399854946E9</v>
      </c>
      <c r="W62" s="32" t="n">
        <f>5848904771</f>
        <v>5.848904771E9</v>
      </c>
      <c r="X62" s="36" t="n">
        <f>20</f>
        <v>20.0</v>
      </c>
    </row>
    <row r="63">
      <c r="A63" s="27" t="s">
        <v>42</v>
      </c>
      <c r="B63" s="27" t="s">
        <v>228</v>
      </c>
      <c r="C63" s="27" t="s">
        <v>229</v>
      </c>
      <c r="D63" s="27" t="s">
        <v>230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1932</f>
        <v>1932.0</v>
      </c>
      <c r="L63" s="34" t="s">
        <v>48</v>
      </c>
      <c r="M63" s="33" t="n">
        <f>2019</f>
        <v>2019.0</v>
      </c>
      <c r="N63" s="34" t="s">
        <v>81</v>
      </c>
      <c r="O63" s="33" t="n">
        <f>1924</f>
        <v>1924.0</v>
      </c>
      <c r="P63" s="34" t="s">
        <v>48</v>
      </c>
      <c r="Q63" s="33" t="n">
        <f>2008</f>
        <v>2008.0</v>
      </c>
      <c r="R63" s="34" t="s">
        <v>51</v>
      </c>
      <c r="S63" s="35" t="n">
        <f>1980.8</f>
        <v>1980.8</v>
      </c>
      <c r="T63" s="32" t="n">
        <f>5181673</f>
        <v>5181673.0</v>
      </c>
      <c r="U63" s="32" t="n">
        <f>1555118</f>
        <v>1555118.0</v>
      </c>
      <c r="V63" s="32" t="n">
        <f>10264461583</f>
        <v>1.0264461583E10</v>
      </c>
      <c r="W63" s="32" t="n">
        <f>3064632152</f>
        <v>3.064632152E9</v>
      </c>
      <c r="X63" s="36" t="n">
        <f>20</f>
        <v>20.0</v>
      </c>
    </row>
    <row r="64">
      <c r="A64" s="27" t="s">
        <v>42</v>
      </c>
      <c r="B64" s="27" t="s">
        <v>231</v>
      </c>
      <c r="C64" s="27" t="s">
        <v>232</v>
      </c>
      <c r="D64" s="27" t="s">
        <v>233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2362</f>
        <v>2362.0</v>
      </c>
      <c r="L64" s="34" t="s">
        <v>48</v>
      </c>
      <c r="M64" s="33" t="n">
        <f>2550</f>
        <v>2550.0</v>
      </c>
      <c r="N64" s="34" t="s">
        <v>199</v>
      </c>
      <c r="O64" s="33" t="n">
        <f>2322</f>
        <v>2322.0</v>
      </c>
      <c r="P64" s="34" t="s">
        <v>50</v>
      </c>
      <c r="Q64" s="33" t="n">
        <f>2519</f>
        <v>2519.0</v>
      </c>
      <c r="R64" s="34" t="s">
        <v>51</v>
      </c>
      <c r="S64" s="35" t="n">
        <f>2467.7</f>
        <v>2467.7</v>
      </c>
      <c r="T64" s="32" t="n">
        <f>12413806</f>
        <v>1.2413806E7</v>
      </c>
      <c r="U64" s="32" t="n">
        <f>2517476</f>
        <v>2517476.0</v>
      </c>
      <c r="V64" s="32" t="n">
        <f>30615866014</f>
        <v>3.0615866014E10</v>
      </c>
      <c r="W64" s="32" t="n">
        <f>6293460803</f>
        <v>6.293460803E9</v>
      </c>
      <c r="X64" s="36" t="n">
        <f>20</f>
        <v>20.0</v>
      </c>
    </row>
    <row r="65">
      <c r="A65" s="27" t="s">
        <v>42</v>
      </c>
      <c r="B65" s="27" t="s">
        <v>234</v>
      </c>
      <c r="C65" s="27" t="s">
        <v>235</v>
      </c>
      <c r="D65" s="27" t="s">
        <v>236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7499</f>
        <v>7499.0</v>
      </c>
      <c r="L65" s="34" t="s">
        <v>48</v>
      </c>
      <c r="M65" s="33" t="n">
        <f>7715</f>
        <v>7715.0</v>
      </c>
      <c r="N65" s="34" t="s">
        <v>51</v>
      </c>
      <c r="O65" s="33" t="n">
        <f>7487</f>
        <v>7487.0</v>
      </c>
      <c r="P65" s="34" t="s">
        <v>221</v>
      </c>
      <c r="Q65" s="33" t="n">
        <f>7715</f>
        <v>7715.0</v>
      </c>
      <c r="R65" s="34" t="s">
        <v>51</v>
      </c>
      <c r="S65" s="35" t="n">
        <f>7576</f>
        <v>7576.0</v>
      </c>
      <c r="T65" s="32" t="n">
        <f>73</f>
        <v>73.0</v>
      </c>
      <c r="U65" s="32" t="n">
        <f>1</f>
        <v>1.0</v>
      </c>
      <c r="V65" s="32" t="n">
        <f>551144</f>
        <v>551144.0</v>
      </c>
      <c r="W65" s="32" t="n">
        <f>7565</f>
        <v>7565.0</v>
      </c>
      <c r="X65" s="36" t="n">
        <f>8</f>
        <v>8.0</v>
      </c>
    </row>
    <row r="66">
      <c r="A66" s="27" t="s">
        <v>42</v>
      </c>
      <c r="B66" s="27" t="s">
        <v>237</v>
      </c>
      <c r="C66" s="27" t="s">
        <v>238</v>
      </c>
      <c r="D66" s="27" t="s">
        <v>239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20245</f>
        <v>20245.0</v>
      </c>
      <c r="L66" s="34" t="s">
        <v>48</v>
      </c>
      <c r="M66" s="33" t="n">
        <f>21430</f>
        <v>21430.0</v>
      </c>
      <c r="N66" s="34" t="s">
        <v>86</v>
      </c>
      <c r="O66" s="33" t="n">
        <f>20015</f>
        <v>20015.0</v>
      </c>
      <c r="P66" s="34" t="s">
        <v>50</v>
      </c>
      <c r="Q66" s="33" t="n">
        <f>21220</f>
        <v>21220.0</v>
      </c>
      <c r="R66" s="34" t="s">
        <v>51</v>
      </c>
      <c r="S66" s="35" t="n">
        <f>20852.25</f>
        <v>20852.25</v>
      </c>
      <c r="T66" s="32" t="n">
        <f>2494</f>
        <v>2494.0</v>
      </c>
      <c r="U66" s="32" t="str">
        <f>"－"</f>
        <v>－</v>
      </c>
      <c r="V66" s="32" t="n">
        <f>52109080</f>
        <v>5.210908E7</v>
      </c>
      <c r="W66" s="32" t="str">
        <f>"－"</f>
        <v>－</v>
      </c>
      <c r="X66" s="36" t="n">
        <f>20</f>
        <v>20.0</v>
      </c>
    </row>
    <row r="67">
      <c r="A67" s="27" t="s">
        <v>42</v>
      </c>
      <c r="B67" s="27" t="s">
        <v>240</v>
      </c>
      <c r="C67" s="27" t="s">
        <v>241</v>
      </c>
      <c r="D67" s="27" t="s">
        <v>242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34260</f>
        <v>34260.0</v>
      </c>
      <c r="L67" s="34" t="s">
        <v>48</v>
      </c>
      <c r="M67" s="33" t="n">
        <f>35920</f>
        <v>35920.0</v>
      </c>
      <c r="N67" s="34" t="s">
        <v>199</v>
      </c>
      <c r="O67" s="33" t="n">
        <f>33550</f>
        <v>33550.0</v>
      </c>
      <c r="P67" s="34" t="s">
        <v>50</v>
      </c>
      <c r="Q67" s="33" t="n">
        <f>35510</f>
        <v>35510.0</v>
      </c>
      <c r="R67" s="34" t="s">
        <v>51</v>
      </c>
      <c r="S67" s="35" t="n">
        <f>35046.5</f>
        <v>35046.5</v>
      </c>
      <c r="T67" s="32" t="n">
        <f>59290</f>
        <v>59290.0</v>
      </c>
      <c r="U67" s="32" t="n">
        <f>14639</f>
        <v>14639.0</v>
      </c>
      <c r="V67" s="32" t="n">
        <f>2086962615</f>
        <v>2.086962615E9</v>
      </c>
      <c r="W67" s="32" t="n">
        <f>520720405</f>
        <v>5.20720405E8</v>
      </c>
      <c r="X67" s="36" t="n">
        <f>20</f>
        <v>20.0</v>
      </c>
    </row>
    <row r="68">
      <c r="A68" s="27" t="s">
        <v>42</v>
      </c>
      <c r="B68" s="27" t="s">
        <v>243</v>
      </c>
      <c r="C68" s="27" t="s">
        <v>244</v>
      </c>
      <c r="D68" s="27" t="s">
        <v>245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10620</f>
        <v>10620.0</v>
      </c>
      <c r="L68" s="34" t="s">
        <v>48</v>
      </c>
      <c r="M68" s="33" t="n">
        <f>11060</f>
        <v>11060.0</v>
      </c>
      <c r="N68" s="34" t="s">
        <v>199</v>
      </c>
      <c r="O68" s="33" t="n">
        <f>10490</f>
        <v>10490.0</v>
      </c>
      <c r="P68" s="34" t="s">
        <v>48</v>
      </c>
      <c r="Q68" s="33" t="n">
        <f>10815</f>
        <v>10815.0</v>
      </c>
      <c r="R68" s="34" t="s">
        <v>51</v>
      </c>
      <c r="S68" s="35" t="n">
        <f>10690.5</f>
        <v>10690.5</v>
      </c>
      <c r="T68" s="32" t="n">
        <f>6135</f>
        <v>6135.0</v>
      </c>
      <c r="U68" s="32" t="n">
        <f>197</f>
        <v>197.0</v>
      </c>
      <c r="V68" s="32" t="n">
        <f>65936511</f>
        <v>6.5936511E7</v>
      </c>
      <c r="W68" s="32" t="n">
        <f>2114501</f>
        <v>2114501.0</v>
      </c>
      <c r="X68" s="36" t="n">
        <f>20</f>
        <v>20.0</v>
      </c>
    </row>
    <row r="69">
      <c r="A69" s="27" t="s">
        <v>42</v>
      </c>
      <c r="B69" s="27" t="s">
        <v>246</v>
      </c>
      <c r="C69" s="27" t="s">
        <v>247</v>
      </c>
      <c r="D69" s="27" t="s">
        <v>248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1737</f>
        <v>1737.0</v>
      </c>
      <c r="L69" s="34" t="s">
        <v>48</v>
      </c>
      <c r="M69" s="33" t="n">
        <f>1758</f>
        <v>1758.0</v>
      </c>
      <c r="N69" s="34" t="s">
        <v>100</v>
      </c>
      <c r="O69" s="33" t="n">
        <f>1730</f>
        <v>1730.0</v>
      </c>
      <c r="P69" s="34" t="s">
        <v>48</v>
      </c>
      <c r="Q69" s="33" t="n">
        <f>1754</f>
        <v>1754.0</v>
      </c>
      <c r="R69" s="34" t="s">
        <v>51</v>
      </c>
      <c r="S69" s="35" t="n">
        <f>1749.15</f>
        <v>1749.15</v>
      </c>
      <c r="T69" s="32" t="n">
        <f>2319998</f>
        <v>2319998.0</v>
      </c>
      <c r="U69" s="32" t="n">
        <f>1998000</f>
        <v>1998000.0</v>
      </c>
      <c r="V69" s="32" t="n">
        <f>4053264311</f>
        <v>4.053264311E9</v>
      </c>
      <c r="W69" s="32" t="n">
        <f>3489492940</f>
        <v>3.48949294E9</v>
      </c>
      <c r="X69" s="36" t="n">
        <f>20</f>
        <v>20.0</v>
      </c>
    </row>
    <row r="70">
      <c r="A70" s="27" t="s">
        <v>42</v>
      </c>
      <c r="B70" s="27" t="s">
        <v>249</v>
      </c>
      <c r="C70" s="27" t="s">
        <v>250</v>
      </c>
      <c r="D70" s="27" t="s">
        <v>251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1809</f>
        <v>1809.0</v>
      </c>
      <c r="L70" s="34" t="s">
        <v>48</v>
      </c>
      <c r="M70" s="33" t="n">
        <f>1833</f>
        <v>1833.0</v>
      </c>
      <c r="N70" s="34" t="s">
        <v>51</v>
      </c>
      <c r="O70" s="33" t="n">
        <f>1807</f>
        <v>1807.0</v>
      </c>
      <c r="P70" s="34" t="s">
        <v>48</v>
      </c>
      <c r="Q70" s="33" t="n">
        <f>1825</f>
        <v>1825.0</v>
      </c>
      <c r="R70" s="34" t="s">
        <v>51</v>
      </c>
      <c r="S70" s="35" t="n">
        <f>1819.8</f>
        <v>1819.8</v>
      </c>
      <c r="T70" s="32" t="n">
        <f>371980</f>
        <v>371980.0</v>
      </c>
      <c r="U70" s="32" t="n">
        <f>110</f>
        <v>110.0</v>
      </c>
      <c r="V70" s="32" t="n">
        <f>676913680</f>
        <v>6.7691368E8</v>
      </c>
      <c r="W70" s="32" t="n">
        <f>186010</f>
        <v>186010.0</v>
      </c>
      <c r="X70" s="36" t="n">
        <f>20</f>
        <v>20.0</v>
      </c>
    </row>
    <row r="71">
      <c r="A71" s="27" t="s">
        <v>42</v>
      </c>
      <c r="B71" s="27" t="s">
        <v>252</v>
      </c>
      <c r="C71" s="27" t="s">
        <v>253</v>
      </c>
      <c r="D71" s="27" t="s">
        <v>254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23205</f>
        <v>23205.0</v>
      </c>
      <c r="L71" s="34" t="s">
        <v>48</v>
      </c>
      <c r="M71" s="33" t="n">
        <f>24625</f>
        <v>24625.0</v>
      </c>
      <c r="N71" s="34" t="s">
        <v>199</v>
      </c>
      <c r="O71" s="33" t="n">
        <f>22805</f>
        <v>22805.0</v>
      </c>
      <c r="P71" s="34" t="s">
        <v>50</v>
      </c>
      <c r="Q71" s="33" t="n">
        <f>24230</f>
        <v>24230.0</v>
      </c>
      <c r="R71" s="34" t="s">
        <v>51</v>
      </c>
      <c r="S71" s="35" t="n">
        <f>24004.5</f>
        <v>24004.5</v>
      </c>
      <c r="T71" s="32" t="n">
        <f>8393</f>
        <v>8393.0</v>
      </c>
      <c r="U71" s="32" t="n">
        <f>2001</f>
        <v>2001.0</v>
      </c>
      <c r="V71" s="32" t="n">
        <f>201558251</f>
        <v>2.01558251E8</v>
      </c>
      <c r="W71" s="32" t="n">
        <f>48399341</f>
        <v>4.8399341E7</v>
      </c>
      <c r="X71" s="36" t="n">
        <f>20</f>
        <v>20.0</v>
      </c>
    </row>
    <row r="72">
      <c r="A72" s="27" t="s">
        <v>42</v>
      </c>
      <c r="B72" s="27" t="s">
        <v>255</v>
      </c>
      <c r="C72" s="27" t="s">
        <v>256</v>
      </c>
      <c r="D72" s="27" t="s">
        <v>257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8980</f>
        <v>8980.0</v>
      </c>
      <c r="L72" s="34" t="s">
        <v>48</v>
      </c>
      <c r="M72" s="33" t="n">
        <f>9149</f>
        <v>9149.0</v>
      </c>
      <c r="N72" s="34" t="s">
        <v>221</v>
      </c>
      <c r="O72" s="33" t="n">
        <f>8980</f>
        <v>8980.0</v>
      </c>
      <c r="P72" s="34" t="s">
        <v>48</v>
      </c>
      <c r="Q72" s="33" t="n">
        <f>9115</f>
        <v>9115.0</v>
      </c>
      <c r="R72" s="34" t="s">
        <v>51</v>
      </c>
      <c r="S72" s="35" t="n">
        <f>9089.1</f>
        <v>9089.1</v>
      </c>
      <c r="T72" s="32" t="n">
        <f>4411</f>
        <v>4411.0</v>
      </c>
      <c r="U72" s="32" t="n">
        <f>81</f>
        <v>81.0</v>
      </c>
      <c r="V72" s="32" t="n">
        <f>40061927</f>
        <v>4.0061927E7</v>
      </c>
      <c r="W72" s="32" t="n">
        <f>735117</f>
        <v>735117.0</v>
      </c>
      <c r="X72" s="36" t="n">
        <f>20</f>
        <v>20.0</v>
      </c>
    </row>
    <row r="73">
      <c r="A73" s="27" t="s">
        <v>42</v>
      </c>
      <c r="B73" s="27" t="s">
        <v>258</v>
      </c>
      <c r="C73" s="27" t="s">
        <v>259</v>
      </c>
      <c r="D73" s="27" t="s">
        <v>260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14975</f>
        <v>14975.0</v>
      </c>
      <c r="L73" s="34" t="s">
        <v>48</v>
      </c>
      <c r="M73" s="33" t="n">
        <f>15165</f>
        <v>15165.0</v>
      </c>
      <c r="N73" s="34" t="s">
        <v>51</v>
      </c>
      <c r="O73" s="33" t="n">
        <f>14780</f>
        <v>14780.0</v>
      </c>
      <c r="P73" s="34" t="s">
        <v>86</v>
      </c>
      <c r="Q73" s="33" t="n">
        <f>15155</f>
        <v>15155.0</v>
      </c>
      <c r="R73" s="34" t="s">
        <v>51</v>
      </c>
      <c r="S73" s="35" t="n">
        <f>14983.5</f>
        <v>14983.5</v>
      </c>
      <c r="T73" s="32" t="n">
        <f>6001917</f>
        <v>6001917.0</v>
      </c>
      <c r="U73" s="32" t="n">
        <f>666700</f>
        <v>666700.0</v>
      </c>
      <c r="V73" s="32" t="n">
        <f>89928941830</f>
        <v>8.992894183E10</v>
      </c>
      <c r="W73" s="32" t="n">
        <f>9961339940</f>
        <v>9.96133994E9</v>
      </c>
      <c r="X73" s="36" t="n">
        <f>20</f>
        <v>20.0</v>
      </c>
    </row>
    <row r="74">
      <c r="A74" s="27" t="s">
        <v>42</v>
      </c>
      <c r="B74" s="27" t="s">
        <v>261</v>
      </c>
      <c r="C74" s="27" t="s">
        <v>262</v>
      </c>
      <c r="D74" s="27" t="s">
        <v>263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5886</f>
        <v>5886.0</v>
      </c>
      <c r="L74" s="34" t="s">
        <v>48</v>
      </c>
      <c r="M74" s="33" t="n">
        <f>5997</f>
        <v>5997.0</v>
      </c>
      <c r="N74" s="34" t="s">
        <v>199</v>
      </c>
      <c r="O74" s="33" t="n">
        <f>5656</f>
        <v>5656.0</v>
      </c>
      <c r="P74" s="34" t="s">
        <v>50</v>
      </c>
      <c r="Q74" s="33" t="n">
        <f>5910</f>
        <v>5910.0</v>
      </c>
      <c r="R74" s="34" t="s">
        <v>51</v>
      </c>
      <c r="S74" s="35" t="n">
        <f>5849.2</f>
        <v>5849.2</v>
      </c>
      <c r="T74" s="32" t="n">
        <f>958600</f>
        <v>958600.0</v>
      </c>
      <c r="U74" s="32" t="n">
        <f>1623</f>
        <v>1623.0</v>
      </c>
      <c r="V74" s="32" t="n">
        <f>5606992541</f>
        <v>5.606992541E9</v>
      </c>
      <c r="W74" s="32" t="n">
        <f>9491627</f>
        <v>9491627.0</v>
      </c>
      <c r="X74" s="36" t="n">
        <f>20</f>
        <v>20.0</v>
      </c>
    </row>
    <row r="75">
      <c r="A75" s="27" t="s">
        <v>42</v>
      </c>
      <c r="B75" s="27" t="s">
        <v>264</v>
      </c>
      <c r="C75" s="27" t="s">
        <v>265</v>
      </c>
      <c r="D75" s="27" t="s">
        <v>266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16345</f>
        <v>16345.0</v>
      </c>
      <c r="L75" s="34" t="s">
        <v>48</v>
      </c>
      <c r="M75" s="33" t="n">
        <f>16975</f>
        <v>16975.0</v>
      </c>
      <c r="N75" s="34" t="s">
        <v>156</v>
      </c>
      <c r="O75" s="33" t="n">
        <f>16020</f>
        <v>16020.0</v>
      </c>
      <c r="P75" s="34" t="s">
        <v>50</v>
      </c>
      <c r="Q75" s="33" t="n">
        <f>16910</f>
        <v>16910.0</v>
      </c>
      <c r="R75" s="34" t="s">
        <v>51</v>
      </c>
      <c r="S75" s="35" t="n">
        <f>16614</f>
        <v>16614.0</v>
      </c>
      <c r="T75" s="32" t="n">
        <f>488344</f>
        <v>488344.0</v>
      </c>
      <c r="U75" s="32" t="n">
        <f>8696</f>
        <v>8696.0</v>
      </c>
      <c r="V75" s="32" t="n">
        <f>8098280618</f>
        <v>8.098280618E9</v>
      </c>
      <c r="W75" s="32" t="n">
        <f>143720413</f>
        <v>1.43720413E8</v>
      </c>
      <c r="X75" s="36" t="n">
        <f>20</f>
        <v>20.0</v>
      </c>
    </row>
    <row r="76">
      <c r="A76" s="27" t="s">
        <v>42</v>
      </c>
      <c r="B76" s="27" t="s">
        <v>267</v>
      </c>
      <c r="C76" s="27" t="s">
        <v>268</v>
      </c>
      <c r="D76" s="27" t="s">
        <v>269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51300</f>
        <v>51300.0</v>
      </c>
      <c r="L76" s="34" t="s">
        <v>48</v>
      </c>
      <c r="M76" s="33" t="n">
        <f>51600</f>
        <v>51600.0</v>
      </c>
      <c r="N76" s="34" t="s">
        <v>48</v>
      </c>
      <c r="O76" s="33" t="n">
        <f>45880</f>
        <v>45880.0</v>
      </c>
      <c r="P76" s="34" t="s">
        <v>81</v>
      </c>
      <c r="Q76" s="33" t="n">
        <f>46380</f>
        <v>46380.0</v>
      </c>
      <c r="R76" s="34" t="s">
        <v>51</v>
      </c>
      <c r="S76" s="35" t="n">
        <f>47984.5</f>
        <v>47984.5</v>
      </c>
      <c r="T76" s="32" t="n">
        <f>20120</f>
        <v>20120.0</v>
      </c>
      <c r="U76" s="32" t="n">
        <f>586</f>
        <v>586.0</v>
      </c>
      <c r="V76" s="32" t="n">
        <f>966887952</f>
        <v>9.66887952E8</v>
      </c>
      <c r="W76" s="32" t="n">
        <f>28636472</f>
        <v>2.8636472E7</v>
      </c>
      <c r="X76" s="36" t="n">
        <f>20</f>
        <v>20.0</v>
      </c>
    </row>
    <row r="77">
      <c r="A77" s="27" t="s">
        <v>42</v>
      </c>
      <c r="B77" s="27" t="s">
        <v>270</v>
      </c>
      <c r="C77" s="27" t="s">
        <v>271</v>
      </c>
      <c r="D77" s="27" t="s">
        <v>272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35370</f>
        <v>35370.0</v>
      </c>
      <c r="L77" s="34" t="s">
        <v>48</v>
      </c>
      <c r="M77" s="33" t="n">
        <f>35640</f>
        <v>35640.0</v>
      </c>
      <c r="N77" s="34" t="s">
        <v>221</v>
      </c>
      <c r="O77" s="33" t="n">
        <f>34020</f>
        <v>34020.0</v>
      </c>
      <c r="P77" s="34" t="s">
        <v>50</v>
      </c>
      <c r="Q77" s="33" t="n">
        <f>34970</f>
        <v>34970.0</v>
      </c>
      <c r="R77" s="34" t="s">
        <v>51</v>
      </c>
      <c r="S77" s="35" t="n">
        <f>34921</f>
        <v>34921.0</v>
      </c>
      <c r="T77" s="32" t="n">
        <f>569971</f>
        <v>569971.0</v>
      </c>
      <c r="U77" s="32" t="n">
        <f>37706</f>
        <v>37706.0</v>
      </c>
      <c r="V77" s="32" t="n">
        <f>19902296945</f>
        <v>1.9902296945E10</v>
      </c>
      <c r="W77" s="32" t="n">
        <f>1310619515</f>
        <v>1.310619515E9</v>
      </c>
      <c r="X77" s="36" t="n">
        <f>20</f>
        <v>20.0</v>
      </c>
    </row>
    <row r="78">
      <c r="A78" s="27" t="s">
        <v>42</v>
      </c>
      <c r="B78" s="27" t="s">
        <v>273</v>
      </c>
      <c r="C78" s="27" t="s">
        <v>274</v>
      </c>
      <c r="D78" s="27" t="s">
        <v>275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65260</f>
        <v>65260.0</v>
      </c>
      <c r="L78" s="34" t="s">
        <v>48</v>
      </c>
      <c r="M78" s="33" t="n">
        <f>65310</f>
        <v>65310.0</v>
      </c>
      <c r="N78" s="34" t="s">
        <v>48</v>
      </c>
      <c r="O78" s="33" t="n">
        <f>62740</f>
        <v>62740.0</v>
      </c>
      <c r="P78" s="34" t="s">
        <v>90</v>
      </c>
      <c r="Q78" s="33" t="n">
        <f>64970</f>
        <v>64970.0</v>
      </c>
      <c r="R78" s="34" t="s">
        <v>51</v>
      </c>
      <c r="S78" s="35" t="n">
        <f>64200</f>
        <v>64200.0</v>
      </c>
      <c r="T78" s="32" t="n">
        <f>67480</f>
        <v>67480.0</v>
      </c>
      <c r="U78" s="32" t="n">
        <f>39</f>
        <v>39.0</v>
      </c>
      <c r="V78" s="32" t="n">
        <f>4338910148</f>
        <v>4.338910148E9</v>
      </c>
      <c r="W78" s="32" t="n">
        <f>2521538</f>
        <v>2521538.0</v>
      </c>
      <c r="X78" s="36" t="n">
        <f>20</f>
        <v>20.0</v>
      </c>
    </row>
    <row r="79">
      <c r="A79" s="27" t="s">
        <v>42</v>
      </c>
      <c r="B79" s="27" t="s">
        <v>276</v>
      </c>
      <c r="C79" s="27" t="s">
        <v>277</v>
      </c>
      <c r="D79" s="27" t="s">
        <v>278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10395</f>
        <v>10395.0</v>
      </c>
      <c r="L79" s="34" t="s">
        <v>48</v>
      </c>
      <c r="M79" s="33" t="n">
        <f>10430</f>
        <v>10430.0</v>
      </c>
      <c r="N79" s="34" t="s">
        <v>77</v>
      </c>
      <c r="O79" s="33" t="n">
        <f>10010</f>
        <v>10010.0</v>
      </c>
      <c r="P79" s="34" t="s">
        <v>50</v>
      </c>
      <c r="Q79" s="33" t="n">
        <f>10380</f>
        <v>10380.0</v>
      </c>
      <c r="R79" s="34" t="s">
        <v>51</v>
      </c>
      <c r="S79" s="35" t="n">
        <f>10287.5</f>
        <v>10287.5</v>
      </c>
      <c r="T79" s="32" t="n">
        <f>766486</f>
        <v>766486.0</v>
      </c>
      <c r="U79" s="32" t="n">
        <f>67851</f>
        <v>67851.0</v>
      </c>
      <c r="V79" s="32" t="n">
        <f>7852685772</f>
        <v>7.852685772E9</v>
      </c>
      <c r="W79" s="32" t="n">
        <f>686684842</f>
        <v>6.86684842E8</v>
      </c>
      <c r="X79" s="36" t="n">
        <f>20</f>
        <v>20.0</v>
      </c>
    </row>
    <row r="80">
      <c r="A80" s="27" t="s">
        <v>42</v>
      </c>
      <c r="B80" s="27" t="s">
        <v>279</v>
      </c>
      <c r="C80" s="27" t="s">
        <v>280</v>
      </c>
      <c r="D80" s="27" t="s">
        <v>281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6377</f>
        <v>6377.0</v>
      </c>
      <c r="L80" s="34" t="s">
        <v>48</v>
      </c>
      <c r="M80" s="33" t="n">
        <f>6427</f>
        <v>6427.0</v>
      </c>
      <c r="N80" s="34" t="s">
        <v>282</v>
      </c>
      <c r="O80" s="33" t="n">
        <f>6147</f>
        <v>6147.0</v>
      </c>
      <c r="P80" s="34" t="s">
        <v>50</v>
      </c>
      <c r="Q80" s="33" t="n">
        <f>6406</f>
        <v>6406.0</v>
      </c>
      <c r="R80" s="34" t="s">
        <v>51</v>
      </c>
      <c r="S80" s="35" t="n">
        <f>6349.1</f>
        <v>6349.1</v>
      </c>
      <c r="T80" s="32" t="n">
        <f>117760</f>
        <v>117760.0</v>
      </c>
      <c r="U80" s="32" t="n">
        <f>22280</f>
        <v>22280.0</v>
      </c>
      <c r="V80" s="32" t="n">
        <f>745830298</f>
        <v>7.45830298E8</v>
      </c>
      <c r="W80" s="32" t="n">
        <f>140987568</f>
        <v>1.40987568E8</v>
      </c>
      <c r="X80" s="36" t="n">
        <f>20</f>
        <v>20.0</v>
      </c>
    </row>
    <row r="81">
      <c r="A81" s="27" t="s">
        <v>42</v>
      </c>
      <c r="B81" s="27" t="s">
        <v>283</v>
      </c>
      <c r="C81" s="27" t="s">
        <v>284</v>
      </c>
      <c r="D81" s="27" t="s">
        <v>285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10.0</v>
      </c>
      <c r="K81" s="33" t="n">
        <f>5850</f>
        <v>5850.0</v>
      </c>
      <c r="L81" s="34" t="s">
        <v>50</v>
      </c>
      <c r="M81" s="33" t="n">
        <f>6249</f>
        <v>6249.0</v>
      </c>
      <c r="N81" s="34" t="s">
        <v>77</v>
      </c>
      <c r="O81" s="33" t="n">
        <f>5720</f>
        <v>5720.0</v>
      </c>
      <c r="P81" s="34" t="s">
        <v>50</v>
      </c>
      <c r="Q81" s="33" t="n">
        <f>6051</f>
        <v>6051.0</v>
      </c>
      <c r="R81" s="34" t="s">
        <v>51</v>
      </c>
      <c r="S81" s="35" t="n">
        <f>6080.74</f>
        <v>6080.74</v>
      </c>
      <c r="T81" s="32" t="n">
        <f>10290</f>
        <v>10290.0</v>
      </c>
      <c r="U81" s="32" t="n">
        <f>510</f>
        <v>510.0</v>
      </c>
      <c r="V81" s="32" t="n">
        <f>62598247</f>
        <v>6.2598247E7</v>
      </c>
      <c r="W81" s="32" t="n">
        <f>3071567</f>
        <v>3071567.0</v>
      </c>
      <c r="X81" s="36" t="n">
        <f>19</f>
        <v>19.0</v>
      </c>
    </row>
    <row r="82">
      <c r="A82" s="27" t="s">
        <v>42</v>
      </c>
      <c r="B82" s="27" t="s">
        <v>286</v>
      </c>
      <c r="C82" s="27" t="s">
        <v>287</v>
      </c>
      <c r="D82" s="27" t="s">
        <v>288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5282</f>
        <v>5282.0</v>
      </c>
      <c r="L82" s="34" t="s">
        <v>48</v>
      </c>
      <c r="M82" s="33" t="n">
        <f>5315</f>
        <v>5315.0</v>
      </c>
      <c r="N82" s="34" t="s">
        <v>199</v>
      </c>
      <c r="O82" s="33" t="n">
        <f>5100</f>
        <v>5100.0</v>
      </c>
      <c r="P82" s="34" t="s">
        <v>50</v>
      </c>
      <c r="Q82" s="33" t="n">
        <f>5290</f>
        <v>5290.0</v>
      </c>
      <c r="R82" s="34" t="s">
        <v>51</v>
      </c>
      <c r="S82" s="35" t="n">
        <f>5246.9</f>
        <v>5246.9</v>
      </c>
      <c r="T82" s="32" t="n">
        <f>74961</f>
        <v>74961.0</v>
      </c>
      <c r="U82" s="32" t="n">
        <f>500</f>
        <v>500.0</v>
      </c>
      <c r="V82" s="32" t="n">
        <f>392767126</f>
        <v>3.92767126E8</v>
      </c>
      <c r="W82" s="32" t="n">
        <f>2620920</f>
        <v>2620920.0</v>
      </c>
      <c r="X82" s="36" t="n">
        <f>20</f>
        <v>20.0</v>
      </c>
    </row>
    <row r="83">
      <c r="A83" s="27" t="s">
        <v>42</v>
      </c>
      <c r="B83" s="27" t="s">
        <v>289</v>
      </c>
      <c r="C83" s="27" t="s">
        <v>290</v>
      </c>
      <c r="D83" s="27" t="s">
        <v>291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2350</f>
        <v>2350.0</v>
      </c>
      <c r="L83" s="34" t="s">
        <v>48</v>
      </c>
      <c r="M83" s="33" t="n">
        <f>2475</f>
        <v>2475.0</v>
      </c>
      <c r="N83" s="34" t="s">
        <v>292</v>
      </c>
      <c r="O83" s="33" t="n">
        <f>2302</f>
        <v>2302.0</v>
      </c>
      <c r="P83" s="34" t="s">
        <v>82</v>
      </c>
      <c r="Q83" s="33" t="n">
        <f>2446</f>
        <v>2446.0</v>
      </c>
      <c r="R83" s="34" t="s">
        <v>51</v>
      </c>
      <c r="S83" s="35" t="n">
        <f>2402.9</f>
        <v>2402.9</v>
      </c>
      <c r="T83" s="32" t="n">
        <f>60004</f>
        <v>60004.0</v>
      </c>
      <c r="U83" s="32" t="n">
        <f>1360</f>
        <v>1360.0</v>
      </c>
      <c r="V83" s="32" t="n">
        <f>144395696</f>
        <v>1.44395696E8</v>
      </c>
      <c r="W83" s="32" t="n">
        <f>3212480</f>
        <v>3212480.0</v>
      </c>
      <c r="X83" s="36" t="n">
        <f>20</f>
        <v>20.0</v>
      </c>
    </row>
    <row r="84">
      <c r="A84" s="27" t="s">
        <v>42</v>
      </c>
      <c r="B84" s="27" t="s">
        <v>293</v>
      </c>
      <c r="C84" s="27" t="s">
        <v>294</v>
      </c>
      <c r="D84" s="27" t="s">
        <v>295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95240</f>
        <v>95240.0</v>
      </c>
      <c r="L84" s="34" t="s">
        <v>48</v>
      </c>
      <c r="M84" s="33" t="n">
        <f>95560</f>
        <v>95560.0</v>
      </c>
      <c r="N84" s="34" t="s">
        <v>77</v>
      </c>
      <c r="O84" s="33" t="n">
        <f>91730</f>
        <v>91730.0</v>
      </c>
      <c r="P84" s="34" t="s">
        <v>50</v>
      </c>
      <c r="Q84" s="33" t="n">
        <f>95350</f>
        <v>95350.0</v>
      </c>
      <c r="R84" s="34" t="s">
        <v>51</v>
      </c>
      <c r="S84" s="35" t="n">
        <f>94325.5</f>
        <v>94325.5</v>
      </c>
      <c r="T84" s="32" t="n">
        <f>50747</f>
        <v>50747.0</v>
      </c>
      <c r="U84" s="32" t="n">
        <f>90</f>
        <v>90.0</v>
      </c>
      <c r="V84" s="32" t="n">
        <f>4780550040</f>
        <v>4.78055004E9</v>
      </c>
      <c r="W84" s="32" t="n">
        <f>8443080</f>
        <v>8443080.0</v>
      </c>
      <c r="X84" s="36" t="n">
        <f>20</f>
        <v>20.0</v>
      </c>
    </row>
    <row r="85">
      <c r="A85" s="27" t="s">
        <v>42</v>
      </c>
      <c r="B85" s="27" t="s">
        <v>296</v>
      </c>
      <c r="C85" s="27" t="s">
        <v>297</v>
      </c>
      <c r="D85" s="27" t="s">
        <v>298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3475</f>
        <v>3475.0</v>
      </c>
      <c r="L85" s="34" t="s">
        <v>48</v>
      </c>
      <c r="M85" s="33" t="n">
        <f>3540</f>
        <v>3540.0</v>
      </c>
      <c r="N85" s="34" t="s">
        <v>82</v>
      </c>
      <c r="O85" s="33" t="n">
        <f>3370</f>
        <v>3370.0</v>
      </c>
      <c r="P85" s="34" t="s">
        <v>86</v>
      </c>
      <c r="Q85" s="33" t="n">
        <f>3395</f>
        <v>3395.0</v>
      </c>
      <c r="R85" s="34" t="s">
        <v>51</v>
      </c>
      <c r="S85" s="35" t="n">
        <f>3420.35</f>
        <v>3420.35</v>
      </c>
      <c r="T85" s="32" t="n">
        <f>4794</f>
        <v>4794.0</v>
      </c>
      <c r="U85" s="32" t="str">
        <f>"－"</f>
        <v>－</v>
      </c>
      <c r="V85" s="32" t="n">
        <f>16458280</f>
        <v>1.645828E7</v>
      </c>
      <c r="W85" s="32" t="str">
        <f>"－"</f>
        <v>－</v>
      </c>
      <c r="X85" s="36" t="n">
        <f>20</f>
        <v>20.0</v>
      </c>
    </row>
    <row r="86">
      <c r="A86" s="27" t="s">
        <v>42</v>
      </c>
      <c r="B86" s="27" t="s">
        <v>299</v>
      </c>
      <c r="C86" s="27" t="s">
        <v>300</v>
      </c>
      <c r="D86" s="27" t="s">
        <v>301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5307</f>
        <v>5307.0</v>
      </c>
      <c r="L86" s="34" t="s">
        <v>48</v>
      </c>
      <c r="M86" s="33" t="n">
        <f>5380</f>
        <v>5380.0</v>
      </c>
      <c r="N86" s="34" t="s">
        <v>302</v>
      </c>
      <c r="O86" s="33" t="n">
        <f>5100</f>
        <v>5100.0</v>
      </c>
      <c r="P86" s="34" t="s">
        <v>48</v>
      </c>
      <c r="Q86" s="33" t="n">
        <f>5244</f>
        <v>5244.0</v>
      </c>
      <c r="R86" s="34" t="s">
        <v>51</v>
      </c>
      <c r="S86" s="35" t="n">
        <f>5217.8</f>
        <v>5217.8</v>
      </c>
      <c r="T86" s="32" t="n">
        <f>7043</f>
        <v>7043.0</v>
      </c>
      <c r="U86" s="32" t="str">
        <f>"－"</f>
        <v>－</v>
      </c>
      <c r="V86" s="32" t="n">
        <f>36582138</f>
        <v>3.6582138E7</v>
      </c>
      <c r="W86" s="32" t="str">
        <f>"－"</f>
        <v>－</v>
      </c>
      <c r="X86" s="36" t="n">
        <f>20</f>
        <v>20.0</v>
      </c>
    </row>
    <row r="87">
      <c r="A87" s="27" t="s">
        <v>42</v>
      </c>
      <c r="B87" s="27" t="s">
        <v>303</v>
      </c>
      <c r="C87" s="27" t="s">
        <v>304</v>
      </c>
      <c r="D87" s="27" t="s">
        <v>305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2445</f>
        <v>2445.0</v>
      </c>
      <c r="L87" s="34" t="s">
        <v>48</v>
      </c>
      <c r="M87" s="33" t="n">
        <f>2626</f>
        <v>2626.0</v>
      </c>
      <c r="N87" s="34" t="s">
        <v>49</v>
      </c>
      <c r="O87" s="33" t="n">
        <f>2420</f>
        <v>2420.0</v>
      </c>
      <c r="P87" s="34" t="s">
        <v>50</v>
      </c>
      <c r="Q87" s="33" t="n">
        <f>2474</f>
        <v>2474.0</v>
      </c>
      <c r="R87" s="34" t="s">
        <v>51</v>
      </c>
      <c r="S87" s="35" t="n">
        <f>2522.9</f>
        <v>2522.9</v>
      </c>
      <c r="T87" s="32" t="n">
        <f>291479</f>
        <v>291479.0</v>
      </c>
      <c r="U87" s="32" t="n">
        <f>610</f>
        <v>610.0</v>
      </c>
      <c r="V87" s="32" t="n">
        <f>738806433</f>
        <v>7.38806433E8</v>
      </c>
      <c r="W87" s="32" t="n">
        <f>1572131</f>
        <v>1572131.0</v>
      </c>
      <c r="X87" s="36" t="n">
        <f>20</f>
        <v>20.0</v>
      </c>
    </row>
    <row r="88">
      <c r="A88" s="27" t="s">
        <v>42</v>
      </c>
      <c r="B88" s="27" t="s">
        <v>306</v>
      </c>
      <c r="C88" s="27" t="s">
        <v>307</v>
      </c>
      <c r="D88" s="27" t="s">
        <v>308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50530</f>
        <v>50530.0</v>
      </c>
      <c r="L88" s="34" t="s">
        <v>48</v>
      </c>
      <c r="M88" s="33" t="n">
        <f>50900</f>
        <v>50900.0</v>
      </c>
      <c r="N88" s="34" t="s">
        <v>221</v>
      </c>
      <c r="O88" s="33" t="n">
        <f>49850</f>
        <v>49850.0</v>
      </c>
      <c r="P88" s="34" t="s">
        <v>50</v>
      </c>
      <c r="Q88" s="33" t="n">
        <f>50640</f>
        <v>50640.0</v>
      </c>
      <c r="R88" s="34" t="s">
        <v>51</v>
      </c>
      <c r="S88" s="35" t="n">
        <f>50552.5</f>
        <v>50552.5</v>
      </c>
      <c r="T88" s="32" t="n">
        <f>8288</f>
        <v>8288.0</v>
      </c>
      <c r="U88" s="32" t="n">
        <f>143</f>
        <v>143.0</v>
      </c>
      <c r="V88" s="32" t="n">
        <f>419375979</f>
        <v>4.19375979E8</v>
      </c>
      <c r="W88" s="32" t="n">
        <f>7213799</f>
        <v>7213799.0</v>
      </c>
      <c r="X88" s="36" t="n">
        <f>20</f>
        <v>20.0</v>
      </c>
    </row>
    <row r="89">
      <c r="A89" s="27" t="s">
        <v>42</v>
      </c>
      <c r="B89" s="27" t="s">
        <v>309</v>
      </c>
      <c r="C89" s="27" t="s">
        <v>310</v>
      </c>
      <c r="D89" s="27" t="s">
        <v>311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10.0</v>
      </c>
      <c r="K89" s="33" t="n">
        <f>528.6</f>
        <v>528.6</v>
      </c>
      <c r="L89" s="34" t="s">
        <v>48</v>
      </c>
      <c r="M89" s="33" t="n">
        <f>599.4</f>
        <v>599.4</v>
      </c>
      <c r="N89" s="34" t="s">
        <v>49</v>
      </c>
      <c r="O89" s="33" t="n">
        <f>509.9</f>
        <v>509.9</v>
      </c>
      <c r="P89" s="34" t="s">
        <v>50</v>
      </c>
      <c r="Q89" s="33" t="n">
        <f>578.3</f>
        <v>578.3</v>
      </c>
      <c r="R89" s="34" t="s">
        <v>51</v>
      </c>
      <c r="S89" s="35" t="n">
        <f>570.12</f>
        <v>570.12</v>
      </c>
      <c r="T89" s="32" t="n">
        <f>84064970</f>
        <v>8.406497E7</v>
      </c>
      <c r="U89" s="32" t="n">
        <f>96940</f>
        <v>96940.0</v>
      </c>
      <c r="V89" s="32" t="n">
        <f>47786079762</f>
        <v>4.7786079762E10</v>
      </c>
      <c r="W89" s="32" t="n">
        <f>55997512</f>
        <v>5.5997512E7</v>
      </c>
      <c r="X89" s="36" t="n">
        <f>20</f>
        <v>20.0</v>
      </c>
    </row>
    <row r="90">
      <c r="A90" s="27" t="s">
        <v>42</v>
      </c>
      <c r="B90" s="27" t="s">
        <v>312</v>
      </c>
      <c r="C90" s="27" t="s">
        <v>313</v>
      </c>
      <c r="D90" s="27" t="s">
        <v>314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1095.5</f>
        <v>1095.5</v>
      </c>
      <c r="L90" s="34" t="s">
        <v>48</v>
      </c>
      <c r="M90" s="33" t="n">
        <f>1115.5</f>
        <v>1115.5</v>
      </c>
      <c r="N90" s="34" t="s">
        <v>50</v>
      </c>
      <c r="O90" s="33" t="n">
        <f>1025</f>
        <v>1025.0</v>
      </c>
      <c r="P90" s="34" t="s">
        <v>49</v>
      </c>
      <c r="Q90" s="33" t="n">
        <f>1043</f>
        <v>1043.0</v>
      </c>
      <c r="R90" s="34" t="s">
        <v>51</v>
      </c>
      <c r="S90" s="35" t="n">
        <f>1052.78</f>
        <v>1052.78</v>
      </c>
      <c r="T90" s="32" t="n">
        <f>3539620</f>
        <v>3539620.0</v>
      </c>
      <c r="U90" s="32" t="n">
        <f>2401080</f>
        <v>2401080.0</v>
      </c>
      <c r="V90" s="32" t="n">
        <f>3694962419</f>
        <v>3.694962419E9</v>
      </c>
      <c r="W90" s="32" t="n">
        <f>2493704104</f>
        <v>2.493704104E9</v>
      </c>
      <c r="X90" s="36" t="n">
        <f>20</f>
        <v>20.0</v>
      </c>
    </row>
    <row r="91">
      <c r="A91" s="27" t="s">
        <v>42</v>
      </c>
      <c r="B91" s="27" t="s">
        <v>315</v>
      </c>
      <c r="C91" s="27" t="s">
        <v>316</v>
      </c>
      <c r="D91" s="27" t="s">
        <v>317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28410</f>
        <v>28410.0</v>
      </c>
      <c r="L91" s="34" t="s">
        <v>48</v>
      </c>
      <c r="M91" s="33" t="n">
        <f>33010</f>
        <v>33010.0</v>
      </c>
      <c r="N91" s="34" t="s">
        <v>64</v>
      </c>
      <c r="O91" s="33" t="n">
        <f>27310</f>
        <v>27310.0</v>
      </c>
      <c r="P91" s="34" t="s">
        <v>50</v>
      </c>
      <c r="Q91" s="33" t="n">
        <f>31300</f>
        <v>31300.0</v>
      </c>
      <c r="R91" s="34" t="s">
        <v>51</v>
      </c>
      <c r="S91" s="35" t="n">
        <f>30712.25</f>
        <v>30712.25</v>
      </c>
      <c r="T91" s="32" t="n">
        <f>74407347</f>
        <v>7.4407347E7</v>
      </c>
      <c r="U91" s="32" t="n">
        <f>877176</f>
        <v>877176.0</v>
      </c>
      <c r="V91" s="32" t="n">
        <f>2282639994515</f>
        <v>2.282639994515E12</v>
      </c>
      <c r="W91" s="32" t="n">
        <f>27241644060</f>
        <v>2.724164406E10</v>
      </c>
      <c r="X91" s="36" t="n">
        <f>20</f>
        <v>20.0</v>
      </c>
    </row>
    <row r="92">
      <c r="A92" s="27" t="s">
        <v>42</v>
      </c>
      <c r="B92" s="27" t="s">
        <v>318</v>
      </c>
      <c r="C92" s="27" t="s">
        <v>319</v>
      </c>
      <c r="D92" s="27" t="s">
        <v>320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530</f>
        <v>530.0</v>
      </c>
      <c r="L92" s="34" t="s">
        <v>48</v>
      </c>
      <c r="M92" s="33" t="n">
        <f>541</f>
        <v>541.0</v>
      </c>
      <c r="N92" s="34" t="s">
        <v>50</v>
      </c>
      <c r="O92" s="33" t="n">
        <f>490</f>
        <v>490.0</v>
      </c>
      <c r="P92" s="34" t="s">
        <v>49</v>
      </c>
      <c r="Q92" s="33" t="n">
        <f>501</f>
        <v>501.0</v>
      </c>
      <c r="R92" s="34" t="s">
        <v>51</v>
      </c>
      <c r="S92" s="35" t="n">
        <f>508.5</f>
        <v>508.5</v>
      </c>
      <c r="T92" s="32" t="n">
        <f>57321232</f>
        <v>5.7321232E7</v>
      </c>
      <c r="U92" s="32" t="n">
        <f>10900098</f>
        <v>1.0900098E7</v>
      </c>
      <c r="V92" s="32" t="n">
        <f>29065079406</f>
        <v>2.9065079406E10</v>
      </c>
      <c r="W92" s="32" t="n">
        <f>5597016303</f>
        <v>5.597016303E9</v>
      </c>
      <c r="X92" s="36" t="n">
        <f>20</f>
        <v>20.0</v>
      </c>
    </row>
    <row r="93">
      <c r="A93" s="27" t="s">
        <v>42</v>
      </c>
      <c r="B93" s="27" t="s">
        <v>321</v>
      </c>
      <c r="C93" s="27" t="s">
        <v>322</v>
      </c>
      <c r="D93" s="27" t="s">
        <v>323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10.0</v>
      </c>
      <c r="K93" s="33" t="n">
        <f>7505</f>
        <v>7505.0</v>
      </c>
      <c r="L93" s="34" t="s">
        <v>48</v>
      </c>
      <c r="M93" s="33" t="n">
        <f>8068</f>
        <v>8068.0</v>
      </c>
      <c r="N93" s="34" t="s">
        <v>199</v>
      </c>
      <c r="O93" s="33" t="n">
        <f>7150</f>
        <v>7150.0</v>
      </c>
      <c r="P93" s="34" t="s">
        <v>50</v>
      </c>
      <c r="Q93" s="33" t="n">
        <f>7575</f>
        <v>7575.0</v>
      </c>
      <c r="R93" s="34" t="s">
        <v>51</v>
      </c>
      <c r="S93" s="35" t="n">
        <f>7625.35</f>
        <v>7625.35</v>
      </c>
      <c r="T93" s="32" t="n">
        <f>242570</f>
        <v>242570.0</v>
      </c>
      <c r="U93" s="32" t="str">
        <f>"－"</f>
        <v>－</v>
      </c>
      <c r="V93" s="32" t="n">
        <f>1849885670</f>
        <v>1.84988567E9</v>
      </c>
      <c r="W93" s="32" t="str">
        <f>"－"</f>
        <v>－</v>
      </c>
      <c r="X93" s="36" t="n">
        <f>20</f>
        <v>20.0</v>
      </c>
    </row>
    <row r="94">
      <c r="A94" s="27" t="s">
        <v>42</v>
      </c>
      <c r="B94" s="27" t="s">
        <v>324</v>
      </c>
      <c r="C94" s="27" t="s">
        <v>325</v>
      </c>
      <c r="D94" s="27" t="s">
        <v>326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10.0</v>
      </c>
      <c r="K94" s="33" t="n">
        <f>7771</f>
        <v>7771.0</v>
      </c>
      <c r="L94" s="34" t="s">
        <v>48</v>
      </c>
      <c r="M94" s="33" t="n">
        <f>7834</f>
        <v>7834.0</v>
      </c>
      <c r="N94" s="34" t="s">
        <v>50</v>
      </c>
      <c r="O94" s="33" t="n">
        <f>7284</f>
        <v>7284.0</v>
      </c>
      <c r="P94" s="34" t="s">
        <v>100</v>
      </c>
      <c r="Q94" s="33" t="n">
        <f>7549</f>
        <v>7549.0</v>
      </c>
      <c r="R94" s="34" t="s">
        <v>51</v>
      </c>
      <c r="S94" s="35" t="n">
        <f>7544.9</f>
        <v>7544.9</v>
      </c>
      <c r="T94" s="32" t="n">
        <f>18390</f>
        <v>18390.0</v>
      </c>
      <c r="U94" s="32" t="str">
        <f>"－"</f>
        <v>－</v>
      </c>
      <c r="V94" s="32" t="n">
        <f>139036760</f>
        <v>1.3903676E8</v>
      </c>
      <c r="W94" s="32" t="str">
        <f>"－"</f>
        <v>－</v>
      </c>
      <c r="X94" s="36" t="n">
        <f>20</f>
        <v>20.0</v>
      </c>
    </row>
    <row r="95">
      <c r="A95" s="27" t="s">
        <v>42</v>
      </c>
      <c r="B95" s="27" t="s">
        <v>327</v>
      </c>
      <c r="C95" s="27" t="s">
        <v>328</v>
      </c>
      <c r="D95" s="27" t="s">
        <v>329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40790</f>
        <v>40790.0</v>
      </c>
      <c r="L95" s="34" t="s">
        <v>48</v>
      </c>
      <c r="M95" s="33" t="n">
        <f>43960</f>
        <v>43960.0</v>
      </c>
      <c r="N95" s="34" t="s">
        <v>199</v>
      </c>
      <c r="O95" s="33" t="n">
        <f>40080</f>
        <v>40080.0</v>
      </c>
      <c r="P95" s="34" t="s">
        <v>50</v>
      </c>
      <c r="Q95" s="33" t="n">
        <f>43460</f>
        <v>43460.0</v>
      </c>
      <c r="R95" s="34" t="s">
        <v>51</v>
      </c>
      <c r="S95" s="35" t="n">
        <f>42597</f>
        <v>42597.0</v>
      </c>
      <c r="T95" s="32" t="n">
        <f>157391</f>
        <v>157391.0</v>
      </c>
      <c r="U95" s="32" t="n">
        <f>71977</f>
        <v>71977.0</v>
      </c>
      <c r="V95" s="32" t="n">
        <f>6743899734</f>
        <v>6.743899734E9</v>
      </c>
      <c r="W95" s="32" t="n">
        <f>3082317164</f>
        <v>3.082317164E9</v>
      </c>
      <c r="X95" s="36" t="n">
        <f>20</f>
        <v>20.0</v>
      </c>
    </row>
    <row r="96">
      <c r="A96" s="27" t="s">
        <v>42</v>
      </c>
      <c r="B96" s="27" t="s">
        <v>330</v>
      </c>
      <c r="C96" s="27" t="s">
        <v>331</v>
      </c>
      <c r="D96" s="27" t="s">
        <v>332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3235</f>
        <v>3235.0</v>
      </c>
      <c r="L96" s="34" t="s">
        <v>48</v>
      </c>
      <c r="M96" s="33" t="n">
        <f>3500</f>
        <v>3500.0</v>
      </c>
      <c r="N96" s="34" t="s">
        <v>64</v>
      </c>
      <c r="O96" s="33" t="n">
        <f>3175</f>
        <v>3175.0</v>
      </c>
      <c r="P96" s="34" t="s">
        <v>50</v>
      </c>
      <c r="Q96" s="33" t="n">
        <f>3411</f>
        <v>3411.0</v>
      </c>
      <c r="R96" s="34" t="s">
        <v>51</v>
      </c>
      <c r="S96" s="35" t="n">
        <f>3374.2</f>
        <v>3374.2</v>
      </c>
      <c r="T96" s="32" t="n">
        <f>480040</f>
        <v>480040.0</v>
      </c>
      <c r="U96" s="32" t="n">
        <f>204213</f>
        <v>204213.0</v>
      </c>
      <c r="V96" s="32" t="n">
        <f>1624818827</f>
        <v>1.624818827E9</v>
      </c>
      <c r="W96" s="32" t="n">
        <f>689975567</f>
        <v>6.89975567E8</v>
      </c>
      <c r="X96" s="36" t="n">
        <f>20</f>
        <v>20.0</v>
      </c>
    </row>
    <row r="97">
      <c r="A97" s="27" t="s">
        <v>42</v>
      </c>
      <c r="B97" s="27" t="s">
        <v>333</v>
      </c>
      <c r="C97" s="27" t="s">
        <v>334</v>
      </c>
      <c r="D97" s="27" t="s">
        <v>335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306.5</f>
        <v>306.5</v>
      </c>
      <c r="L97" s="34" t="s">
        <v>48</v>
      </c>
      <c r="M97" s="33" t="n">
        <f>355.3</f>
        <v>355.3</v>
      </c>
      <c r="N97" s="34" t="s">
        <v>64</v>
      </c>
      <c r="O97" s="33" t="n">
        <f>292.7</f>
        <v>292.7</v>
      </c>
      <c r="P97" s="34" t="s">
        <v>50</v>
      </c>
      <c r="Q97" s="33" t="n">
        <f>336.8</f>
        <v>336.8</v>
      </c>
      <c r="R97" s="34" t="s">
        <v>51</v>
      </c>
      <c r="S97" s="35" t="n">
        <f>330.53</f>
        <v>330.53</v>
      </c>
      <c r="T97" s="32" t="n">
        <f>531006220</f>
        <v>5.3100622E8</v>
      </c>
      <c r="U97" s="32" t="n">
        <f>14892780</f>
        <v>1.489278E7</v>
      </c>
      <c r="V97" s="32" t="n">
        <f>175909078377</f>
        <v>1.75909078377E11</v>
      </c>
      <c r="W97" s="32" t="n">
        <f>4920966945</f>
        <v>4.920966945E9</v>
      </c>
      <c r="X97" s="36" t="n">
        <f>20</f>
        <v>20.0</v>
      </c>
    </row>
    <row r="98">
      <c r="A98" s="27" t="s">
        <v>42</v>
      </c>
      <c r="B98" s="27" t="s">
        <v>336</v>
      </c>
      <c r="C98" s="27" t="s">
        <v>337</v>
      </c>
      <c r="D98" s="27" t="s">
        <v>338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1404.5</f>
        <v>1404.5</v>
      </c>
      <c r="L98" s="34" t="s">
        <v>48</v>
      </c>
      <c r="M98" s="33" t="n">
        <f>1438.5</f>
        <v>1438.5</v>
      </c>
      <c r="N98" s="34" t="s">
        <v>50</v>
      </c>
      <c r="O98" s="33" t="n">
        <f>1302</f>
        <v>1302.0</v>
      </c>
      <c r="P98" s="34" t="s">
        <v>64</v>
      </c>
      <c r="Q98" s="33" t="n">
        <f>1334</f>
        <v>1334.0</v>
      </c>
      <c r="R98" s="34" t="s">
        <v>51</v>
      </c>
      <c r="S98" s="35" t="n">
        <f>1351.38</f>
        <v>1351.38</v>
      </c>
      <c r="T98" s="32" t="n">
        <f>14979220</f>
        <v>1.497922E7</v>
      </c>
      <c r="U98" s="32" t="n">
        <f>5102410</f>
        <v>5102410.0</v>
      </c>
      <c r="V98" s="32" t="n">
        <f>20076735968</f>
        <v>2.0076735968E10</v>
      </c>
      <c r="W98" s="32" t="n">
        <f>6804247308</f>
        <v>6.804247308E9</v>
      </c>
      <c r="X98" s="36" t="n">
        <f>20</f>
        <v>20.0</v>
      </c>
    </row>
    <row r="99">
      <c r="A99" s="27" t="s">
        <v>42</v>
      </c>
      <c r="B99" s="27" t="s">
        <v>339</v>
      </c>
      <c r="C99" s="27" t="s">
        <v>340</v>
      </c>
      <c r="D99" s="27" t="s">
        <v>341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1987</f>
        <v>1987.0</v>
      </c>
      <c r="L99" s="34" t="s">
        <v>48</v>
      </c>
      <c r="M99" s="33" t="n">
        <f>2111</f>
        <v>2111.0</v>
      </c>
      <c r="N99" s="34" t="s">
        <v>64</v>
      </c>
      <c r="O99" s="33" t="n">
        <f>1900</f>
        <v>1900.0</v>
      </c>
      <c r="P99" s="34" t="s">
        <v>116</v>
      </c>
      <c r="Q99" s="33" t="n">
        <f>2068</f>
        <v>2068.0</v>
      </c>
      <c r="R99" s="34" t="s">
        <v>51</v>
      </c>
      <c r="S99" s="35" t="n">
        <f>2031.94</f>
        <v>2031.94</v>
      </c>
      <c r="T99" s="32" t="n">
        <f>1554040</f>
        <v>1554040.0</v>
      </c>
      <c r="U99" s="32" t="n">
        <f>1549950</f>
        <v>1549950.0</v>
      </c>
      <c r="V99" s="32" t="n">
        <f>3236644525</f>
        <v>3.236644525E9</v>
      </c>
      <c r="W99" s="32" t="n">
        <f>3228324350</f>
        <v>3.22832435E9</v>
      </c>
      <c r="X99" s="36" t="n">
        <f>17</f>
        <v>17.0</v>
      </c>
    </row>
    <row r="100">
      <c r="A100" s="27" t="s">
        <v>42</v>
      </c>
      <c r="B100" s="27" t="s">
        <v>342</v>
      </c>
      <c r="C100" s="27" t="s">
        <v>343</v>
      </c>
      <c r="D100" s="27" t="s">
        <v>344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2311</f>
        <v>2311.0</v>
      </c>
      <c r="L100" s="34" t="s">
        <v>48</v>
      </c>
      <c r="M100" s="33" t="n">
        <f>2447</f>
        <v>2447.0</v>
      </c>
      <c r="N100" s="34" t="s">
        <v>64</v>
      </c>
      <c r="O100" s="33" t="n">
        <f>2270</f>
        <v>2270.0</v>
      </c>
      <c r="P100" s="34" t="s">
        <v>50</v>
      </c>
      <c r="Q100" s="33" t="n">
        <f>2405</f>
        <v>2405.0</v>
      </c>
      <c r="R100" s="34" t="s">
        <v>51</v>
      </c>
      <c r="S100" s="35" t="n">
        <f>2391.15</f>
        <v>2391.15</v>
      </c>
      <c r="T100" s="32" t="n">
        <f>2140</f>
        <v>2140.0</v>
      </c>
      <c r="U100" s="32" t="str">
        <f>"－"</f>
        <v>－</v>
      </c>
      <c r="V100" s="32" t="n">
        <f>5103729</f>
        <v>5103729.0</v>
      </c>
      <c r="W100" s="32" t="str">
        <f>"－"</f>
        <v>－</v>
      </c>
      <c r="X100" s="36" t="n">
        <f>20</f>
        <v>20.0</v>
      </c>
    </row>
    <row r="101">
      <c r="A101" s="27" t="s">
        <v>42</v>
      </c>
      <c r="B101" s="27" t="s">
        <v>345</v>
      </c>
      <c r="C101" s="27" t="s">
        <v>346</v>
      </c>
      <c r="D101" s="27" t="s">
        <v>347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26585</f>
        <v>26585.0</v>
      </c>
      <c r="L101" s="34" t="s">
        <v>48</v>
      </c>
      <c r="M101" s="33" t="n">
        <f>28210</f>
        <v>28210.0</v>
      </c>
      <c r="N101" s="34" t="s">
        <v>49</v>
      </c>
      <c r="O101" s="33" t="n">
        <f>26150</f>
        <v>26150.0</v>
      </c>
      <c r="P101" s="34" t="s">
        <v>50</v>
      </c>
      <c r="Q101" s="33" t="n">
        <f>27650</f>
        <v>27650.0</v>
      </c>
      <c r="R101" s="34" t="s">
        <v>51</v>
      </c>
      <c r="S101" s="35" t="n">
        <f>27538.5</f>
        <v>27538.5</v>
      </c>
      <c r="T101" s="32" t="n">
        <f>62927</f>
        <v>62927.0</v>
      </c>
      <c r="U101" s="32" t="n">
        <f>9544</f>
        <v>9544.0</v>
      </c>
      <c r="V101" s="32" t="n">
        <f>1738830734</f>
        <v>1.738830734E9</v>
      </c>
      <c r="W101" s="32" t="n">
        <f>261600909</f>
        <v>2.61600909E8</v>
      </c>
      <c r="X101" s="36" t="n">
        <f>20</f>
        <v>20.0</v>
      </c>
    </row>
    <row r="102">
      <c r="A102" s="27" t="s">
        <v>42</v>
      </c>
      <c r="B102" s="27" t="s">
        <v>348</v>
      </c>
      <c r="C102" s="27" t="s">
        <v>349</v>
      </c>
      <c r="D102" s="27" t="s">
        <v>350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2432</f>
        <v>2432.0</v>
      </c>
      <c r="L102" s="34" t="s">
        <v>48</v>
      </c>
      <c r="M102" s="33" t="n">
        <f>2579</f>
        <v>2579.0</v>
      </c>
      <c r="N102" s="34" t="s">
        <v>49</v>
      </c>
      <c r="O102" s="33" t="n">
        <f>2384</f>
        <v>2384.0</v>
      </c>
      <c r="P102" s="34" t="s">
        <v>50</v>
      </c>
      <c r="Q102" s="33" t="n">
        <f>2537</f>
        <v>2537.0</v>
      </c>
      <c r="R102" s="34" t="s">
        <v>51</v>
      </c>
      <c r="S102" s="35" t="n">
        <f>2518.2</f>
        <v>2518.2</v>
      </c>
      <c r="T102" s="32" t="n">
        <f>389823</f>
        <v>389823.0</v>
      </c>
      <c r="U102" s="32" t="n">
        <f>317840</f>
        <v>317840.0</v>
      </c>
      <c r="V102" s="32" t="n">
        <f>981485213</f>
        <v>9.81485213E8</v>
      </c>
      <c r="W102" s="32" t="n">
        <f>799526520</f>
        <v>7.9952652E8</v>
      </c>
      <c r="X102" s="36" t="n">
        <f>20</f>
        <v>20.0</v>
      </c>
    </row>
    <row r="103">
      <c r="A103" s="27" t="s">
        <v>42</v>
      </c>
      <c r="B103" s="27" t="s">
        <v>351</v>
      </c>
      <c r="C103" s="27" t="s">
        <v>352</v>
      </c>
      <c r="D103" s="27" t="s">
        <v>353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27020</f>
        <v>27020.0</v>
      </c>
      <c r="L103" s="34" t="s">
        <v>48</v>
      </c>
      <c r="M103" s="33" t="n">
        <f>28840</f>
        <v>28840.0</v>
      </c>
      <c r="N103" s="34" t="s">
        <v>49</v>
      </c>
      <c r="O103" s="33" t="n">
        <f>26695</f>
        <v>26695.0</v>
      </c>
      <c r="P103" s="34" t="s">
        <v>50</v>
      </c>
      <c r="Q103" s="33" t="n">
        <f>28340</f>
        <v>28340.0</v>
      </c>
      <c r="R103" s="34" t="s">
        <v>51</v>
      </c>
      <c r="S103" s="35" t="n">
        <f>28157.25</f>
        <v>28157.25</v>
      </c>
      <c r="T103" s="32" t="n">
        <f>27339</f>
        <v>27339.0</v>
      </c>
      <c r="U103" s="32" t="n">
        <f>5958</f>
        <v>5958.0</v>
      </c>
      <c r="V103" s="32" t="n">
        <f>770353694</f>
        <v>7.70353694E8</v>
      </c>
      <c r="W103" s="32" t="n">
        <f>170156684</f>
        <v>1.70156684E8</v>
      </c>
      <c r="X103" s="36" t="n">
        <f>20</f>
        <v>20.0</v>
      </c>
    </row>
    <row r="104">
      <c r="A104" s="27" t="s">
        <v>42</v>
      </c>
      <c r="B104" s="27" t="s">
        <v>354</v>
      </c>
      <c r="C104" s="27" t="s">
        <v>355</v>
      </c>
      <c r="D104" s="27" t="s">
        <v>356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10.0</v>
      </c>
      <c r="K104" s="33" t="n">
        <f>1900.5</f>
        <v>1900.5</v>
      </c>
      <c r="L104" s="34" t="s">
        <v>48</v>
      </c>
      <c r="M104" s="33" t="n">
        <f>1985.5</f>
        <v>1985.5</v>
      </c>
      <c r="N104" s="34" t="s">
        <v>81</v>
      </c>
      <c r="O104" s="33" t="n">
        <f>1898</f>
        <v>1898.0</v>
      </c>
      <c r="P104" s="34" t="s">
        <v>48</v>
      </c>
      <c r="Q104" s="33" t="n">
        <f>1976.5</f>
        <v>1976.5</v>
      </c>
      <c r="R104" s="34" t="s">
        <v>51</v>
      </c>
      <c r="S104" s="35" t="n">
        <f>1948.53</f>
        <v>1948.53</v>
      </c>
      <c r="T104" s="32" t="n">
        <f>5992450</f>
        <v>5992450.0</v>
      </c>
      <c r="U104" s="32" t="n">
        <f>1903950</f>
        <v>1903950.0</v>
      </c>
      <c r="V104" s="32" t="n">
        <f>11649960453</f>
        <v>1.1649960453E10</v>
      </c>
      <c r="W104" s="32" t="n">
        <f>3692500343</f>
        <v>3.692500343E9</v>
      </c>
      <c r="X104" s="36" t="n">
        <f>20</f>
        <v>20.0</v>
      </c>
    </row>
    <row r="105">
      <c r="A105" s="27" t="s">
        <v>42</v>
      </c>
      <c r="B105" s="27" t="s">
        <v>357</v>
      </c>
      <c r="C105" s="27" t="s">
        <v>358</v>
      </c>
      <c r="D105" s="27" t="s">
        <v>359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2267.5</f>
        <v>2267.5</v>
      </c>
      <c r="L105" s="34" t="s">
        <v>100</v>
      </c>
      <c r="M105" s="33" t="n">
        <f>2541</f>
        <v>2541.0</v>
      </c>
      <c r="N105" s="34" t="s">
        <v>49</v>
      </c>
      <c r="O105" s="33" t="n">
        <f>2267.5</f>
        <v>2267.5</v>
      </c>
      <c r="P105" s="34" t="s">
        <v>100</v>
      </c>
      <c r="Q105" s="33" t="n">
        <f>2528.5</f>
        <v>2528.5</v>
      </c>
      <c r="R105" s="34" t="s">
        <v>292</v>
      </c>
      <c r="S105" s="35" t="n">
        <f>2463.63</f>
        <v>2463.63</v>
      </c>
      <c r="T105" s="32" t="n">
        <f>486800</f>
        <v>486800.0</v>
      </c>
      <c r="U105" s="32" t="n">
        <f>486520</f>
        <v>486520.0</v>
      </c>
      <c r="V105" s="32" t="n">
        <f>1197577092</f>
        <v>1.197577092E9</v>
      </c>
      <c r="W105" s="32" t="n">
        <f>1196887852</f>
        <v>1.196887852E9</v>
      </c>
      <c r="X105" s="36" t="n">
        <f>4</f>
        <v>4.0</v>
      </c>
    </row>
    <row r="106">
      <c r="A106" s="27" t="s">
        <v>42</v>
      </c>
      <c r="B106" s="27" t="s">
        <v>360</v>
      </c>
      <c r="C106" s="27" t="s">
        <v>361</v>
      </c>
      <c r="D106" s="27" t="s">
        <v>362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1922</f>
        <v>1922.0</v>
      </c>
      <c r="L106" s="34" t="s">
        <v>48</v>
      </c>
      <c r="M106" s="33" t="n">
        <f>2009.5</f>
        <v>2009.5</v>
      </c>
      <c r="N106" s="34" t="s">
        <v>81</v>
      </c>
      <c r="O106" s="33" t="n">
        <f>1909.5</f>
        <v>1909.5</v>
      </c>
      <c r="P106" s="34" t="s">
        <v>48</v>
      </c>
      <c r="Q106" s="33" t="n">
        <f>1998.5</f>
        <v>1998.5</v>
      </c>
      <c r="R106" s="34" t="s">
        <v>51</v>
      </c>
      <c r="S106" s="35" t="n">
        <f>1970.4</f>
        <v>1970.4</v>
      </c>
      <c r="T106" s="32" t="n">
        <f>8832650</f>
        <v>8832650.0</v>
      </c>
      <c r="U106" s="32" t="n">
        <f>4026110</f>
        <v>4026110.0</v>
      </c>
      <c r="V106" s="32" t="n">
        <f>17381250325</f>
        <v>1.7381250325E10</v>
      </c>
      <c r="W106" s="32" t="n">
        <f>7938725025</f>
        <v>7.938725025E9</v>
      </c>
      <c r="X106" s="36" t="n">
        <f>20</f>
        <v>20.0</v>
      </c>
    </row>
    <row r="107">
      <c r="A107" s="27" t="s">
        <v>42</v>
      </c>
      <c r="B107" s="27" t="s">
        <v>363</v>
      </c>
      <c r="C107" s="27" t="s">
        <v>364</v>
      </c>
      <c r="D107" s="27" t="s">
        <v>365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26985</f>
        <v>26985.0</v>
      </c>
      <c r="L107" s="34" t="s">
        <v>48</v>
      </c>
      <c r="M107" s="33" t="n">
        <f>28635</f>
        <v>28635.0</v>
      </c>
      <c r="N107" s="34" t="s">
        <v>64</v>
      </c>
      <c r="O107" s="33" t="n">
        <f>26465</f>
        <v>26465.0</v>
      </c>
      <c r="P107" s="34" t="s">
        <v>50</v>
      </c>
      <c r="Q107" s="33" t="n">
        <f>28180</f>
        <v>28180.0</v>
      </c>
      <c r="R107" s="34" t="s">
        <v>81</v>
      </c>
      <c r="S107" s="35" t="n">
        <f>27928.42</f>
        <v>27928.42</v>
      </c>
      <c r="T107" s="32" t="n">
        <f>12563</f>
        <v>12563.0</v>
      </c>
      <c r="U107" s="32" t="n">
        <f>5885</f>
        <v>5885.0</v>
      </c>
      <c r="V107" s="32" t="n">
        <f>353047279</f>
        <v>3.53047279E8</v>
      </c>
      <c r="W107" s="32" t="n">
        <f>166298184</f>
        <v>1.66298184E8</v>
      </c>
      <c r="X107" s="36" t="n">
        <f>19</f>
        <v>19.0</v>
      </c>
    </row>
    <row r="108">
      <c r="A108" s="27" t="s">
        <v>42</v>
      </c>
      <c r="B108" s="27" t="s">
        <v>366</v>
      </c>
      <c r="C108" s="27" t="s">
        <v>367</v>
      </c>
      <c r="D108" s="27" t="s">
        <v>368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547.9</f>
        <v>547.9</v>
      </c>
      <c r="L108" s="34" t="s">
        <v>48</v>
      </c>
      <c r="M108" s="33" t="n">
        <f>585</f>
        <v>585.0</v>
      </c>
      <c r="N108" s="34" t="s">
        <v>64</v>
      </c>
      <c r="O108" s="33" t="n">
        <f>536.4</f>
        <v>536.4</v>
      </c>
      <c r="P108" s="34" t="s">
        <v>50</v>
      </c>
      <c r="Q108" s="33" t="n">
        <f>571</f>
        <v>571.0</v>
      </c>
      <c r="R108" s="34" t="s">
        <v>51</v>
      </c>
      <c r="S108" s="35" t="n">
        <f>568.3</f>
        <v>568.3</v>
      </c>
      <c r="T108" s="32" t="n">
        <f>392790</f>
        <v>392790.0</v>
      </c>
      <c r="U108" s="32" t="n">
        <f>260000</f>
        <v>260000.0</v>
      </c>
      <c r="V108" s="32" t="n">
        <f>221718610</f>
        <v>2.2171861E8</v>
      </c>
      <c r="W108" s="32" t="n">
        <f>147691000</f>
        <v>1.47691E8</v>
      </c>
      <c r="X108" s="36" t="n">
        <f>20</f>
        <v>20.0</v>
      </c>
    </row>
    <row r="109">
      <c r="A109" s="27" t="s">
        <v>42</v>
      </c>
      <c r="B109" s="27" t="s">
        <v>369</v>
      </c>
      <c r="C109" s="27" t="s">
        <v>370</v>
      </c>
      <c r="D109" s="27" t="s">
        <v>371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100.0</v>
      </c>
      <c r="K109" s="33" t="n">
        <f>414.8</f>
        <v>414.8</v>
      </c>
      <c r="L109" s="34" t="s">
        <v>48</v>
      </c>
      <c r="M109" s="33" t="n">
        <f>464.7</f>
        <v>464.7</v>
      </c>
      <c r="N109" s="34" t="s">
        <v>282</v>
      </c>
      <c r="O109" s="33" t="n">
        <f>401.1</f>
        <v>401.1</v>
      </c>
      <c r="P109" s="34" t="s">
        <v>50</v>
      </c>
      <c r="Q109" s="33" t="n">
        <f>450.3</f>
        <v>450.3</v>
      </c>
      <c r="R109" s="34" t="s">
        <v>51</v>
      </c>
      <c r="S109" s="35" t="n">
        <f>439.55</f>
        <v>439.55</v>
      </c>
      <c r="T109" s="32" t="n">
        <f>67469600</f>
        <v>6.74696E7</v>
      </c>
      <c r="U109" s="32" t="n">
        <f>18238600</f>
        <v>1.82386E7</v>
      </c>
      <c r="V109" s="32" t="n">
        <f>29542602214</f>
        <v>2.9542602214E10</v>
      </c>
      <c r="W109" s="32" t="n">
        <f>8053692424</f>
        <v>8.053692424E9</v>
      </c>
      <c r="X109" s="36" t="n">
        <f>20</f>
        <v>20.0</v>
      </c>
    </row>
    <row r="110">
      <c r="A110" s="27" t="s">
        <v>42</v>
      </c>
      <c r="B110" s="27" t="s">
        <v>372</v>
      </c>
      <c r="C110" s="27" t="s">
        <v>373</v>
      </c>
      <c r="D110" s="27" t="s">
        <v>374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38280</f>
        <v>38280.0</v>
      </c>
      <c r="L110" s="34" t="s">
        <v>48</v>
      </c>
      <c r="M110" s="33" t="n">
        <f>40450</f>
        <v>40450.0</v>
      </c>
      <c r="N110" s="34" t="s">
        <v>86</v>
      </c>
      <c r="O110" s="33" t="n">
        <f>38280</f>
        <v>38280.0</v>
      </c>
      <c r="P110" s="34" t="s">
        <v>48</v>
      </c>
      <c r="Q110" s="33" t="n">
        <f>39300</f>
        <v>39300.0</v>
      </c>
      <c r="R110" s="34" t="s">
        <v>51</v>
      </c>
      <c r="S110" s="35" t="n">
        <f>39452</f>
        <v>39452.0</v>
      </c>
      <c r="T110" s="32" t="n">
        <f>3319</f>
        <v>3319.0</v>
      </c>
      <c r="U110" s="32" t="n">
        <f>18</f>
        <v>18.0</v>
      </c>
      <c r="V110" s="32" t="n">
        <f>130024310</f>
        <v>1.3002431E8</v>
      </c>
      <c r="W110" s="32" t="n">
        <f>700640</f>
        <v>700640.0</v>
      </c>
      <c r="X110" s="36" t="n">
        <f>20</f>
        <v>20.0</v>
      </c>
    </row>
    <row r="111">
      <c r="A111" s="27" t="s">
        <v>42</v>
      </c>
      <c r="B111" s="27" t="s">
        <v>375</v>
      </c>
      <c r="C111" s="27" t="s">
        <v>376</v>
      </c>
      <c r="D111" s="27" t="s">
        <v>377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21285</f>
        <v>21285.0</v>
      </c>
      <c r="L111" s="34" t="s">
        <v>48</v>
      </c>
      <c r="M111" s="33" t="n">
        <f>23775</f>
        <v>23775.0</v>
      </c>
      <c r="N111" s="34" t="s">
        <v>51</v>
      </c>
      <c r="O111" s="33" t="n">
        <f>20630</f>
        <v>20630.0</v>
      </c>
      <c r="P111" s="34" t="s">
        <v>50</v>
      </c>
      <c r="Q111" s="33" t="n">
        <f>23640</f>
        <v>23640.0</v>
      </c>
      <c r="R111" s="34" t="s">
        <v>51</v>
      </c>
      <c r="S111" s="35" t="n">
        <f>22542.25</f>
        <v>22542.25</v>
      </c>
      <c r="T111" s="32" t="n">
        <f>8175</f>
        <v>8175.0</v>
      </c>
      <c r="U111" s="32" t="n">
        <f>67</f>
        <v>67.0</v>
      </c>
      <c r="V111" s="32" t="n">
        <f>183055629</f>
        <v>1.83055629E8</v>
      </c>
      <c r="W111" s="32" t="n">
        <f>1524244</f>
        <v>1524244.0</v>
      </c>
      <c r="X111" s="36" t="n">
        <f>20</f>
        <v>20.0</v>
      </c>
    </row>
    <row r="112">
      <c r="A112" s="27" t="s">
        <v>42</v>
      </c>
      <c r="B112" s="27" t="s">
        <v>378</v>
      </c>
      <c r="C112" s="27" t="s">
        <v>379</v>
      </c>
      <c r="D112" s="27" t="s">
        <v>380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1.0</v>
      </c>
      <c r="K112" s="33" t="n">
        <f>33950</f>
        <v>33950.0</v>
      </c>
      <c r="L112" s="34" t="s">
        <v>48</v>
      </c>
      <c r="M112" s="33" t="n">
        <f>36950</f>
        <v>36950.0</v>
      </c>
      <c r="N112" s="34" t="s">
        <v>199</v>
      </c>
      <c r="O112" s="33" t="n">
        <f>33870</f>
        <v>33870.0</v>
      </c>
      <c r="P112" s="34" t="s">
        <v>50</v>
      </c>
      <c r="Q112" s="33" t="n">
        <f>36510</f>
        <v>36510.0</v>
      </c>
      <c r="R112" s="34" t="s">
        <v>51</v>
      </c>
      <c r="S112" s="35" t="n">
        <f>35959</f>
        <v>35959.0</v>
      </c>
      <c r="T112" s="32" t="n">
        <f>9163</f>
        <v>9163.0</v>
      </c>
      <c r="U112" s="32" t="n">
        <f>1358</f>
        <v>1358.0</v>
      </c>
      <c r="V112" s="32" t="n">
        <f>329695862</f>
        <v>3.29695862E8</v>
      </c>
      <c r="W112" s="32" t="n">
        <f>49385562</f>
        <v>4.9385562E7</v>
      </c>
      <c r="X112" s="36" t="n">
        <f>20</f>
        <v>20.0</v>
      </c>
    </row>
    <row r="113">
      <c r="A113" s="27" t="s">
        <v>42</v>
      </c>
      <c r="B113" s="27" t="s">
        <v>381</v>
      </c>
      <c r="C113" s="27" t="s">
        <v>382</v>
      </c>
      <c r="D113" s="27" t="s">
        <v>383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28530</f>
        <v>28530.0</v>
      </c>
      <c r="L113" s="34" t="s">
        <v>48</v>
      </c>
      <c r="M113" s="33" t="n">
        <f>29800</f>
        <v>29800.0</v>
      </c>
      <c r="N113" s="34" t="s">
        <v>199</v>
      </c>
      <c r="O113" s="33" t="n">
        <f>28090</f>
        <v>28090.0</v>
      </c>
      <c r="P113" s="34" t="s">
        <v>50</v>
      </c>
      <c r="Q113" s="33" t="n">
        <f>29540</f>
        <v>29540.0</v>
      </c>
      <c r="R113" s="34" t="s">
        <v>51</v>
      </c>
      <c r="S113" s="35" t="n">
        <f>29247.75</f>
        <v>29247.75</v>
      </c>
      <c r="T113" s="32" t="n">
        <f>17190</f>
        <v>17190.0</v>
      </c>
      <c r="U113" s="32" t="n">
        <f>10</f>
        <v>10.0</v>
      </c>
      <c r="V113" s="32" t="n">
        <f>496195362</f>
        <v>4.96195362E8</v>
      </c>
      <c r="W113" s="32" t="n">
        <f>293727</f>
        <v>293727.0</v>
      </c>
      <c r="X113" s="36" t="n">
        <f>20</f>
        <v>20.0</v>
      </c>
    </row>
    <row r="114">
      <c r="A114" s="27" t="s">
        <v>42</v>
      </c>
      <c r="B114" s="27" t="s">
        <v>384</v>
      </c>
      <c r="C114" s="27" t="s">
        <v>385</v>
      </c>
      <c r="D114" s="27" t="s">
        <v>386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26500</f>
        <v>26500.0</v>
      </c>
      <c r="L114" s="34" t="s">
        <v>48</v>
      </c>
      <c r="M114" s="33" t="n">
        <f>27480</f>
        <v>27480.0</v>
      </c>
      <c r="N114" s="34" t="s">
        <v>86</v>
      </c>
      <c r="O114" s="33" t="n">
        <f>25430</f>
        <v>25430.0</v>
      </c>
      <c r="P114" s="34" t="s">
        <v>90</v>
      </c>
      <c r="Q114" s="33" t="n">
        <f>26170</f>
        <v>26170.0</v>
      </c>
      <c r="R114" s="34" t="s">
        <v>51</v>
      </c>
      <c r="S114" s="35" t="n">
        <f>26372.25</f>
        <v>26372.25</v>
      </c>
      <c r="T114" s="32" t="n">
        <f>14467</f>
        <v>14467.0</v>
      </c>
      <c r="U114" s="32" t="n">
        <f>531</f>
        <v>531.0</v>
      </c>
      <c r="V114" s="32" t="n">
        <f>380504506</f>
        <v>3.80504506E8</v>
      </c>
      <c r="W114" s="32" t="n">
        <f>13891716</f>
        <v>1.3891716E7</v>
      </c>
      <c r="X114" s="36" t="n">
        <f>20</f>
        <v>20.0</v>
      </c>
    </row>
    <row r="115">
      <c r="A115" s="27" t="s">
        <v>42</v>
      </c>
      <c r="B115" s="27" t="s">
        <v>387</v>
      </c>
      <c r="C115" s="27" t="s">
        <v>388</v>
      </c>
      <c r="D115" s="27" t="s">
        <v>389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30370</f>
        <v>30370.0</v>
      </c>
      <c r="L115" s="34" t="s">
        <v>48</v>
      </c>
      <c r="M115" s="33" t="n">
        <f>33090</f>
        <v>33090.0</v>
      </c>
      <c r="N115" s="34" t="s">
        <v>199</v>
      </c>
      <c r="O115" s="33" t="n">
        <f>29730</f>
        <v>29730.0</v>
      </c>
      <c r="P115" s="34" t="s">
        <v>50</v>
      </c>
      <c r="Q115" s="33" t="n">
        <f>31980</f>
        <v>31980.0</v>
      </c>
      <c r="R115" s="34" t="s">
        <v>51</v>
      </c>
      <c r="S115" s="35" t="n">
        <f>31608.5</f>
        <v>31608.5</v>
      </c>
      <c r="T115" s="32" t="n">
        <f>60196</f>
        <v>60196.0</v>
      </c>
      <c r="U115" s="32" t="n">
        <f>40332</f>
        <v>40332.0</v>
      </c>
      <c r="V115" s="32" t="n">
        <f>1848635174</f>
        <v>1.848635174E9</v>
      </c>
      <c r="W115" s="32" t="n">
        <f>1226157189</f>
        <v>1.226157189E9</v>
      </c>
      <c r="X115" s="36" t="n">
        <f>20</f>
        <v>20.0</v>
      </c>
    </row>
    <row r="116">
      <c r="A116" s="27" t="s">
        <v>42</v>
      </c>
      <c r="B116" s="27" t="s">
        <v>390</v>
      </c>
      <c r="C116" s="27" t="s">
        <v>391</v>
      </c>
      <c r="D116" s="27" t="s">
        <v>392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30490</f>
        <v>30490.0</v>
      </c>
      <c r="L116" s="34" t="s">
        <v>48</v>
      </c>
      <c r="M116" s="33" t="n">
        <f>34710</f>
        <v>34710.0</v>
      </c>
      <c r="N116" s="34" t="s">
        <v>51</v>
      </c>
      <c r="O116" s="33" t="n">
        <f>29550</f>
        <v>29550.0</v>
      </c>
      <c r="P116" s="34" t="s">
        <v>50</v>
      </c>
      <c r="Q116" s="33" t="n">
        <f>34660</f>
        <v>34660.0</v>
      </c>
      <c r="R116" s="34" t="s">
        <v>51</v>
      </c>
      <c r="S116" s="35" t="n">
        <f>32453</f>
        <v>32453.0</v>
      </c>
      <c r="T116" s="32" t="n">
        <f>12699</f>
        <v>12699.0</v>
      </c>
      <c r="U116" s="32" t="n">
        <f>3127</f>
        <v>3127.0</v>
      </c>
      <c r="V116" s="32" t="n">
        <f>406417426</f>
        <v>4.06417426E8</v>
      </c>
      <c r="W116" s="32" t="n">
        <f>104533226</f>
        <v>1.04533226E8</v>
      </c>
      <c r="X116" s="36" t="n">
        <f>20</f>
        <v>20.0</v>
      </c>
    </row>
    <row r="117">
      <c r="A117" s="27" t="s">
        <v>42</v>
      </c>
      <c r="B117" s="27" t="s">
        <v>393</v>
      </c>
      <c r="C117" s="27" t="s">
        <v>394</v>
      </c>
      <c r="D117" s="27" t="s">
        <v>395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66350</f>
        <v>66350.0</v>
      </c>
      <c r="L117" s="34" t="s">
        <v>48</v>
      </c>
      <c r="M117" s="33" t="n">
        <f>70340</f>
        <v>70340.0</v>
      </c>
      <c r="N117" s="34" t="s">
        <v>221</v>
      </c>
      <c r="O117" s="33" t="n">
        <f>64580</f>
        <v>64580.0</v>
      </c>
      <c r="P117" s="34" t="s">
        <v>50</v>
      </c>
      <c r="Q117" s="33" t="n">
        <f>67110</f>
        <v>67110.0</v>
      </c>
      <c r="R117" s="34" t="s">
        <v>51</v>
      </c>
      <c r="S117" s="35" t="n">
        <f>67685</f>
        <v>67685.0</v>
      </c>
      <c r="T117" s="32" t="n">
        <f>28188</f>
        <v>28188.0</v>
      </c>
      <c r="U117" s="32" t="n">
        <f>20186</f>
        <v>20186.0</v>
      </c>
      <c r="V117" s="32" t="n">
        <f>1952023236</f>
        <v>1.952023236E9</v>
      </c>
      <c r="W117" s="32" t="n">
        <f>1403244766</f>
        <v>1.403244766E9</v>
      </c>
      <c r="X117" s="36" t="n">
        <f>20</f>
        <v>20.0</v>
      </c>
    </row>
    <row r="118">
      <c r="A118" s="27" t="s">
        <v>42</v>
      </c>
      <c r="B118" s="27" t="s">
        <v>396</v>
      </c>
      <c r="C118" s="27" t="s">
        <v>397</v>
      </c>
      <c r="D118" s="27" t="s">
        <v>398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39860</f>
        <v>39860.0</v>
      </c>
      <c r="L118" s="34" t="s">
        <v>48</v>
      </c>
      <c r="M118" s="33" t="n">
        <f>41540</f>
        <v>41540.0</v>
      </c>
      <c r="N118" s="34" t="s">
        <v>221</v>
      </c>
      <c r="O118" s="33" t="n">
        <f>38480</f>
        <v>38480.0</v>
      </c>
      <c r="P118" s="34" t="s">
        <v>50</v>
      </c>
      <c r="Q118" s="33" t="n">
        <f>40430</f>
        <v>40430.0</v>
      </c>
      <c r="R118" s="34" t="s">
        <v>51</v>
      </c>
      <c r="S118" s="35" t="n">
        <f>40347.5</f>
        <v>40347.5</v>
      </c>
      <c r="T118" s="32" t="n">
        <f>8267</f>
        <v>8267.0</v>
      </c>
      <c r="U118" s="32" t="n">
        <f>20</f>
        <v>20.0</v>
      </c>
      <c r="V118" s="32" t="n">
        <f>334722114</f>
        <v>3.34722114E8</v>
      </c>
      <c r="W118" s="32" t="n">
        <f>806274</f>
        <v>806274.0</v>
      </c>
      <c r="X118" s="36" t="n">
        <f>20</f>
        <v>20.0</v>
      </c>
    </row>
    <row r="119">
      <c r="A119" s="27" t="s">
        <v>42</v>
      </c>
      <c r="B119" s="27" t="s">
        <v>399</v>
      </c>
      <c r="C119" s="27" t="s">
        <v>400</v>
      </c>
      <c r="D119" s="27" t="s">
        <v>401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40660</f>
        <v>40660.0</v>
      </c>
      <c r="L119" s="34" t="s">
        <v>48</v>
      </c>
      <c r="M119" s="33" t="n">
        <f>45190</f>
        <v>45190.0</v>
      </c>
      <c r="N119" s="34" t="s">
        <v>49</v>
      </c>
      <c r="O119" s="33" t="n">
        <f>40380</f>
        <v>40380.0</v>
      </c>
      <c r="P119" s="34" t="s">
        <v>50</v>
      </c>
      <c r="Q119" s="33" t="n">
        <f>42990</f>
        <v>42990.0</v>
      </c>
      <c r="R119" s="34" t="s">
        <v>51</v>
      </c>
      <c r="S119" s="35" t="n">
        <f>43052.5</f>
        <v>43052.5</v>
      </c>
      <c r="T119" s="32" t="n">
        <f>3639</f>
        <v>3639.0</v>
      </c>
      <c r="U119" s="32" t="n">
        <f>34</f>
        <v>34.0</v>
      </c>
      <c r="V119" s="32" t="n">
        <f>157675220</f>
        <v>1.5767522E8</v>
      </c>
      <c r="W119" s="32" t="n">
        <f>1460150</f>
        <v>1460150.0</v>
      </c>
      <c r="X119" s="36" t="n">
        <f>20</f>
        <v>20.0</v>
      </c>
    </row>
    <row r="120">
      <c r="A120" s="27" t="s">
        <v>42</v>
      </c>
      <c r="B120" s="27" t="s">
        <v>402</v>
      </c>
      <c r="C120" s="27" t="s">
        <v>403</v>
      </c>
      <c r="D120" s="27" t="s">
        <v>404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8968</f>
        <v>8968.0</v>
      </c>
      <c r="L120" s="34" t="s">
        <v>48</v>
      </c>
      <c r="M120" s="33" t="n">
        <f>10415</f>
        <v>10415.0</v>
      </c>
      <c r="N120" s="34" t="s">
        <v>199</v>
      </c>
      <c r="O120" s="33" t="n">
        <f>8968</f>
        <v>8968.0</v>
      </c>
      <c r="P120" s="34" t="s">
        <v>48</v>
      </c>
      <c r="Q120" s="33" t="n">
        <f>10090</f>
        <v>10090.0</v>
      </c>
      <c r="R120" s="34" t="s">
        <v>51</v>
      </c>
      <c r="S120" s="35" t="n">
        <f>9899.45</f>
        <v>9899.45</v>
      </c>
      <c r="T120" s="32" t="n">
        <f>116967</f>
        <v>116967.0</v>
      </c>
      <c r="U120" s="32" t="n">
        <f>27069</f>
        <v>27069.0</v>
      </c>
      <c r="V120" s="32" t="n">
        <f>1147354204</f>
        <v>1.147354204E9</v>
      </c>
      <c r="W120" s="32" t="n">
        <f>250712656</f>
        <v>2.50712656E8</v>
      </c>
      <c r="X120" s="36" t="n">
        <f>20</f>
        <v>20.0</v>
      </c>
    </row>
    <row r="121">
      <c r="A121" s="27" t="s">
        <v>42</v>
      </c>
      <c r="B121" s="27" t="s">
        <v>405</v>
      </c>
      <c r="C121" s="27" t="s">
        <v>406</v>
      </c>
      <c r="D121" s="27" t="s">
        <v>407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19490</f>
        <v>19490.0</v>
      </c>
      <c r="L121" s="34" t="s">
        <v>48</v>
      </c>
      <c r="M121" s="33" t="n">
        <f>20955</f>
        <v>20955.0</v>
      </c>
      <c r="N121" s="34" t="s">
        <v>86</v>
      </c>
      <c r="O121" s="33" t="n">
        <f>19465</f>
        <v>19465.0</v>
      </c>
      <c r="P121" s="34" t="s">
        <v>50</v>
      </c>
      <c r="Q121" s="33" t="n">
        <f>20525</f>
        <v>20525.0</v>
      </c>
      <c r="R121" s="34" t="s">
        <v>51</v>
      </c>
      <c r="S121" s="35" t="n">
        <f>20395.25</f>
        <v>20395.25</v>
      </c>
      <c r="T121" s="32" t="n">
        <f>20529</f>
        <v>20529.0</v>
      </c>
      <c r="U121" s="32" t="n">
        <f>161</f>
        <v>161.0</v>
      </c>
      <c r="V121" s="32" t="n">
        <f>421783748</f>
        <v>4.21783748E8</v>
      </c>
      <c r="W121" s="32" t="n">
        <f>3291178</f>
        <v>3291178.0</v>
      </c>
      <c r="X121" s="36" t="n">
        <f>20</f>
        <v>20.0</v>
      </c>
    </row>
    <row r="122">
      <c r="A122" s="27" t="s">
        <v>42</v>
      </c>
      <c r="B122" s="27" t="s">
        <v>408</v>
      </c>
      <c r="C122" s="27" t="s">
        <v>409</v>
      </c>
      <c r="D122" s="27" t="s">
        <v>410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88470</f>
        <v>88470.0</v>
      </c>
      <c r="L122" s="34" t="s">
        <v>48</v>
      </c>
      <c r="M122" s="33" t="n">
        <f>95890</f>
        <v>95890.0</v>
      </c>
      <c r="N122" s="34" t="s">
        <v>51</v>
      </c>
      <c r="O122" s="33" t="n">
        <f>86560</f>
        <v>86560.0</v>
      </c>
      <c r="P122" s="34" t="s">
        <v>50</v>
      </c>
      <c r="Q122" s="33" t="n">
        <f>95880</f>
        <v>95880.0</v>
      </c>
      <c r="R122" s="34" t="s">
        <v>51</v>
      </c>
      <c r="S122" s="35" t="n">
        <f>92227</f>
        <v>92227.0</v>
      </c>
      <c r="T122" s="32" t="n">
        <f>19331</f>
        <v>19331.0</v>
      </c>
      <c r="U122" s="32" t="n">
        <f>4395</f>
        <v>4395.0</v>
      </c>
      <c r="V122" s="32" t="n">
        <f>1768115259</f>
        <v>1.768115259E9</v>
      </c>
      <c r="W122" s="32" t="n">
        <f>394150029</f>
        <v>3.94150029E8</v>
      </c>
      <c r="X122" s="36" t="n">
        <f>20</f>
        <v>20.0</v>
      </c>
    </row>
    <row r="123">
      <c r="A123" s="27" t="s">
        <v>42</v>
      </c>
      <c r="B123" s="27" t="s">
        <v>411</v>
      </c>
      <c r="C123" s="27" t="s">
        <v>412</v>
      </c>
      <c r="D123" s="27" t="s">
        <v>413</v>
      </c>
      <c r="E123" s="28" t="s">
        <v>46</v>
      </c>
      <c r="F123" s="29" t="s">
        <v>46</v>
      </c>
      <c r="G123" s="30" t="s">
        <v>46</v>
      </c>
      <c r="H123" s="31"/>
      <c r="I123" s="31" t="s">
        <v>414</v>
      </c>
      <c r="J123" s="32" t="n">
        <v>1.0</v>
      </c>
      <c r="K123" s="33" t="n">
        <f>10695</f>
        <v>10695.0</v>
      </c>
      <c r="L123" s="34" t="s">
        <v>48</v>
      </c>
      <c r="M123" s="33" t="n">
        <f>11250</f>
        <v>11250.0</v>
      </c>
      <c r="N123" s="34" t="s">
        <v>49</v>
      </c>
      <c r="O123" s="33" t="n">
        <f>10455</f>
        <v>10455.0</v>
      </c>
      <c r="P123" s="34" t="s">
        <v>50</v>
      </c>
      <c r="Q123" s="33" t="n">
        <f>11130</f>
        <v>11130.0</v>
      </c>
      <c r="R123" s="34" t="s">
        <v>81</v>
      </c>
      <c r="S123" s="35" t="n">
        <f>10981.05</f>
        <v>10981.05</v>
      </c>
      <c r="T123" s="32" t="n">
        <f>3897</f>
        <v>3897.0</v>
      </c>
      <c r="U123" s="32" t="str">
        <f>"－"</f>
        <v>－</v>
      </c>
      <c r="V123" s="32" t="n">
        <f>43020185</f>
        <v>4.3020185E7</v>
      </c>
      <c r="W123" s="32" t="str">
        <f>"－"</f>
        <v>－</v>
      </c>
      <c r="X123" s="36" t="n">
        <f>19</f>
        <v>19.0</v>
      </c>
    </row>
    <row r="124">
      <c r="A124" s="27" t="s">
        <v>42</v>
      </c>
      <c r="B124" s="27" t="s">
        <v>415</v>
      </c>
      <c r="C124" s="27" t="s">
        <v>416</v>
      </c>
      <c r="D124" s="27" t="s">
        <v>417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33300</f>
        <v>33300.0</v>
      </c>
      <c r="L124" s="34" t="s">
        <v>48</v>
      </c>
      <c r="M124" s="33" t="n">
        <f>35540</f>
        <v>35540.0</v>
      </c>
      <c r="N124" s="34" t="s">
        <v>64</v>
      </c>
      <c r="O124" s="33" t="n">
        <f>33300</f>
        <v>33300.0</v>
      </c>
      <c r="P124" s="34" t="s">
        <v>48</v>
      </c>
      <c r="Q124" s="33" t="n">
        <f>34140</f>
        <v>34140.0</v>
      </c>
      <c r="R124" s="34" t="s">
        <v>51</v>
      </c>
      <c r="S124" s="35" t="n">
        <f>34682</f>
        <v>34682.0</v>
      </c>
      <c r="T124" s="32" t="n">
        <f>4395</f>
        <v>4395.0</v>
      </c>
      <c r="U124" s="32" t="n">
        <f>100</f>
        <v>100.0</v>
      </c>
      <c r="V124" s="32" t="n">
        <f>152361817</f>
        <v>1.52361817E8</v>
      </c>
      <c r="W124" s="32" t="n">
        <f>3439457</f>
        <v>3439457.0</v>
      </c>
      <c r="X124" s="36" t="n">
        <f>20</f>
        <v>20.0</v>
      </c>
    </row>
    <row r="125">
      <c r="A125" s="27" t="s">
        <v>42</v>
      </c>
      <c r="B125" s="27" t="s">
        <v>418</v>
      </c>
      <c r="C125" s="27" t="s">
        <v>419</v>
      </c>
      <c r="D125" s="27" t="s">
        <v>420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22310</f>
        <v>22310.0</v>
      </c>
      <c r="L125" s="34" t="s">
        <v>48</v>
      </c>
      <c r="M125" s="33" t="n">
        <f>24945</f>
        <v>24945.0</v>
      </c>
      <c r="N125" s="34" t="s">
        <v>49</v>
      </c>
      <c r="O125" s="33" t="n">
        <f>21525</f>
        <v>21525.0</v>
      </c>
      <c r="P125" s="34" t="s">
        <v>50</v>
      </c>
      <c r="Q125" s="33" t="n">
        <f>24185</f>
        <v>24185.0</v>
      </c>
      <c r="R125" s="34" t="s">
        <v>51</v>
      </c>
      <c r="S125" s="35" t="n">
        <f>23583.75</f>
        <v>23583.75</v>
      </c>
      <c r="T125" s="32" t="n">
        <f>79843</f>
        <v>79843.0</v>
      </c>
      <c r="U125" s="32" t="n">
        <f>5294</f>
        <v>5294.0</v>
      </c>
      <c r="V125" s="32" t="n">
        <f>1860091823</f>
        <v>1.860091823E9</v>
      </c>
      <c r="W125" s="32" t="n">
        <f>121653138</f>
        <v>1.21653138E8</v>
      </c>
      <c r="X125" s="36" t="n">
        <f>20</f>
        <v>20.0</v>
      </c>
    </row>
    <row r="126">
      <c r="A126" s="27" t="s">
        <v>42</v>
      </c>
      <c r="B126" s="27" t="s">
        <v>421</v>
      </c>
      <c r="C126" s="27" t="s">
        <v>422</v>
      </c>
      <c r="D126" s="27" t="s">
        <v>423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29985</f>
        <v>29985.0</v>
      </c>
      <c r="L126" s="34" t="s">
        <v>48</v>
      </c>
      <c r="M126" s="33" t="n">
        <f>33000</f>
        <v>33000.0</v>
      </c>
      <c r="N126" s="34" t="s">
        <v>199</v>
      </c>
      <c r="O126" s="33" t="n">
        <f>29325</f>
        <v>29325.0</v>
      </c>
      <c r="P126" s="34" t="s">
        <v>50</v>
      </c>
      <c r="Q126" s="33" t="n">
        <f>32150</f>
        <v>32150.0</v>
      </c>
      <c r="R126" s="34" t="s">
        <v>51</v>
      </c>
      <c r="S126" s="35" t="n">
        <f>31747.5</f>
        <v>31747.5</v>
      </c>
      <c r="T126" s="32" t="n">
        <f>31573</f>
        <v>31573.0</v>
      </c>
      <c r="U126" s="32" t="n">
        <f>9324</f>
        <v>9324.0</v>
      </c>
      <c r="V126" s="32" t="n">
        <f>984607543</f>
        <v>9.84607543E8</v>
      </c>
      <c r="W126" s="32" t="n">
        <f>282247058</f>
        <v>2.82247058E8</v>
      </c>
      <c r="X126" s="36" t="n">
        <f>20</f>
        <v>20.0</v>
      </c>
    </row>
    <row r="127">
      <c r="A127" s="27" t="s">
        <v>42</v>
      </c>
      <c r="B127" s="27" t="s">
        <v>424</v>
      </c>
      <c r="C127" s="27" t="s">
        <v>425</v>
      </c>
      <c r="D127" s="27" t="s">
        <v>426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41740</f>
        <v>41740.0</v>
      </c>
      <c r="L127" s="34" t="s">
        <v>48</v>
      </c>
      <c r="M127" s="33" t="n">
        <f>47280</f>
        <v>47280.0</v>
      </c>
      <c r="N127" s="34" t="s">
        <v>86</v>
      </c>
      <c r="O127" s="33" t="n">
        <f>41740</f>
        <v>41740.0</v>
      </c>
      <c r="P127" s="34" t="s">
        <v>48</v>
      </c>
      <c r="Q127" s="33" t="n">
        <f>46020</f>
        <v>46020.0</v>
      </c>
      <c r="R127" s="34" t="s">
        <v>51</v>
      </c>
      <c r="S127" s="35" t="n">
        <f>45417</f>
        <v>45417.0</v>
      </c>
      <c r="T127" s="32" t="n">
        <f>8373</f>
        <v>8373.0</v>
      </c>
      <c r="U127" s="32" t="n">
        <f>128</f>
        <v>128.0</v>
      </c>
      <c r="V127" s="32" t="n">
        <f>375426467</f>
        <v>3.75426467E8</v>
      </c>
      <c r="W127" s="32" t="n">
        <f>5823267</f>
        <v>5823267.0</v>
      </c>
      <c r="X127" s="36" t="n">
        <f>20</f>
        <v>20.0</v>
      </c>
    </row>
    <row r="128">
      <c r="A128" s="27" t="s">
        <v>42</v>
      </c>
      <c r="B128" s="27" t="s">
        <v>427</v>
      </c>
      <c r="C128" s="27" t="s">
        <v>428</v>
      </c>
      <c r="D128" s="27" t="s">
        <v>429</v>
      </c>
      <c r="E128" s="28" t="s">
        <v>46</v>
      </c>
      <c r="F128" s="29" t="s">
        <v>46</v>
      </c>
      <c r="G128" s="30" t="s">
        <v>46</v>
      </c>
      <c r="H128" s="31"/>
      <c r="I128" s="31" t="s">
        <v>414</v>
      </c>
      <c r="J128" s="32" t="n">
        <v>1.0</v>
      </c>
      <c r="K128" s="33" t="n">
        <f>9000</f>
        <v>9000.0</v>
      </c>
      <c r="L128" s="34" t="s">
        <v>48</v>
      </c>
      <c r="M128" s="33" t="n">
        <f>9300</f>
        <v>9300.0</v>
      </c>
      <c r="N128" s="34" t="s">
        <v>221</v>
      </c>
      <c r="O128" s="33" t="n">
        <f>8585</f>
        <v>8585.0</v>
      </c>
      <c r="P128" s="34" t="s">
        <v>50</v>
      </c>
      <c r="Q128" s="33" t="n">
        <f>8917</f>
        <v>8917.0</v>
      </c>
      <c r="R128" s="34" t="s">
        <v>51</v>
      </c>
      <c r="S128" s="35" t="n">
        <f>8918.95</f>
        <v>8918.95</v>
      </c>
      <c r="T128" s="32" t="n">
        <f>47100</f>
        <v>47100.0</v>
      </c>
      <c r="U128" s="32" t="str">
        <f>"－"</f>
        <v>－</v>
      </c>
      <c r="V128" s="32" t="n">
        <f>422224885</f>
        <v>4.22224885E8</v>
      </c>
      <c r="W128" s="32" t="str">
        <f>"－"</f>
        <v>－</v>
      </c>
      <c r="X128" s="36" t="n">
        <f>20</f>
        <v>20.0</v>
      </c>
    </row>
    <row r="129">
      <c r="A129" s="27" t="s">
        <v>42</v>
      </c>
      <c r="B129" s="27" t="s">
        <v>430</v>
      </c>
      <c r="C129" s="27" t="s">
        <v>431</v>
      </c>
      <c r="D129" s="27" t="s">
        <v>432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2220</f>
        <v>2220.0</v>
      </c>
      <c r="L129" s="34" t="s">
        <v>48</v>
      </c>
      <c r="M129" s="33" t="n">
        <f>2396</f>
        <v>2396.0</v>
      </c>
      <c r="N129" s="34" t="s">
        <v>199</v>
      </c>
      <c r="O129" s="33" t="n">
        <f>2170</f>
        <v>2170.0</v>
      </c>
      <c r="P129" s="34" t="s">
        <v>50</v>
      </c>
      <c r="Q129" s="33" t="n">
        <f>2353</f>
        <v>2353.0</v>
      </c>
      <c r="R129" s="34" t="s">
        <v>51</v>
      </c>
      <c r="S129" s="35" t="n">
        <f>2319.55</f>
        <v>2319.55</v>
      </c>
      <c r="T129" s="32" t="n">
        <f>2991545</f>
        <v>2991545.0</v>
      </c>
      <c r="U129" s="32" t="n">
        <f>2508284</f>
        <v>2508284.0</v>
      </c>
      <c r="V129" s="32" t="n">
        <f>6996678846</f>
        <v>6.996678846E9</v>
      </c>
      <c r="W129" s="32" t="n">
        <f>5906424826</f>
        <v>5.906424826E9</v>
      </c>
      <c r="X129" s="36" t="n">
        <f>20</f>
        <v>20.0</v>
      </c>
    </row>
    <row r="130">
      <c r="A130" s="27" t="s">
        <v>42</v>
      </c>
      <c r="B130" s="27" t="s">
        <v>433</v>
      </c>
      <c r="C130" s="27" t="s">
        <v>434</v>
      </c>
      <c r="D130" s="27" t="s">
        <v>435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10.0</v>
      </c>
      <c r="K130" s="33" t="n">
        <f>3485</f>
        <v>3485.0</v>
      </c>
      <c r="L130" s="34" t="s">
        <v>48</v>
      </c>
      <c r="M130" s="33" t="n">
        <f>3717</f>
        <v>3717.0</v>
      </c>
      <c r="N130" s="34" t="s">
        <v>64</v>
      </c>
      <c r="O130" s="33" t="n">
        <f>3448</f>
        <v>3448.0</v>
      </c>
      <c r="P130" s="34" t="s">
        <v>50</v>
      </c>
      <c r="Q130" s="33" t="n">
        <f>3645</f>
        <v>3645.0</v>
      </c>
      <c r="R130" s="34" t="s">
        <v>51</v>
      </c>
      <c r="S130" s="35" t="n">
        <f>3607.45</f>
        <v>3607.45</v>
      </c>
      <c r="T130" s="32" t="n">
        <f>12490</f>
        <v>12490.0</v>
      </c>
      <c r="U130" s="32" t="str">
        <f>"－"</f>
        <v>－</v>
      </c>
      <c r="V130" s="32" t="n">
        <f>44396260</f>
        <v>4.439626E7</v>
      </c>
      <c r="W130" s="32" t="str">
        <f>"－"</f>
        <v>－</v>
      </c>
      <c r="X130" s="36" t="n">
        <f>11</f>
        <v>11.0</v>
      </c>
    </row>
    <row r="131">
      <c r="A131" s="27" t="s">
        <v>42</v>
      </c>
      <c r="B131" s="27" t="s">
        <v>436</v>
      </c>
      <c r="C131" s="27" t="s">
        <v>437</v>
      </c>
      <c r="D131" s="27" t="s">
        <v>438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10.0</v>
      </c>
      <c r="K131" s="33" t="n">
        <f>3786</f>
        <v>3786.0</v>
      </c>
      <c r="L131" s="34" t="s">
        <v>48</v>
      </c>
      <c r="M131" s="33" t="n">
        <f>4027</f>
        <v>4027.0</v>
      </c>
      <c r="N131" s="34" t="s">
        <v>49</v>
      </c>
      <c r="O131" s="33" t="n">
        <f>3699</f>
        <v>3699.0</v>
      </c>
      <c r="P131" s="34" t="s">
        <v>50</v>
      </c>
      <c r="Q131" s="33" t="n">
        <f>3949</f>
        <v>3949.0</v>
      </c>
      <c r="R131" s="34" t="s">
        <v>51</v>
      </c>
      <c r="S131" s="35" t="n">
        <f>3918.56</f>
        <v>3918.56</v>
      </c>
      <c r="T131" s="32" t="n">
        <f>70530</f>
        <v>70530.0</v>
      </c>
      <c r="U131" s="32" t="n">
        <f>44020</f>
        <v>44020.0</v>
      </c>
      <c r="V131" s="32" t="n">
        <f>280335270</f>
        <v>2.8033527E8</v>
      </c>
      <c r="W131" s="32" t="n">
        <f>175902020</f>
        <v>1.7590202E8</v>
      </c>
      <c r="X131" s="36" t="n">
        <f>16</f>
        <v>16.0</v>
      </c>
    </row>
    <row r="132">
      <c r="A132" s="27" t="s">
        <v>42</v>
      </c>
      <c r="B132" s="27" t="s">
        <v>439</v>
      </c>
      <c r="C132" s="27" t="s">
        <v>440</v>
      </c>
      <c r="D132" s="27" t="s">
        <v>441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2340.5</f>
        <v>2340.5</v>
      </c>
      <c r="L132" s="34" t="s">
        <v>82</v>
      </c>
      <c r="M132" s="33" t="n">
        <f>2470</f>
        <v>2470.0</v>
      </c>
      <c r="N132" s="34" t="s">
        <v>221</v>
      </c>
      <c r="O132" s="33" t="n">
        <f>2340.5</f>
        <v>2340.5</v>
      </c>
      <c r="P132" s="34" t="s">
        <v>82</v>
      </c>
      <c r="Q132" s="33" t="n">
        <f>2462</f>
        <v>2462.0</v>
      </c>
      <c r="R132" s="34" t="s">
        <v>51</v>
      </c>
      <c r="S132" s="35" t="n">
        <f>2443.67</f>
        <v>2443.67</v>
      </c>
      <c r="T132" s="32" t="n">
        <f>800</f>
        <v>800.0</v>
      </c>
      <c r="U132" s="32" t="str">
        <f>"－"</f>
        <v>－</v>
      </c>
      <c r="V132" s="32" t="n">
        <f>1954970</f>
        <v>1954970.0</v>
      </c>
      <c r="W132" s="32" t="str">
        <f>"－"</f>
        <v>－</v>
      </c>
      <c r="X132" s="36" t="n">
        <f>6</f>
        <v>6.0</v>
      </c>
    </row>
    <row r="133">
      <c r="A133" s="27" t="s">
        <v>42</v>
      </c>
      <c r="B133" s="27" t="s">
        <v>442</v>
      </c>
      <c r="C133" s="27" t="s">
        <v>443</v>
      </c>
      <c r="D133" s="27" t="s">
        <v>444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690.2</f>
        <v>690.2</v>
      </c>
      <c r="L133" s="34" t="s">
        <v>48</v>
      </c>
      <c r="M133" s="33" t="n">
        <f>691</f>
        <v>691.0</v>
      </c>
      <c r="N133" s="34" t="s">
        <v>48</v>
      </c>
      <c r="O133" s="33" t="n">
        <f>665</f>
        <v>665.0</v>
      </c>
      <c r="P133" s="34" t="s">
        <v>50</v>
      </c>
      <c r="Q133" s="33" t="n">
        <f>687</f>
        <v>687.0</v>
      </c>
      <c r="R133" s="34" t="s">
        <v>51</v>
      </c>
      <c r="S133" s="35" t="n">
        <f>681.25</f>
        <v>681.25</v>
      </c>
      <c r="T133" s="32" t="n">
        <f>35057720</f>
        <v>3.505772E7</v>
      </c>
      <c r="U133" s="32" t="n">
        <f>2019740</f>
        <v>2019740.0</v>
      </c>
      <c r="V133" s="32" t="n">
        <f>23853887673</f>
        <v>2.3853887673E10</v>
      </c>
      <c r="W133" s="32" t="n">
        <f>1374811357</f>
        <v>1.374811357E9</v>
      </c>
      <c r="X133" s="36" t="n">
        <f>20</f>
        <v>20.0</v>
      </c>
    </row>
    <row r="134">
      <c r="A134" s="27" t="s">
        <v>42</v>
      </c>
      <c r="B134" s="27" t="s">
        <v>445</v>
      </c>
      <c r="C134" s="27" t="s">
        <v>446</v>
      </c>
      <c r="D134" s="27" t="s">
        <v>447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298.3</f>
        <v>298.3</v>
      </c>
      <c r="L134" s="34" t="s">
        <v>48</v>
      </c>
      <c r="M134" s="33" t="n">
        <f>298.3</f>
        <v>298.3</v>
      </c>
      <c r="N134" s="34" t="s">
        <v>48</v>
      </c>
      <c r="O134" s="33" t="n">
        <f>293.1</f>
        <v>293.1</v>
      </c>
      <c r="P134" s="34" t="s">
        <v>100</v>
      </c>
      <c r="Q134" s="33" t="n">
        <f>295.8</f>
        <v>295.8</v>
      </c>
      <c r="R134" s="34" t="s">
        <v>51</v>
      </c>
      <c r="S134" s="35" t="n">
        <f>294.93</f>
        <v>294.93</v>
      </c>
      <c r="T134" s="32" t="n">
        <f>6460130</f>
        <v>6460130.0</v>
      </c>
      <c r="U134" s="32" t="n">
        <f>4075380</f>
        <v>4075380.0</v>
      </c>
      <c r="V134" s="32" t="n">
        <f>1905133833</f>
        <v>1.905133833E9</v>
      </c>
      <c r="W134" s="32" t="n">
        <f>1201272951</f>
        <v>1.201272951E9</v>
      </c>
      <c r="X134" s="36" t="n">
        <f>20</f>
        <v>20.0</v>
      </c>
    </row>
    <row r="135">
      <c r="A135" s="27" t="s">
        <v>42</v>
      </c>
      <c r="B135" s="27" t="s">
        <v>448</v>
      </c>
      <c r="C135" s="27" t="s">
        <v>449</v>
      </c>
      <c r="D135" s="27" t="s">
        <v>450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5747</f>
        <v>5747.0</v>
      </c>
      <c r="L135" s="34" t="s">
        <v>48</v>
      </c>
      <c r="M135" s="33" t="n">
        <f>5748</f>
        <v>5748.0</v>
      </c>
      <c r="N135" s="34" t="s">
        <v>48</v>
      </c>
      <c r="O135" s="33" t="n">
        <f>5538</f>
        <v>5538.0</v>
      </c>
      <c r="P135" s="34" t="s">
        <v>50</v>
      </c>
      <c r="Q135" s="33" t="n">
        <f>5721</f>
        <v>5721.0</v>
      </c>
      <c r="R135" s="34" t="s">
        <v>51</v>
      </c>
      <c r="S135" s="35" t="n">
        <f>5675.35</f>
        <v>5675.35</v>
      </c>
      <c r="T135" s="32" t="n">
        <f>118251</f>
        <v>118251.0</v>
      </c>
      <c r="U135" s="32" t="n">
        <f>48907</f>
        <v>48907.0</v>
      </c>
      <c r="V135" s="32" t="n">
        <f>668565848</f>
        <v>6.68565848E8</v>
      </c>
      <c r="W135" s="32" t="n">
        <f>277816815</f>
        <v>2.77816815E8</v>
      </c>
      <c r="X135" s="36" t="n">
        <f>20</f>
        <v>20.0</v>
      </c>
    </row>
    <row r="136">
      <c r="A136" s="27" t="s">
        <v>42</v>
      </c>
      <c r="B136" s="27" t="s">
        <v>451</v>
      </c>
      <c r="C136" s="27" t="s">
        <v>452</v>
      </c>
      <c r="D136" s="27" t="s">
        <v>453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3110</f>
        <v>3110.0</v>
      </c>
      <c r="L136" s="34" t="s">
        <v>48</v>
      </c>
      <c r="M136" s="33" t="n">
        <f>3184</f>
        <v>3184.0</v>
      </c>
      <c r="N136" s="34" t="s">
        <v>454</v>
      </c>
      <c r="O136" s="33" t="n">
        <f>2881</f>
        <v>2881.0</v>
      </c>
      <c r="P136" s="34" t="s">
        <v>50</v>
      </c>
      <c r="Q136" s="33" t="n">
        <f>3074</f>
        <v>3074.0</v>
      </c>
      <c r="R136" s="34" t="s">
        <v>51</v>
      </c>
      <c r="S136" s="35" t="n">
        <f>3073.85</f>
        <v>3073.85</v>
      </c>
      <c r="T136" s="32" t="n">
        <f>200284</f>
        <v>200284.0</v>
      </c>
      <c r="U136" s="32" t="n">
        <f>37717</f>
        <v>37717.0</v>
      </c>
      <c r="V136" s="32" t="n">
        <f>612483843</f>
        <v>6.12483843E8</v>
      </c>
      <c r="W136" s="32" t="n">
        <f>115362254</f>
        <v>1.15362254E8</v>
      </c>
      <c r="X136" s="36" t="n">
        <f>20</f>
        <v>20.0</v>
      </c>
    </row>
    <row r="137">
      <c r="A137" s="27" t="s">
        <v>42</v>
      </c>
      <c r="B137" s="27" t="s">
        <v>455</v>
      </c>
      <c r="C137" s="27" t="s">
        <v>456</v>
      </c>
      <c r="D137" s="27" t="s">
        <v>457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3145</f>
        <v>3145.0</v>
      </c>
      <c r="L137" s="34" t="s">
        <v>48</v>
      </c>
      <c r="M137" s="33" t="n">
        <f>3188</f>
        <v>3188.0</v>
      </c>
      <c r="N137" s="34" t="s">
        <v>81</v>
      </c>
      <c r="O137" s="33" t="n">
        <f>3050</f>
        <v>3050.0</v>
      </c>
      <c r="P137" s="34" t="s">
        <v>458</v>
      </c>
      <c r="Q137" s="33" t="n">
        <f>3168</f>
        <v>3168.0</v>
      </c>
      <c r="R137" s="34" t="s">
        <v>51</v>
      </c>
      <c r="S137" s="35" t="n">
        <f>3108.9</f>
        <v>3108.9</v>
      </c>
      <c r="T137" s="32" t="n">
        <f>292422</f>
        <v>292422.0</v>
      </c>
      <c r="U137" s="32" t="n">
        <f>113938</f>
        <v>113938.0</v>
      </c>
      <c r="V137" s="32" t="n">
        <f>911373932</f>
        <v>9.11373932E8</v>
      </c>
      <c r="W137" s="32" t="n">
        <f>356076097</f>
        <v>3.56076097E8</v>
      </c>
      <c r="X137" s="36" t="n">
        <f>20</f>
        <v>20.0</v>
      </c>
    </row>
    <row r="138">
      <c r="A138" s="27" t="s">
        <v>42</v>
      </c>
      <c r="B138" s="27" t="s">
        <v>459</v>
      </c>
      <c r="C138" s="27" t="s">
        <v>460</v>
      </c>
      <c r="D138" s="27" t="s">
        <v>461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10830</f>
        <v>10830.0</v>
      </c>
      <c r="L138" s="34" t="s">
        <v>48</v>
      </c>
      <c r="M138" s="33" t="n">
        <f>11275</f>
        <v>11275.0</v>
      </c>
      <c r="N138" s="34" t="s">
        <v>81</v>
      </c>
      <c r="O138" s="33" t="n">
        <f>10755</f>
        <v>10755.0</v>
      </c>
      <c r="P138" s="34" t="s">
        <v>48</v>
      </c>
      <c r="Q138" s="33" t="n">
        <f>11195</f>
        <v>11195.0</v>
      </c>
      <c r="R138" s="34" t="s">
        <v>51</v>
      </c>
      <c r="S138" s="35" t="n">
        <f>11075.5</f>
        <v>11075.5</v>
      </c>
      <c r="T138" s="32" t="n">
        <f>493995</f>
        <v>493995.0</v>
      </c>
      <c r="U138" s="32" t="n">
        <f>336146</f>
        <v>336146.0</v>
      </c>
      <c r="V138" s="32" t="n">
        <f>5427185363</f>
        <v>5.427185363E9</v>
      </c>
      <c r="W138" s="32" t="n">
        <f>3673502863</f>
        <v>3.673502863E9</v>
      </c>
      <c r="X138" s="36" t="n">
        <f>20</f>
        <v>20.0</v>
      </c>
    </row>
    <row r="139">
      <c r="A139" s="27" t="s">
        <v>42</v>
      </c>
      <c r="B139" s="27" t="s">
        <v>462</v>
      </c>
      <c r="C139" s="27" t="s">
        <v>463</v>
      </c>
      <c r="D139" s="27" t="s">
        <v>464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3287</f>
        <v>3287.0</v>
      </c>
      <c r="L139" s="34" t="s">
        <v>48</v>
      </c>
      <c r="M139" s="33" t="n">
        <f>3293</f>
        <v>3293.0</v>
      </c>
      <c r="N139" s="34" t="s">
        <v>48</v>
      </c>
      <c r="O139" s="33" t="n">
        <f>2908</f>
        <v>2908.0</v>
      </c>
      <c r="P139" s="34" t="s">
        <v>100</v>
      </c>
      <c r="Q139" s="33" t="n">
        <f>3025</f>
        <v>3025.0</v>
      </c>
      <c r="R139" s="34" t="s">
        <v>51</v>
      </c>
      <c r="S139" s="35" t="n">
        <f>3010.15</f>
        <v>3010.15</v>
      </c>
      <c r="T139" s="32" t="n">
        <f>3624177</f>
        <v>3624177.0</v>
      </c>
      <c r="U139" s="32" t="n">
        <f>16902</f>
        <v>16902.0</v>
      </c>
      <c r="V139" s="32" t="n">
        <f>10898226118</f>
        <v>1.0898226118E10</v>
      </c>
      <c r="W139" s="32" t="n">
        <f>50561751</f>
        <v>5.0561751E7</v>
      </c>
      <c r="X139" s="36" t="n">
        <f>20</f>
        <v>20.0</v>
      </c>
    </row>
    <row r="140">
      <c r="A140" s="27" t="s">
        <v>42</v>
      </c>
      <c r="B140" s="27" t="s">
        <v>465</v>
      </c>
      <c r="C140" s="27" t="s">
        <v>466</v>
      </c>
      <c r="D140" s="27" t="s">
        <v>467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46140</f>
        <v>46140.0</v>
      </c>
      <c r="L140" s="34" t="s">
        <v>48</v>
      </c>
      <c r="M140" s="33" t="n">
        <f>46670</f>
        <v>46670.0</v>
      </c>
      <c r="N140" s="34" t="s">
        <v>51</v>
      </c>
      <c r="O140" s="33" t="n">
        <f>45510</f>
        <v>45510.0</v>
      </c>
      <c r="P140" s="34" t="s">
        <v>86</v>
      </c>
      <c r="Q140" s="33" t="n">
        <f>46670</f>
        <v>46670.0</v>
      </c>
      <c r="R140" s="34" t="s">
        <v>51</v>
      </c>
      <c r="S140" s="35" t="n">
        <f>46160.5</f>
        <v>46160.5</v>
      </c>
      <c r="T140" s="32" t="n">
        <f>12755</f>
        <v>12755.0</v>
      </c>
      <c r="U140" s="32" t="str">
        <f>"－"</f>
        <v>－</v>
      </c>
      <c r="V140" s="32" t="n">
        <f>589978710</f>
        <v>5.8997871E8</v>
      </c>
      <c r="W140" s="32" t="str">
        <f>"－"</f>
        <v>－</v>
      </c>
      <c r="X140" s="36" t="n">
        <f>20</f>
        <v>20.0</v>
      </c>
    </row>
    <row r="141">
      <c r="A141" s="27" t="s">
        <v>42</v>
      </c>
      <c r="B141" s="27" t="s">
        <v>468</v>
      </c>
      <c r="C141" s="27" t="s">
        <v>469</v>
      </c>
      <c r="D141" s="27" t="s">
        <v>470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10.0</v>
      </c>
      <c r="K141" s="33" t="n">
        <f>5050</f>
        <v>5050.0</v>
      </c>
      <c r="L141" s="34" t="s">
        <v>48</v>
      </c>
      <c r="M141" s="33" t="n">
        <f>5250</f>
        <v>5250.0</v>
      </c>
      <c r="N141" s="34" t="s">
        <v>156</v>
      </c>
      <c r="O141" s="33" t="n">
        <f>4958</f>
        <v>4958.0</v>
      </c>
      <c r="P141" s="34" t="s">
        <v>50</v>
      </c>
      <c r="Q141" s="33" t="n">
        <f>5221</f>
        <v>5221.0</v>
      </c>
      <c r="R141" s="34" t="s">
        <v>51</v>
      </c>
      <c r="S141" s="35" t="n">
        <f>5134.1</f>
        <v>5134.1</v>
      </c>
      <c r="T141" s="32" t="n">
        <f>115890</f>
        <v>115890.0</v>
      </c>
      <c r="U141" s="32" t="str">
        <f>"－"</f>
        <v>－</v>
      </c>
      <c r="V141" s="32" t="n">
        <f>594423890</f>
        <v>5.9442389E8</v>
      </c>
      <c r="W141" s="32" t="str">
        <f>"－"</f>
        <v>－</v>
      </c>
      <c r="X141" s="36" t="n">
        <f>20</f>
        <v>20.0</v>
      </c>
    </row>
    <row r="142">
      <c r="A142" s="27" t="s">
        <v>42</v>
      </c>
      <c r="B142" s="27" t="s">
        <v>471</v>
      </c>
      <c r="C142" s="27" t="s">
        <v>472</v>
      </c>
      <c r="D142" s="27" t="s">
        <v>473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17945</f>
        <v>17945.0</v>
      </c>
      <c r="L142" s="34" t="s">
        <v>48</v>
      </c>
      <c r="M142" s="33" t="n">
        <f>19000</f>
        <v>19000.0</v>
      </c>
      <c r="N142" s="34" t="s">
        <v>50</v>
      </c>
      <c r="O142" s="33" t="n">
        <f>17660</f>
        <v>17660.0</v>
      </c>
      <c r="P142" s="34" t="s">
        <v>116</v>
      </c>
      <c r="Q142" s="33" t="n">
        <f>18215</f>
        <v>18215.0</v>
      </c>
      <c r="R142" s="34" t="s">
        <v>51</v>
      </c>
      <c r="S142" s="35" t="n">
        <f>18069</f>
        <v>18069.0</v>
      </c>
      <c r="T142" s="32" t="n">
        <f>28258</f>
        <v>28258.0</v>
      </c>
      <c r="U142" s="32" t="str">
        <f>"－"</f>
        <v>－</v>
      </c>
      <c r="V142" s="32" t="n">
        <f>511990520</f>
        <v>5.1199052E8</v>
      </c>
      <c r="W142" s="32" t="str">
        <f>"－"</f>
        <v>－</v>
      </c>
      <c r="X142" s="36" t="n">
        <f>20</f>
        <v>20.0</v>
      </c>
    </row>
    <row r="143">
      <c r="A143" s="27" t="s">
        <v>42</v>
      </c>
      <c r="B143" s="27" t="s">
        <v>474</v>
      </c>
      <c r="C143" s="27" t="s">
        <v>475</v>
      </c>
      <c r="D143" s="27" t="s">
        <v>476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16570</f>
        <v>16570.0</v>
      </c>
      <c r="L143" s="34" t="s">
        <v>48</v>
      </c>
      <c r="M143" s="33" t="n">
        <f>16895</f>
        <v>16895.0</v>
      </c>
      <c r="N143" s="34" t="s">
        <v>48</v>
      </c>
      <c r="O143" s="33" t="n">
        <f>14585</f>
        <v>14585.0</v>
      </c>
      <c r="P143" s="34" t="s">
        <v>81</v>
      </c>
      <c r="Q143" s="33" t="n">
        <f>14865</f>
        <v>14865.0</v>
      </c>
      <c r="R143" s="34" t="s">
        <v>51</v>
      </c>
      <c r="S143" s="35" t="n">
        <f>15346.5</f>
        <v>15346.5</v>
      </c>
      <c r="T143" s="32" t="n">
        <f>12519</f>
        <v>12519.0</v>
      </c>
      <c r="U143" s="32" t="str">
        <f>"－"</f>
        <v>－</v>
      </c>
      <c r="V143" s="32" t="n">
        <f>193190040</f>
        <v>1.9319004E8</v>
      </c>
      <c r="W143" s="32" t="str">
        <f>"－"</f>
        <v>－</v>
      </c>
      <c r="X143" s="36" t="n">
        <f>20</f>
        <v>20.0</v>
      </c>
    </row>
    <row r="144">
      <c r="A144" s="27" t="s">
        <v>42</v>
      </c>
      <c r="B144" s="27" t="s">
        <v>477</v>
      </c>
      <c r="C144" s="27" t="s">
        <v>478</v>
      </c>
      <c r="D144" s="27" t="s">
        <v>479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29870</f>
        <v>29870.0</v>
      </c>
      <c r="L144" s="34" t="s">
        <v>48</v>
      </c>
      <c r="M144" s="33" t="n">
        <f>32100</f>
        <v>32100.0</v>
      </c>
      <c r="N144" s="34" t="s">
        <v>100</v>
      </c>
      <c r="O144" s="33" t="n">
        <f>29000</f>
        <v>29000.0</v>
      </c>
      <c r="P144" s="34" t="s">
        <v>282</v>
      </c>
      <c r="Q144" s="33" t="n">
        <f>29890</f>
        <v>29890.0</v>
      </c>
      <c r="R144" s="34" t="s">
        <v>51</v>
      </c>
      <c r="S144" s="35" t="n">
        <f>30069.25</f>
        <v>30069.25</v>
      </c>
      <c r="T144" s="32" t="n">
        <f>1655</f>
        <v>1655.0</v>
      </c>
      <c r="U144" s="32" t="str">
        <f>"－"</f>
        <v>－</v>
      </c>
      <c r="V144" s="32" t="n">
        <f>49916340</f>
        <v>4.991634E7</v>
      </c>
      <c r="W144" s="32" t="str">
        <f>"－"</f>
        <v>－</v>
      </c>
      <c r="X144" s="36" t="n">
        <f>20</f>
        <v>20.0</v>
      </c>
    </row>
    <row r="145">
      <c r="A145" s="27" t="s">
        <v>42</v>
      </c>
      <c r="B145" s="27" t="s">
        <v>480</v>
      </c>
      <c r="C145" s="27" t="s">
        <v>481</v>
      </c>
      <c r="D145" s="27" t="s">
        <v>482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56620</f>
        <v>56620.0</v>
      </c>
      <c r="L145" s="34" t="s">
        <v>48</v>
      </c>
      <c r="M145" s="33" t="n">
        <f>56790</f>
        <v>56790.0</v>
      </c>
      <c r="N145" s="34" t="s">
        <v>48</v>
      </c>
      <c r="O145" s="33" t="n">
        <f>55700</f>
        <v>55700.0</v>
      </c>
      <c r="P145" s="34" t="s">
        <v>292</v>
      </c>
      <c r="Q145" s="33" t="n">
        <f>56740</f>
        <v>56740.0</v>
      </c>
      <c r="R145" s="34" t="s">
        <v>51</v>
      </c>
      <c r="S145" s="35" t="n">
        <f>56189.5</f>
        <v>56189.5</v>
      </c>
      <c r="T145" s="32" t="n">
        <f>2440</f>
        <v>2440.0</v>
      </c>
      <c r="U145" s="32" t="str">
        <f>"－"</f>
        <v>－</v>
      </c>
      <c r="V145" s="32" t="n">
        <f>136992300</f>
        <v>1.369923E8</v>
      </c>
      <c r="W145" s="32" t="str">
        <f>"－"</f>
        <v>－</v>
      </c>
      <c r="X145" s="36" t="n">
        <f>20</f>
        <v>20.0</v>
      </c>
    </row>
    <row r="146">
      <c r="A146" s="27" t="s">
        <v>42</v>
      </c>
      <c r="B146" s="27" t="s">
        <v>483</v>
      </c>
      <c r="C146" s="27" t="s">
        <v>484</v>
      </c>
      <c r="D146" s="27" t="s">
        <v>485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349.6</f>
        <v>349.6</v>
      </c>
      <c r="L146" s="34" t="s">
        <v>48</v>
      </c>
      <c r="M146" s="33" t="n">
        <f>352</f>
        <v>352.0</v>
      </c>
      <c r="N146" s="34" t="s">
        <v>48</v>
      </c>
      <c r="O146" s="33" t="n">
        <f>326.2</f>
        <v>326.2</v>
      </c>
      <c r="P146" s="34" t="s">
        <v>51</v>
      </c>
      <c r="Q146" s="33" t="n">
        <f>327.5</f>
        <v>327.5</v>
      </c>
      <c r="R146" s="34" t="s">
        <v>51</v>
      </c>
      <c r="S146" s="35" t="n">
        <f>335.29</f>
        <v>335.29</v>
      </c>
      <c r="T146" s="32" t="n">
        <f>28945090</f>
        <v>2.894509E7</v>
      </c>
      <c r="U146" s="32" t="n">
        <f>619030</f>
        <v>619030.0</v>
      </c>
      <c r="V146" s="32" t="n">
        <f>9697915530</f>
        <v>9.69791553E9</v>
      </c>
      <c r="W146" s="32" t="n">
        <f>207646657</f>
        <v>2.07646657E8</v>
      </c>
      <c r="X146" s="36" t="n">
        <f>20</f>
        <v>20.0</v>
      </c>
    </row>
    <row r="147">
      <c r="A147" s="27" t="s">
        <v>42</v>
      </c>
      <c r="B147" s="27" t="s">
        <v>486</v>
      </c>
      <c r="C147" s="27" t="s">
        <v>487</v>
      </c>
      <c r="D147" s="27" t="s">
        <v>488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54370</f>
        <v>54370.0</v>
      </c>
      <c r="L147" s="34" t="s">
        <v>48</v>
      </c>
      <c r="M147" s="33" t="n">
        <f>55010</f>
        <v>55010.0</v>
      </c>
      <c r="N147" s="34" t="s">
        <v>199</v>
      </c>
      <c r="O147" s="33" t="n">
        <f>52690</f>
        <v>52690.0</v>
      </c>
      <c r="P147" s="34" t="s">
        <v>50</v>
      </c>
      <c r="Q147" s="33" t="n">
        <f>54900</f>
        <v>54900.0</v>
      </c>
      <c r="R147" s="34" t="s">
        <v>81</v>
      </c>
      <c r="S147" s="35" t="n">
        <f>53985.38</f>
        <v>53985.38</v>
      </c>
      <c r="T147" s="32" t="n">
        <f>640</f>
        <v>640.0</v>
      </c>
      <c r="U147" s="32" t="str">
        <f>"－"</f>
        <v>－</v>
      </c>
      <c r="V147" s="32" t="n">
        <f>34542300</f>
        <v>3.45423E7</v>
      </c>
      <c r="W147" s="32" t="str">
        <f>"－"</f>
        <v>－</v>
      </c>
      <c r="X147" s="36" t="n">
        <f>13</f>
        <v>13.0</v>
      </c>
    </row>
    <row r="148">
      <c r="A148" s="27" t="s">
        <v>42</v>
      </c>
      <c r="B148" s="27" t="s">
        <v>489</v>
      </c>
      <c r="C148" s="27" t="s">
        <v>490</v>
      </c>
      <c r="D148" s="27" t="s">
        <v>491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6585</f>
        <v>6585.0</v>
      </c>
      <c r="L148" s="34" t="s">
        <v>48</v>
      </c>
      <c r="M148" s="33" t="n">
        <f>6607</f>
        <v>6607.0</v>
      </c>
      <c r="N148" s="34" t="s">
        <v>77</v>
      </c>
      <c r="O148" s="33" t="n">
        <f>6336</f>
        <v>6336.0</v>
      </c>
      <c r="P148" s="34" t="s">
        <v>50</v>
      </c>
      <c r="Q148" s="33" t="n">
        <f>6595</f>
        <v>6595.0</v>
      </c>
      <c r="R148" s="34" t="s">
        <v>51</v>
      </c>
      <c r="S148" s="35" t="n">
        <f>6525.1</f>
        <v>6525.1</v>
      </c>
      <c r="T148" s="32" t="n">
        <f>50127</f>
        <v>50127.0</v>
      </c>
      <c r="U148" s="32" t="n">
        <f>329</f>
        <v>329.0</v>
      </c>
      <c r="V148" s="32" t="n">
        <f>326004226</f>
        <v>3.26004226E8</v>
      </c>
      <c r="W148" s="32" t="n">
        <f>2154591</f>
        <v>2154591.0</v>
      </c>
      <c r="X148" s="36" t="n">
        <f>20</f>
        <v>20.0</v>
      </c>
    </row>
    <row r="149">
      <c r="A149" s="27" t="s">
        <v>42</v>
      </c>
      <c r="B149" s="27" t="s">
        <v>492</v>
      </c>
      <c r="C149" s="27" t="s">
        <v>493</v>
      </c>
      <c r="D149" s="27" t="s">
        <v>494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2312</f>
        <v>2312.0</v>
      </c>
      <c r="L149" s="34" t="s">
        <v>48</v>
      </c>
      <c r="M149" s="33" t="n">
        <f>2384</f>
        <v>2384.0</v>
      </c>
      <c r="N149" s="34" t="s">
        <v>199</v>
      </c>
      <c r="O149" s="33" t="n">
        <f>2270</f>
        <v>2270.0</v>
      </c>
      <c r="P149" s="34" t="s">
        <v>50</v>
      </c>
      <c r="Q149" s="33" t="n">
        <f>2342</f>
        <v>2342.0</v>
      </c>
      <c r="R149" s="34" t="s">
        <v>51</v>
      </c>
      <c r="S149" s="35" t="n">
        <f>2336.25</f>
        <v>2336.25</v>
      </c>
      <c r="T149" s="32" t="n">
        <f>113570</f>
        <v>113570.0</v>
      </c>
      <c r="U149" s="32" t="n">
        <f>2190</f>
        <v>2190.0</v>
      </c>
      <c r="V149" s="32" t="n">
        <f>266901116</f>
        <v>2.66901116E8</v>
      </c>
      <c r="W149" s="32" t="n">
        <f>5151333</f>
        <v>5151333.0</v>
      </c>
      <c r="X149" s="36" t="n">
        <f>20</f>
        <v>20.0</v>
      </c>
    </row>
    <row r="150">
      <c r="A150" s="27" t="s">
        <v>42</v>
      </c>
      <c r="B150" s="27" t="s">
        <v>495</v>
      </c>
      <c r="C150" s="27" t="s">
        <v>496</v>
      </c>
      <c r="D150" s="27" t="s">
        <v>497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1743</f>
        <v>1743.0</v>
      </c>
      <c r="L150" s="34" t="s">
        <v>48</v>
      </c>
      <c r="M150" s="33" t="n">
        <f>1823</f>
        <v>1823.0</v>
      </c>
      <c r="N150" s="34" t="s">
        <v>48</v>
      </c>
      <c r="O150" s="33" t="n">
        <f>1700</f>
        <v>1700.0</v>
      </c>
      <c r="P150" s="34" t="s">
        <v>454</v>
      </c>
      <c r="Q150" s="33" t="n">
        <f>1747</f>
        <v>1747.0</v>
      </c>
      <c r="R150" s="34" t="s">
        <v>81</v>
      </c>
      <c r="S150" s="35" t="n">
        <f>1746.12</f>
        <v>1746.12</v>
      </c>
      <c r="T150" s="32" t="n">
        <f>2150</f>
        <v>2150.0</v>
      </c>
      <c r="U150" s="32" t="str">
        <f>"－"</f>
        <v>－</v>
      </c>
      <c r="V150" s="32" t="n">
        <f>3743900</f>
        <v>3743900.0</v>
      </c>
      <c r="W150" s="32" t="str">
        <f>"－"</f>
        <v>－</v>
      </c>
      <c r="X150" s="36" t="n">
        <f>13</f>
        <v>13.0</v>
      </c>
    </row>
    <row r="151">
      <c r="A151" s="27" t="s">
        <v>42</v>
      </c>
      <c r="B151" s="27" t="s">
        <v>498</v>
      </c>
      <c r="C151" s="27" t="s">
        <v>499</v>
      </c>
      <c r="D151" s="27" t="s">
        <v>500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10.0</v>
      </c>
      <c r="K151" s="33" t="n">
        <f>531.3</f>
        <v>531.3</v>
      </c>
      <c r="L151" s="34" t="s">
        <v>48</v>
      </c>
      <c r="M151" s="33" t="n">
        <f>542.5</f>
        <v>542.5</v>
      </c>
      <c r="N151" s="34" t="s">
        <v>48</v>
      </c>
      <c r="O151" s="33" t="n">
        <f>486.3</f>
        <v>486.3</v>
      </c>
      <c r="P151" s="34" t="s">
        <v>100</v>
      </c>
      <c r="Q151" s="33" t="n">
        <f>501.8</f>
        <v>501.8</v>
      </c>
      <c r="R151" s="34" t="s">
        <v>51</v>
      </c>
      <c r="S151" s="35" t="n">
        <f>500.95</f>
        <v>500.95</v>
      </c>
      <c r="T151" s="32" t="n">
        <f>47560</f>
        <v>47560.0</v>
      </c>
      <c r="U151" s="32" t="str">
        <f>"－"</f>
        <v>－</v>
      </c>
      <c r="V151" s="32" t="n">
        <f>24033895</f>
        <v>2.4033895E7</v>
      </c>
      <c r="W151" s="32" t="str">
        <f>"－"</f>
        <v>－</v>
      </c>
      <c r="X151" s="36" t="n">
        <f>19</f>
        <v>19.0</v>
      </c>
    </row>
    <row r="152">
      <c r="A152" s="27" t="s">
        <v>42</v>
      </c>
      <c r="B152" s="27" t="s">
        <v>501</v>
      </c>
      <c r="C152" s="27" t="s">
        <v>502</v>
      </c>
      <c r="D152" s="27" t="s">
        <v>503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10.0</v>
      </c>
      <c r="K152" s="33" t="n">
        <f>2256.5</f>
        <v>2256.5</v>
      </c>
      <c r="L152" s="34" t="s">
        <v>48</v>
      </c>
      <c r="M152" s="33" t="n">
        <f>2349.5</f>
        <v>2349.5</v>
      </c>
      <c r="N152" s="34" t="s">
        <v>51</v>
      </c>
      <c r="O152" s="33" t="n">
        <f>2209</f>
        <v>2209.0</v>
      </c>
      <c r="P152" s="34" t="s">
        <v>50</v>
      </c>
      <c r="Q152" s="33" t="n">
        <f>2349.5</f>
        <v>2349.5</v>
      </c>
      <c r="R152" s="34" t="s">
        <v>51</v>
      </c>
      <c r="S152" s="35" t="n">
        <f>2262.17</f>
        <v>2262.17</v>
      </c>
      <c r="T152" s="32" t="n">
        <f>3300</f>
        <v>3300.0</v>
      </c>
      <c r="U152" s="32" t="str">
        <f>"－"</f>
        <v>－</v>
      </c>
      <c r="V152" s="32" t="n">
        <f>7496400</f>
        <v>7496400.0</v>
      </c>
      <c r="W152" s="32" t="str">
        <f>"－"</f>
        <v>－</v>
      </c>
      <c r="X152" s="36" t="n">
        <f>15</f>
        <v>15.0</v>
      </c>
    </row>
    <row r="153">
      <c r="A153" s="27" t="s">
        <v>42</v>
      </c>
      <c r="B153" s="27" t="s">
        <v>504</v>
      </c>
      <c r="C153" s="27" t="s">
        <v>505</v>
      </c>
      <c r="D153" s="27" t="s">
        <v>506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864.2</f>
        <v>864.2</v>
      </c>
      <c r="L153" s="34" t="s">
        <v>48</v>
      </c>
      <c r="M153" s="33" t="n">
        <f>898.7</f>
        <v>898.7</v>
      </c>
      <c r="N153" s="34" t="s">
        <v>199</v>
      </c>
      <c r="O153" s="33" t="n">
        <f>845</f>
        <v>845.0</v>
      </c>
      <c r="P153" s="34" t="s">
        <v>454</v>
      </c>
      <c r="Q153" s="33" t="n">
        <f>893.8</f>
        <v>893.8</v>
      </c>
      <c r="R153" s="34" t="s">
        <v>51</v>
      </c>
      <c r="S153" s="35" t="n">
        <f>872.62</f>
        <v>872.62</v>
      </c>
      <c r="T153" s="32" t="n">
        <f>27630</f>
        <v>27630.0</v>
      </c>
      <c r="U153" s="32" t="str">
        <f>"－"</f>
        <v>－</v>
      </c>
      <c r="V153" s="32" t="n">
        <f>23851666</f>
        <v>2.3851666E7</v>
      </c>
      <c r="W153" s="32" t="str">
        <f>"－"</f>
        <v>－</v>
      </c>
      <c r="X153" s="36" t="n">
        <f>20</f>
        <v>20.0</v>
      </c>
    </row>
    <row r="154">
      <c r="A154" s="27" t="s">
        <v>42</v>
      </c>
      <c r="B154" s="27" t="s">
        <v>507</v>
      </c>
      <c r="C154" s="27" t="s">
        <v>508</v>
      </c>
      <c r="D154" s="27" t="s">
        <v>509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489.6</f>
        <v>489.6</v>
      </c>
      <c r="L154" s="34" t="s">
        <v>48</v>
      </c>
      <c r="M154" s="33" t="n">
        <f>489.9</f>
        <v>489.9</v>
      </c>
      <c r="N154" s="34" t="s">
        <v>302</v>
      </c>
      <c r="O154" s="33" t="n">
        <f>462.7</f>
        <v>462.7</v>
      </c>
      <c r="P154" s="34" t="s">
        <v>116</v>
      </c>
      <c r="Q154" s="33" t="n">
        <f>482.1</f>
        <v>482.1</v>
      </c>
      <c r="R154" s="34" t="s">
        <v>51</v>
      </c>
      <c r="S154" s="35" t="n">
        <f>477.89</f>
        <v>477.89</v>
      </c>
      <c r="T154" s="32" t="n">
        <f>115690</f>
        <v>115690.0</v>
      </c>
      <c r="U154" s="32" t="str">
        <f>"－"</f>
        <v>－</v>
      </c>
      <c r="V154" s="32" t="n">
        <f>55292406</f>
        <v>5.5292406E7</v>
      </c>
      <c r="W154" s="32" t="str">
        <f>"－"</f>
        <v>－</v>
      </c>
      <c r="X154" s="36" t="n">
        <f>20</f>
        <v>20.0</v>
      </c>
    </row>
    <row r="155">
      <c r="A155" s="27" t="s">
        <v>42</v>
      </c>
      <c r="B155" s="27" t="s">
        <v>510</v>
      </c>
      <c r="C155" s="27" t="s">
        <v>511</v>
      </c>
      <c r="D155" s="27" t="s">
        <v>512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1071</f>
        <v>1071.0</v>
      </c>
      <c r="L155" s="34" t="s">
        <v>48</v>
      </c>
      <c r="M155" s="33" t="n">
        <f>1077</f>
        <v>1077.0</v>
      </c>
      <c r="N155" s="34" t="s">
        <v>48</v>
      </c>
      <c r="O155" s="33" t="n">
        <f>915</f>
        <v>915.0</v>
      </c>
      <c r="P155" s="34" t="s">
        <v>199</v>
      </c>
      <c r="Q155" s="33" t="n">
        <f>960</f>
        <v>960.0</v>
      </c>
      <c r="R155" s="34" t="s">
        <v>51</v>
      </c>
      <c r="S155" s="35" t="n">
        <f>981.4</f>
        <v>981.4</v>
      </c>
      <c r="T155" s="32" t="n">
        <f>1082352</f>
        <v>1082352.0</v>
      </c>
      <c r="U155" s="32" t="str">
        <f>"－"</f>
        <v>－</v>
      </c>
      <c r="V155" s="32" t="n">
        <f>1056081969</f>
        <v>1.056081969E9</v>
      </c>
      <c r="W155" s="32" t="str">
        <f>"－"</f>
        <v>－</v>
      </c>
      <c r="X155" s="36" t="n">
        <f>20</f>
        <v>20.0</v>
      </c>
    </row>
    <row r="156">
      <c r="A156" s="27" t="s">
        <v>42</v>
      </c>
      <c r="B156" s="27" t="s">
        <v>513</v>
      </c>
      <c r="C156" s="27" t="s">
        <v>514</v>
      </c>
      <c r="D156" s="27" t="s">
        <v>515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1534</f>
        <v>1534.0</v>
      </c>
      <c r="L156" s="34" t="s">
        <v>48</v>
      </c>
      <c r="M156" s="33" t="n">
        <f>1536</f>
        <v>1536.0</v>
      </c>
      <c r="N156" s="34" t="s">
        <v>48</v>
      </c>
      <c r="O156" s="33" t="n">
        <f>1337.5</f>
        <v>1337.5</v>
      </c>
      <c r="P156" s="34" t="s">
        <v>49</v>
      </c>
      <c r="Q156" s="33" t="n">
        <f>1418.5</f>
        <v>1418.5</v>
      </c>
      <c r="R156" s="34" t="s">
        <v>51</v>
      </c>
      <c r="S156" s="35" t="n">
        <f>1415.5</f>
        <v>1415.5</v>
      </c>
      <c r="T156" s="32" t="n">
        <f>41400</f>
        <v>41400.0</v>
      </c>
      <c r="U156" s="32" t="str">
        <f>"－"</f>
        <v>－</v>
      </c>
      <c r="V156" s="32" t="n">
        <f>58562560</f>
        <v>5.856256E7</v>
      </c>
      <c r="W156" s="32" t="str">
        <f>"－"</f>
        <v>－</v>
      </c>
      <c r="X156" s="36" t="n">
        <f>20</f>
        <v>20.0</v>
      </c>
    </row>
    <row r="157">
      <c r="A157" s="27" t="s">
        <v>42</v>
      </c>
      <c r="B157" s="27" t="s">
        <v>516</v>
      </c>
      <c r="C157" s="27" t="s">
        <v>517</v>
      </c>
      <c r="D157" s="27" t="s">
        <v>518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8064</f>
        <v>8064.0</v>
      </c>
      <c r="L157" s="34" t="s">
        <v>48</v>
      </c>
      <c r="M157" s="33" t="n">
        <f>8145</f>
        <v>8145.0</v>
      </c>
      <c r="N157" s="34" t="s">
        <v>100</v>
      </c>
      <c r="O157" s="33" t="n">
        <f>7500</f>
        <v>7500.0</v>
      </c>
      <c r="P157" s="34" t="s">
        <v>100</v>
      </c>
      <c r="Q157" s="33" t="n">
        <f>7790</f>
        <v>7790.0</v>
      </c>
      <c r="R157" s="34" t="s">
        <v>51</v>
      </c>
      <c r="S157" s="35" t="n">
        <f>7686.26</f>
        <v>7686.26</v>
      </c>
      <c r="T157" s="32" t="n">
        <f>1881</f>
        <v>1881.0</v>
      </c>
      <c r="U157" s="32" t="str">
        <f>"－"</f>
        <v>－</v>
      </c>
      <c r="V157" s="32" t="n">
        <f>14477919</f>
        <v>1.4477919E7</v>
      </c>
      <c r="W157" s="32" t="str">
        <f>"－"</f>
        <v>－</v>
      </c>
      <c r="X157" s="36" t="n">
        <f>19</f>
        <v>19.0</v>
      </c>
    </row>
    <row r="158">
      <c r="A158" s="27" t="s">
        <v>42</v>
      </c>
      <c r="B158" s="27" t="s">
        <v>519</v>
      </c>
      <c r="C158" s="27" t="s">
        <v>520</v>
      </c>
      <c r="D158" s="27" t="s">
        <v>521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100.0</v>
      </c>
      <c r="K158" s="33" t="n">
        <f>502.1</f>
        <v>502.1</v>
      </c>
      <c r="L158" s="34" t="s">
        <v>48</v>
      </c>
      <c r="M158" s="33" t="n">
        <f>510</f>
        <v>510.0</v>
      </c>
      <c r="N158" s="34" t="s">
        <v>77</v>
      </c>
      <c r="O158" s="33" t="n">
        <f>492.7</f>
        <v>492.7</v>
      </c>
      <c r="P158" s="34" t="s">
        <v>82</v>
      </c>
      <c r="Q158" s="33" t="n">
        <f>502.1</f>
        <v>502.1</v>
      </c>
      <c r="R158" s="34" t="s">
        <v>51</v>
      </c>
      <c r="S158" s="35" t="n">
        <f>499.78</f>
        <v>499.78</v>
      </c>
      <c r="T158" s="32" t="n">
        <f>24300</f>
        <v>24300.0</v>
      </c>
      <c r="U158" s="32" t="str">
        <f>"－"</f>
        <v>－</v>
      </c>
      <c r="V158" s="32" t="n">
        <f>12130560</f>
        <v>1.213056E7</v>
      </c>
      <c r="W158" s="32" t="str">
        <f>"－"</f>
        <v>－</v>
      </c>
      <c r="X158" s="36" t="n">
        <f>19</f>
        <v>19.0</v>
      </c>
    </row>
    <row r="159">
      <c r="A159" s="27" t="s">
        <v>42</v>
      </c>
      <c r="B159" s="27" t="s">
        <v>522</v>
      </c>
      <c r="C159" s="27" t="s">
        <v>523</v>
      </c>
      <c r="D159" s="27" t="s">
        <v>524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6020</f>
        <v>6020.0</v>
      </c>
      <c r="L159" s="34" t="s">
        <v>48</v>
      </c>
      <c r="M159" s="33" t="n">
        <f>6198</f>
        <v>6198.0</v>
      </c>
      <c r="N159" s="34" t="s">
        <v>221</v>
      </c>
      <c r="O159" s="33" t="n">
        <f>5740</f>
        <v>5740.0</v>
      </c>
      <c r="P159" s="34" t="s">
        <v>116</v>
      </c>
      <c r="Q159" s="33" t="n">
        <f>5880</f>
        <v>5880.0</v>
      </c>
      <c r="R159" s="34" t="s">
        <v>51</v>
      </c>
      <c r="S159" s="35" t="n">
        <f>5879.3</f>
        <v>5879.3</v>
      </c>
      <c r="T159" s="32" t="n">
        <f>864880</f>
        <v>864880.0</v>
      </c>
      <c r="U159" s="32" t="str">
        <f>"－"</f>
        <v>－</v>
      </c>
      <c r="V159" s="32" t="n">
        <f>5116503750</f>
        <v>5.11650375E9</v>
      </c>
      <c r="W159" s="32" t="str">
        <f>"－"</f>
        <v>－</v>
      </c>
      <c r="X159" s="36" t="n">
        <f>20</f>
        <v>20.0</v>
      </c>
    </row>
    <row r="160">
      <c r="A160" s="27" t="s">
        <v>42</v>
      </c>
      <c r="B160" s="27" t="s">
        <v>525</v>
      </c>
      <c r="C160" s="27" t="s">
        <v>526</v>
      </c>
      <c r="D160" s="27" t="s">
        <v>527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10.0</v>
      </c>
      <c r="K160" s="33" t="n">
        <f>2030.5</f>
        <v>2030.5</v>
      </c>
      <c r="L160" s="34" t="s">
        <v>48</v>
      </c>
      <c r="M160" s="33" t="n">
        <f>2037.5</f>
        <v>2037.5</v>
      </c>
      <c r="N160" s="34" t="s">
        <v>82</v>
      </c>
      <c r="O160" s="33" t="n">
        <f>1967</f>
        <v>1967.0</v>
      </c>
      <c r="P160" s="34" t="s">
        <v>292</v>
      </c>
      <c r="Q160" s="33" t="n">
        <f>2003</f>
        <v>2003.0</v>
      </c>
      <c r="R160" s="34" t="s">
        <v>51</v>
      </c>
      <c r="S160" s="35" t="n">
        <f>1991.23</f>
        <v>1991.23</v>
      </c>
      <c r="T160" s="32" t="n">
        <f>11310</f>
        <v>11310.0</v>
      </c>
      <c r="U160" s="32" t="str">
        <f>"－"</f>
        <v>－</v>
      </c>
      <c r="V160" s="32" t="n">
        <f>22505500</f>
        <v>2.25055E7</v>
      </c>
      <c r="W160" s="32" t="str">
        <f>"－"</f>
        <v>－</v>
      </c>
      <c r="X160" s="36" t="n">
        <f>20</f>
        <v>20.0</v>
      </c>
    </row>
    <row r="161">
      <c r="A161" s="27" t="s">
        <v>42</v>
      </c>
      <c r="B161" s="27" t="s">
        <v>528</v>
      </c>
      <c r="C161" s="27" t="s">
        <v>529</v>
      </c>
      <c r="D161" s="27" t="s">
        <v>530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2798</f>
        <v>2798.0</v>
      </c>
      <c r="L161" s="34" t="s">
        <v>48</v>
      </c>
      <c r="M161" s="33" t="n">
        <f>2819</f>
        <v>2819.0</v>
      </c>
      <c r="N161" s="34" t="s">
        <v>48</v>
      </c>
      <c r="O161" s="33" t="n">
        <f>2613</f>
        <v>2613.0</v>
      </c>
      <c r="P161" s="34" t="s">
        <v>86</v>
      </c>
      <c r="Q161" s="33" t="n">
        <f>2670</f>
        <v>2670.0</v>
      </c>
      <c r="R161" s="34" t="s">
        <v>51</v>
      </c>
      <c r="S161" s="35" t="n">
        <f>2678.6</f>
        <v>2678.6</v>
      </c>
      <c r="T161" s="32" t="n">
        <f>406456</f>
        <v>406456.0</v>
      </c>
      <c r="U161" s="32" t="str">
        <f>"－"</f>
        <v>－</v>
      </c>
      <c r="V161" s="32" t="n">
        <f>1090342160</f>
        <v>1.09034216E9</v>
      </c>
      <c r="W161" s="32" t="str">
        <f>"－"</f>
        <v>－</v>
      </c>
      <c r="X161" s="36" t="n">
        <f>20</f>
        <v>20.0</v>
      </c>
    </row>
    <row r="162">
      <c r="A162" s="27" t="s">
        <v>42</v>
      </c>
      <c r="B162" s="27" t="s">
        <v>531</v>
      </c>
      <c r="C162" s="27" t="s">
        <v>532</v>
      </c>
      <c r="D162" s="27" t="s">
        <v>533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2740</f>
        <v>2740.0</v>
      </c>
      <c r="L162" s="34" t="s">
        <v>48</v>
      </c>
      <c r="M162" s="33" t="n">
        <f>2755</f>
        <v>2755.0</v>
      </c>
      <c r="N162" s="34" t="s">
        <v>48</v>
      </c>
      <c r="O162" s="33" t="n">
        <f>2545</f>
        <v>2545.0</v>
      </c>
      <c r="P162" s="34" t="s">
        <v>100</v>
      </c>
      <c r="Q162" s="33" t="n">
        <f>2649</f>
        <v>2649.0</v>
      </c>
      <c r="R162" s="34" t="s">
        <v>51</v>
      </c>
      <c r="S162" s="35" t="n">
        <f>2626.55</f>
        <v>2626.55</v>
      </c>
      <c r="T162" s="32" t="n">
        <f>62914</f>
        <v>62914.0</v>
      </c>
      <c r="U162" s="32" t="str">
        <f>"－"</f>
        <v>－</v>
      </c>
      <c r="V162" s="32" t="n">
        <f>164986697</f>
        <v>1.64986697E8</v>
      </c>
      <c r="W162" s="32" t="str">
        <f>"－"</f>
        <v>－</v>
      </c>
      <c r="X162" s="36" t="n">
        <f>20</f>
        <v>20.0</v>
      </c>
    </row>
    <row r="163">
      <c r="A163" s="27" t="s">
        <v>42</v>
      </c>
      <c r="B163" s="27" t="s">
        <v>534</v>
      </c>
      <c r="C163" s="27" t="s">
        <v>535</v>
      </c>
      <c r="D163" s="27" t="s">
        <v>536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10.0</v>
      </c>
      <c r="K163" s="33" t="n">
        <f>3705</f>
        <v>3705.0</v>
      </c>
      <c r="L163" s="34" t="s">
        <v>48</v>
      </c>
      <c r="M163" s="33" t="n">
        <f>3897</f>
        <v>3897.0</v>
      </c>
      <c r="N163" s="34" t="s">
        <v>302</v>
      </c>
      <c r="O163" s="33" t="n">
        <f>3602</f>
        <v>3602.0</v>
      </c>
      <c r="P163" s="34" t="s">
        <v>454</v>
      </c>
      <c r="Q163" s="33" t="n">
        <f>3836</f>
        <v>3836.0</v>
      </c>
      <c r="R163" s="34" t="s">
        <v>51</v>
      </c>
      <c r="S163" s="35" t="n">
        <f>3758.25</f>
        <v>3758.25</v>
      </c>
      <c r="T163" s="32" t="n">
        <f>16280</f>
        <v>16280.0</v>
      </c>
      <c r="U163" s="32" t="str">
        <f>"－"</f>
        <v>－</v>
      </c>
      <c r="V163" s="32" t="n">
        <f>61405660</f>
        <v>6.140566E7</v>
      </c>
      <c r="W163" s="32" t="str">
        <f>"－"</f>
        <v>－</v>
      </c>
      <c r="X163" s="36" t="n">
        <f>20</f>
        <v>20.0</v>
      </c>
    </row>
    <row r="164">
      <c r="A164" s="27" t="s">
        <v>42</v>
      </c>
      <c r="B164" s="27" t="s">
        <v>537</v>
      </c>
      <c r="C164" s="27" t="s">
        <v>538</v>
      </c>
      <c r="D164" s="27" t="s">
        <v>539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3169</f>
        <v>3169.0</v>
      </c>
      <c r="L164" s="34" t="s">
        <v>48</v>
      </c>
      <c r="M164" s="33" t="n">
        <f>3364</f>
        <v>3364.0</v>
      </c>
      <c r="N164" s="34" t="s">
        <v>199</v>
      </c>
      <c r="O164" s="33" t="n">
        <f>3132</f>
        <v>3132.0</v>
      </c>
      <c r="P164" s="34" t="s">
        <v>50</v>
      </c>
      <c r="Q164" s="33" t="n">
        <f>3332</f>
        <v>3332.0</v>
      </c>
      <c r="R164" s="34" t="s">
        <v>51</v>
      </c>
      <c r="S164" s="35" t="n">
        <f>3279.6</f>
        <v>3279.6</v>
      </c>
      <c r="T164" s="32" t="n">
        <f>448431</f>
        <v>448431.0</v>
      </c>
      <c r="U164" s="32" t="n">
        <f>93844</f>
        <v>93844.0</v>
      </c>
      <c r="V164" s="32" t="n">
        <f>1463589252</f>
        <v>1.463589252E9</v>
      </c>
      <c r="W164" s="32" t="n">
        <f>310791624</f>
        <v>3.10791624E8</v>
      </c>
      <c r="X164" s="36" t="n">
        <f>20</f>
        <v>20.0</v>
      </c>
    </row>
    <row r="165">
      <c r="A165" s="27" t="s">
        <v>42</v>
      </c>
      <c r="B165" s="27" t="s">
        <v>540</v>
      </c>
      <c r="C165" s="27" t="s">
        <v>541</v>
      </c>
      <c r="D165" s="27" t="s">
        <v>542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417</f>
        <v>417.0</v>
      </c>
      <c r="L165" s="34" t="s">
        <v>48</v>
      </c>
      <c r="M165" s="33" t="n">
        <f>418.7</f>
        <v>418.7</v>
      </c>
      <c r="N165" s="34" t="s">
        <v>48</v>
      </c>
      <c r="O165" s="33" t="n">
        <f>373.3</f>
        <v>373.3</v>
      </c>
      <c r="P165" s="34" t="s">
        <v>49</v>
      </c>
      <c r="Q165" s="33" t="n">
        <f>388.5</f>
        <v>388.5</v>
      </c>
      <c r="R165" s="34" t="s">
        <v>51</v>
      </c>
      <c r="S165" s="35" t="n">
        <f>386.19</f>
        <v>386.19</v>
      </c>
      <c r="T165" s="32" t="n">
        <f>13644080</f>
        <v>1.364408E7</v>
      </c>
      <c r="U165" s="32" t="n">
        <f>120210</f>
        <v>120210.0</v>
      </c>
      <c r="V165" s="32" t="n">
        <f>5276598906</f>
        <v>5.276598906E9</v>
      </c>
      <c r="W165" s="32" t="n">
        <f>46567870</f>
        <v>4.656787E7</v>
      </c>
      <c r="X165" s="36" t="n">
        <f>20</f>
        <v>20.0</v>
      </c>
    </row>
    <row r="166">
      <c r="A166" s="27" t="s">
        <v>42</v>
      </c>
      <c r="B166" s="27" t="s">
        <v>543</v>
      </c>
      <c r="C166" s="27" t="s">
        <v>544</v>
      </c>
      <c r="D166" s="27" t="s">
        <v>545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2148</f>
        <v>2148.0</v>
      </c>
      <c r="L166" s="34" t="s">
        <v>48</v>
      </c>
      <c r="M166" s="33" t="n">
        <f>2270</f>
        <v>2270.0</v>
      </c>
      <c r="N166" s="34" t="s">
        <v>199</v>
      </c>
      <c r="O166" s="33" t="n">
        <f>2110</f>
        <v>2110.0</v>
      </c>
      <c r="P166" s="34" t="s">
        <v>50</v>
      </c>
      <c r="Q166" s="33" t="n">
        <f>2231</f>
        <v>2231.0</v>
      </c>
      <c r="R166" s="34" t="s">
        <v>51</v>
      </c>
      <c r="S166" s="35" t="n">
        <f>2219.9</f>
        <v>2219.9</v>
      </c>
      <c r="T166" s="32" t="n">
        <f>12624</f>
        <v>12624.0</v>
      </c>
      <c r="U166" s="32" t="str">
        <f>"－"</f>
        <v>－</v>
      </c>
      <c r="V166" s="32" t="n">
        <f>27530513</f>
        <v>2.7530513E7</v>
      </c>
      <c r="W166" s="32" t="str">
        <f>"－"</f>
        <v>－</v>
      </c>
      <c r="X166" s="36" t="n">
        <f>20</f>
        <v>20.0</v>
      </c>
    </row>
    <row r="167">
      <c r="A167" s="27" t="s">
        <v>42</v>
      </c>
      <c r="B167" s="27" t="s">
        <v>546</v>
      </c>
      <c r="C167" s="27" t="s">
        <v>547</v>
      </c>
      <c r="D167" s="27" t="s">
        <v>548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1275</f>
        <v>1275.0</v>
      </c>
      <c r="L167" s="34" t="s">
        <v>48</v>
      </c>
      <c r="M167" s="33" t="n">
        <f>1277</f>
        <v>1277.0</v>
      </c>
      <c r="N167" s="34" t="s">
        <v>51</v>
      </c>
      <c r="O167" s="33" t="n">
        <f>1216</f>
        <v>1216.0</v>
      </c>
      <c r="P167" s="34" t="s">
        <v>50</v>
      </c>
      <c r="Q167" s="33" t="n">
        <f>1273</f>
        <v>1273.0</v>
      </c>
      <c r="R167" s="34" t="s">
        <v>51</v>
      </c>
      <c r="S167" s="35" t="n">
        <f>1248.55</f>
        <v>1248.55</v>
      </c>
      <c r="T167" s="32" t="n">
        <f>350106</f>
        <v>350106.0</v>
      </c>
      <c r="U167" s="32" t="str">
        <f>"－"</f>
        <v>－</v>
      </c>
      <c r="V167" s="32" t="n">
        <f>435990783</f>
        <v>4.35990783E8</v>
      </c>
      <c r="W167" s="32" t="str">
        <f>"－"</f>
        <v>－</v>
      </c>
      <c r="X167" s="36" t="n">
        <f>20</f>
        <v>20.0</v>
      </c>
    </row>
    <row r="168">
      <c r="A168" s="27" t="s">
        <v>42</v>
      </c>
      <c r="B168" s="27" t="s">
        <v>549</v>
      </c>
      <c r="C168" s="27" t="s">
        <v>550</v>
      </c>
      <c r="D168" s="27" t="s">
        <v>551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264.7</f>
        <v>264.7</v>
      </c>
      <c r="L168" s="34" t="s">
        <v>48</v>
      </c>
      <c r="M168" s="33" t="n">
        <f>270</f>
        <v>270.0</v>
      </c>
      <c r="N168" s="34" t="s">
        <v>82</v>
      </c>
      <c r="O168" s="33" t="n">
        <f>260.3</f>
        <v>260.3</v>
      </c>
      <c r="P168" s="34" t="s">
        <v>156</v>
      </c>
      <c r="Q168" s="33" t="n">
        <f>262.7</f>
        <v>262.7</v>
      </c>
      <c r="R168" s="34" t="s">
        <v>51</v>
      </c>
      <c r="S168" s="35" t="n">
        <f>264.82</f>
        <v>264.82</v>
      </c>
      <c r="T168" s="32" t="n">
        <f>4625810</f>
        <v>4625810.0</v>
      </c>
      <c r="U168" s="32" t="n">
        <f>220</f>
        <v>220.0</v>
      </c>
      <c r="V168" s="32" t="n">
        <f>1229071802</f>
        <v>1.229071802E9</v>
      </c>
      <c r="W168" s="32" t="n">
        <f>58463</f>
        <v>58463.0</v>
      </c>
      <c r="X168" s="36" t="n">
        <f>20</f>
        <v>20.0</v>
      </c>
    </row>
    <row r="169">
      <c r="A169" s="27" t="s">
        <v>42</v>
      </c>
      <c r="B169" s="27" t="s">
        <v>552</v>
      </c>
      <c r="C169" s="27" t="s">
        <v>553</v>
      </c>
      <c r="D169" s="27" t="s">
        <v>554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282.7</f>
        <v>282.7</v>
      </c>
      <c r="L169" s="34" t="s">
        <v>48</v>
      </c>
      <c r="M169" s="33" t="n">
        <f>282.8</f>
        <v>282.8</v>
      </c>
      <c r="N169" s="34" t="s">
        <v>48</v>
      </c>
      <c r="O169" s="33" t="n">
        <f>272.5</f>
        <v>272.5</v>
      </c>
      <c r="P169" s="34" t="s">
        <v>156</v>
      </c>
      <c r="Q169" s="33" t="n">
        <f>274.6</f>
        <v>274.6</v>
      </c>
      <c r="R169" s="34" t="s">
        <v>51</v>
      </c>
      <c r="S169" s="35" t="n">
        <f>277.38</f>
        <v>277.38</v>
      </c>
      <c r="T169" s="32" t="n">
        <f>974110</f>
        <v>974110.0</v>
      </c>
      <c r="U169" s="32" t="str">
        <f>"－"</f>
        <v>－</v>
      </c>
      <c r="V169" s="32" t="n">
        <f>271110579</f>
        <v>2.71110579E8</v>
      </c>
      <c r="W169" s="32" t="str">
        <f>"－"</f>
        <v>－</v>
      </c>
      <c r="X169" s="36" t="n">
        <f>20</f>
        <v>20.0</v>
      </c>
    </row>
    <row r="170">
      <c r="A170" s="27" t="s">
        <v>42</v>
      </c>
      <c r="B170" s="27" t="s">
        <v>555</v>
      </c>
      <c r="C170" s="27" t="s">
        <v>556</v>
      </c>
      <c r="D170" s="27" t="s">
        <v>557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505.3</f>
        <v>505.3</v>
      </c>
      <c r="L170" s="34" t="s">
        <v>48</v>
      </c>
      <c r="M170" s="33" t="n">
        <f>505.3</f>
        <v>505.3</v>
      </c>
      <c r="N170" s="34" t="s">
        <v>48</v>
      </c>
      <c r="O170" s="33" t="n">
        <f>490.8</f>
        <v>490.8</v>
      </c>
      <c r="P170" s="34" t="s">
        <v>90</v>
      </c>
      <c r="Q170" s="33" t="n">
        <f>491.7</f>
        <v>491.7</v>
      </c>
      <c r="R170" s="34" t="s">
        <v>81</v>
      </c>
      <c r="S170" s="35" t="n">
        <f>493.69</f>
        <v>493.69</v>
      </c>
      <c r="T170" s="32" t="n">
        <f>4243670</f>
        <v>4243670.0</v>
      </c>
      <c r="U170" s="32" t="n">
        <f>4200000</f>
        <v>4200000.0</v>
      </c>
      <c r="V170" s="32" t="n">
        <f>2101874335</f>
        <v>2.101874335E9</v>
      </c>
      <c r="W170" s="32" t="n">
        <f>2080380000</f>
        <v>2.08038E9</v>
      </c>
      <c r="X170" s="36" t="n">
        <f>16</f>
        <v>16.0</v>
      </c>
    </row>
    <row r="171">
      <c r="A171" s="27" t="s">
        <v>42</v>
      </c>
      <c r="B171" s="27" t="s">
        <v>558</v>
      </c>
      <c r="C171" s="27" t="s">
        <v>559</v>
      </c>
      <c r="D171" s="27" t="s">
        <v>560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486</f>
        <v>486.0</v>
      </c>
      <c r="L171" s="34" t="s">
        <v>48</v>
      </c>
      <c r="M171" s="33" t="n">
        <f>489</f>
        <v>489.0</v>
      </c>
      <c r="N171" s="34" t="s">
        <v>82</v>
      </c>
      <c r="O171" s="33" t="n">
        <f>470.8</f>
        <v>470.8</v>
      </c>
      <c r="P171" s="34" t="s">
        <v>156</v>
      </c>
      <c r="Q171" s="33" t="n">
        <f>473.8</f>
        <v>473.8</v>
      </c>
      <c r="R171" s="34" t="s">
        <v>51</v>
      </c>
      <c r="S171" s="35" t="n">
        <f>476.21</f>
        <v>476.21</v>
      </c>
      <c r="T171" s="32" t="n">
        <f>403080</f>
        <v>403080.0</v>
      </c>
      <c r="U171" s="32" t="str">
        <f>"－"</f>
        <v>－</v>
      </c>
      <c r="V171" s="32" t="n">
        <f>194513267</f>
        <v>1.94513267E8</v>
      </c>
      <c r="W171" s="32" t="str">
        <f>"－"</f>
        <v>－</v>
      </c>
      <c r="X171" s="36" t="n">
        <f>19</f>
        <v>19.0</v>
      </c>
    </row>
    <row r="172">
      <c r="A172" s="27" t="s">
        <v>42</v>
      </c>
      <c r="B172" s="27" t="s">
        <v>561</v>
      </c>
      <c r="C172" s="27" t="s">
        <v>562</v>
      </c>
      <c r="D172" s="27" t="s">
        <v>563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468.5</f>
        <v>468.5</v>
      </c>
      <c r="L172" s="34" t="s">
        <v>48</v>
      </c>
      <c r="M172" s="33" t="n">
        <f>478.7</f>
        <v>478.7</v>
      </c>
      <c r="N172" s="34" t="s">
        <v>82</v>
      </c>
      <c r="O172" s="33" t="n">
        <f>462</f>
        <v>462.0</v>
      </c>
      <c r="P172" s="34" t="s">
        <v>64</v>
      </c>
      <c r="Q172" s="33" t="n">
        <f>466.3</f>
        <v>466.3</v>
      </c>
      <c r="R172" s="34" t="s">
        <v>51</v>
      </c>
      <c r="S172" s="35" t="n">
        <f>468.14</f>
        <v>468.14</v>
      </c>
      <c r="T172" s="32" t="n">
        <f>2641400</f>
        <v>2641400.0</v>
      </c>
      <c r="U172" s="32" t="n">
        <f>2200010</f>
        <v>2200010.0</v>
      </c>
      <c r="V172" s="32" t="n">
        <f>1240686119</f>
        <v>1.240686119E9</v>
      </c>
      <c r="W172" s="32" t="n">
        <f>1031118672</f>
        <v>1.031118672E9</v>
      </c>
      <c r="X172" s="36" t="n">
        <f>18</f>
        <v>18.0</v>
      </c>
    </row>
    <row r="173">
      <c r="A173" s="27" t="s">
        <v>42</v>
      </c>
      <c r="B173" s="27" t="s">
        <v>564</v>
      </c>
      <c r="C173" s="27" t="s">
        <v>565</v>
      </c>
      <c r="D173" s="27" t="s">
        <v>566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1.0</v>
      </c>
      <c r="K173" s="33" t="n">
        <f>938</f>
        <v>938.0</v>
      </c>
      <c r="L173" s="34" t="s">
        <v>48</v>
      </c>
      <c r="M173" s="33" t="n">
        <f>965</f>
        <v>965.0</v>
      </c>
      <c r="N173" s="34" t="s">
        <v>302</v>
      </c>
      <c r="O173" s="33" t="n">
        <f>911</f>
        <v>911.0</v>
      </c>
      <c r="P173" s="34" t="s">
        <v>90</v>
      </c>
      <c r="Q173" s="33" t="n">
        <f>928</f>
        <v>928.0</v>
      </c>
      <c r="R173" s="34" t="s">
        <v>51</v>
      </c>
      <c r="S173" s="35" t="n">
        <f>933.6</f>
        <v>933.6</v>
      </c>
      <c r="T173" s="32" t="n">
        <f>413003</f>
        <v>413003.0</v>
      </c>
      <c r="U173" s="32" t="n">
        <f>400</f>
        <v>400.0</v>
      </c>
      <c r="V173" s="32" t="n">
        <f>388643234</f>
        <v>3.88643234E8</v>
      </c>
      <c r="W173" s="32" t="n">
        <f>370192</f>
        <v>370192.0</v>
      </c>
      <c r="X173" s="36" t="n">
        <f>20</f>
        <v>20.0</v>
      </c>
    </row>
    <row r="174">
      <c r="A174" s="27" t="s">
        <v>42</v>
      </c>
      <c r="B174" s="27" t="s">
        <v>567</v>
      </c>
      <c r="C174" s="27" t="s">
        <v>568</v>
      </c>
      <c r="D174" s="27" t="s">
        <v>569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1.0</v>
      </c>
      <c r="K174" s="33" t="n">
        <f>1663</f>
        <v>1663.0</v>
      </c>
      <c r="L174" s="34" t="s">
        <v>48</v>
      </c>
      <c r="M174" s="33" t="n">
        <f>1762</f>
        <v>1762.0</v>
      </c>
      <c r="N174" s="34" t="s">
        <v>221</v>
      </c>
      <c r="O174" s="33" t="n">
        <f>1603</f>
        <v>1603.0</v>
      </c>
      <c r="P174" s="34" t="s">
        <v>454</v>
      </c>
      <c r="Q174" s="33" t="n">
        <f>1712</f>
        <v>1712.0</v>
      </c>
      <c r="R174" s="34" t="s">
        <v>51</v>
      </c>
      <c r="S174" s="35" t="n">
        <f>1687.05</f>
        <v>1687.05</v>
      </c>
      <c r="T174" s="32" t="n">
        <f>5430236</f>
        <v>5430236.0</v>
      </c>
      <c r="U174" s="32" t="n">
        <f>510098</f>
        <v>510098.0</v>
      </c>
      <c r="V174" s="32" t="n">
        <f>9131217544</f>
        <v>9.131217544E9</v>
      </c>
      <c r="W174" s="32" t="n">
        <f>863560609</f>
        <v>8.63560609E8</v>
      </c>
      <c r="X174" s="36" t="n">
        <f>20</f>
        <v>20.0</v>
      </c>
    </row>
    <row r="175">
      <c r="A175" s="27" t="s">
        <v>42</v>
      </c>
      <c r="B175" s="27" t="s">
        <v>570</v>
      </c>
      <c r="C175" s="27" t="s">
        <v>571</v>
      </c>
      <c r="D175" s="27" t="s">
        <v>572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638.4</f>
        <v>638.4</v>
      </c>
      <c r="L175" s="34" t="s">
        <v>48</v>
      </c>
      <c r="M175" s="33" t="n">
        <f>679.9</f>
        <v>679.9</v>
      </c>
      <c r="N175" s="34" t="s">
        <v>302</v>
      </c>
      <c r="O175" s="33" t="n">
        <f>627.6</f>
        <v>627.6</v>
      </c>
      <c r="P175" s="34" t="s">
        <v>50</v>
      </c>
      <c r="Q175" s="33" t="n">
        <f>672.8</f>
        <v>672.8</v>
      </c>
      <c r="R175" s="34" t="s">
        <v>51</v>
      </c>
      <c r="S175" s="35" t="n">
        <f>662.36</f>
        <v>662.36</v>
      </c>
      <c r="T175" s="32" t="n">
        <f>383170</f>
        <v>383170.0</v>
      </c>
      <c r="U175" s="32" t="n">
        <f>110</f>
        <v>110.0</v>
      </c>
      <c r="V175" s="32" t="n">
        <f>254686930</f>
        <v>2.5468693E8</v>
      </c>
      <c r="W175" s="32" t="n">
        <f>73954</f>
        <v>73954.0</v>
      </c>
      <c r="X175" s="36" t="n">
        <f>20</f>
        <v>20.0</v>
      </c>
    </row>
    <row r="176">
      <c r="A176" s="27" t="s">
        <v>42</v>
      </c>
      <c r="B176" s="27" t="s">
        <v>573</v>
      </c>
      <c r="C176" s="27" t="s">
        <v>574</v>
      </c>
      <c r="D176" s="27" t="s">
        <v>575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220.5</f>
        <v>220.5</v>
      </c>
      <c r="L176" s="34" t="s">
        <v>48</v>
      </c>
      <c r="M176" s="33" t="n">
        <f>220.7</f>
        <v>220.7</v>
      </c>
      <c r="N176" s="34" t="s">
        <v>48</v>
      </c>
      <c r="O176" s="33" t="n">
        <f>214.4</f>
        <v>214.4</v>
      </c>
      <c r="P176" s="34" t="s">
        <v>100</v>
      </c>
      <c r="Q176" s="33" t="n">
        <f>215.9</f>
        <v>215.9</v>
      </c>
      <c r="R176" s="34" t="s">
        <v>51</v>
      </c>
      <c r="S176" s="35" t="n">
        <f>216.37</f>
        <v>216.37</v>
      </c>
      <c r="T176" s="32" t="n">
        <f>23841400</f>
        <v>2.38414E7</v>
      </c>
      <c r="U176" s="32" t="n">
        <f>23000070</f>
        <v>2.300007E7</v>
      </c>
      <c r="V176" s="32" t="n">
        <f>5147292724</f>
        <v>5.147292724E9</v>
      </c>
      <c r="W176" s="32" t="n">
        <f>4963415134</f>
        <v>4.963415134E9</v>
      </c>
      <c r="X176" s="36" t="n">
        <f>20</f>
        <v>20.0</v>
      </c>
    </row>
    <row r="177">
      <c r="A177" s="27" t="s">
        <v>42</v>
      </c>
      <c r="B177" s="27" t="s">
        <v>576</v>
      </c>
      <c r="C177" s="27" t="s">
        <v>577</v>
      </c>
      <c r="D177" s="27" t="s">
        <v>578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239.9</f>
        <v>239.9</v>
      </c>
      <c r="L177" s="34" t="s">
        <v>48</v>
      </c>
      <c r="M177" s="33" t="n">
        <f>244.5</f>
        <v>244.5</v>
      </c>
      <c r="N177" s="34" t="s">
        <v>199</v>
      </c>
      <c r="O177" s="33" t="n">
        <f>234.4</f>
        <v>234.4</v>
      </c>
      <c r="P177" s="34" t="s">
        <v>454</v>
      </c>
      <c r="Q177" s="33" t="n">
        <f>242.2</f>
        <v>242.2</v>
      </c>
      <c r="R177" s="34" t="s">
        <v>51</v>
      </c>
      <c r="S177" s="35" t="n">
        <f>239.89</f>
        <v>239.89</v>
      </c>
      <c r="T177" s="32" t="n">
        <f>5283950</f>
        <v>5283950.0</v>
      </c>
      <c r="U177" s="32" t="n">
        <f>1100120</f>
        <v>1100120.0</v>
      </c>
      <c r="V177" s="32" t="n">
        <f>1259471657</f>
        <v>1.259471657E9</v>
      </c>
      <c r="W177" s="32" t="n">
        <f>260178940</f>
        <v>2.6017894E8</v>
      </c>
      <c r="X177" s="36" t="n">
        <f>20</f>
        <v>20.0</v>
      </c>
    </row>
    <row r="178">
      <c r="A178" s="27" t="s">
        <v>42</v>
      </c>
      <c r="B178" s="27" t="s">
        <v>579</v>
      </c>
      <c r="C178" s="27" t="s">
        <v>580</v>
      </c>
      <c r="D178" s="27" t="s">
        <v>581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249.7</f>
        <v>249.7</v>
      </c>
      <c r="L178" s="34" t="s">
        <v>48</v>
      </c>
      <c r="M178" s="33" t="n">
        <f>252.2</f>
        <v>252.2</v>
      </c>
      <c r="N178" s="34" t="s">
        <v>199</v>
      </c>
      <c r="O178" s="33" t="n">
        <f>241.8</f>
        <v>241.8</v>
      </c>
      <c r="P178" s="34" t="s">
        <v>50</v>
      </c>
      <c r="Q178" s="33" t="n">
        <f>250.5</f>
        <v>250.5</v>
      </c>
      <c r="R178" s="34" t="s">
        <v>51</v>
      </c>
      <c r="S178" s="35" t="n">
        <f>248.13</f>
        <v>248.13</v>
      </c>
      <c r="T178" s="32" t="n">
        <f>2363930</f>
        <v>2363930.0</v>
      </c>
      <c r="U178" s="32" t="n">
        <f>1580</f>
        <v>1580.0</v>
      </c>
      <c r="V178" s="32" t="n">
        <f>586013419</f>
        <v>5.86013419E8</v>
      </c>
      <c r="W178" s="32" t="n">
        <f>380758</f>
        <v>380758.0</v>
      </c>
      <c r="X178" s="36" t="n">
        <f>20</f>
        <v>20.0</v>
      </c>
    </row>
    <row r="179">
      <c r="A179" s="27" t="s">
        <v>42</v>
      </c>
      <c r="B179" s="27" t="s">
        <v>582</v>
      </c>
      <c r="C179" s="27" t="s">
        <v>583</v>
      </c>
      <c r="D179" s="27" t="s">
        <v>584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1.0</v>
      </c>
      <c r="K179" s="33" t="n">
        <f>2059</f>
        <v>2059.0</v>
      </c>
      <c r="L179" s="34" t="s">
        <v>48</v>
      </c>
      <c r="M179" s="33" t="n">
        <f>2088</f>
        <v>2088.0</v>
      </c>
      <c r="N179" s="34" t="s">
        <v>458</v>
      </c>
      <c r="O179" s="33" t="n">
        <f>2014</f>
        <v>2014.0</v>
      </c>
      <c r="P179" s="34" t="s">
        <v>156</v>
      </c>
      <c r="Q179" s="33" t="n">
        <f>2025</f>
        <v>2025.0</v>
      </c>
      <c r="R179" s="34" t="s">
        <v>51</v>
      </c>
      <c r="S179" s="35" t="n">
        <f>2034.5</f>
        <v>2034.5</v>
      </c>
      <c r="T179" s="32" t="n">
        <f>602115</f>
        <v>602115.0</v>
      </c>
      <c r="U179" s="32" t="n">
        <f>541006</f>
        <v>541006.0</v>
      </c>
      <c r="V179" s="32" t="n">
        <f>1227590743</f>
        <v>1.227590743E9</v>
      </c>
      <c r="W179" s="32" t="n">
        <f>1103497025</f>
        <v>1.103497025E9</v>
      </c>
      <c r="X179" s="36" t="n">
        <f>20</f>
        <v>20.0</v>
      </c>
    </row>
    <row r="180">
      <c r="A180" s="27" t="s">
        <v>42</v>
      </c>
      <c r="B180" s="27" t="s">
        <v>585</v>
      </c>
      <c r="C180" s="27" t="s">
        <v>586</v>
      </c>
      <c r="D180" s="27" t="s">
        <v>587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1.0</v>
      </c>
      <c r="K180" s="33" t="n">
        <f>1864</f>
        <v>1864.0</v>
      </c>
      <c r="L180" s="34" t="s">
        <v>48</v>
      </c>
      <c r="M180" s="33" t="n">
        <f>1917</f>
        <v>1917.0</v>
      </c>
      <c r="N180" s="34" t="s">
        <v>221</v>
      </c>
      <c r="O180" s="33" t="n">
        <f>1855</f>
        <v>1855.0</v>
      </c>
      <c r="P180" s="34" t="s">
        <v>302</v>
      </c>
      <c r="Q180" s="33" t="n">
        <f>1872</f>
        <v>1872.0</v>
      </c>
      <c r="R180" s="34" t="s">
        <v>51</v>
      </c>
      <c r="S180" s="35" t="n">
        <f>1874.35</f>
        <v>1874.35</v>
      </c>
      <c r="T180" s="32" t="n">
        <f>123140</f>
        <v>123140.0</v>
      </c>
      <c r="U180" s="32" t="n">
        <f>3</f>
        <v>3.0</v>
      </c>
      <c r="V180" s="32" t="n">
        <f>230393703</f>
        <v>2.30393703E8</v>
      </c>
      <c r="W180" s="32" t="n">
        <f>5629</f>
        <v>5629.0</v>
      </c>
      <c r="X180" s="36" t="n">
        <f>20</f>
        <v>20.0</v>
      </c>
    </row>
    <row r="181">
      <c r="A181" s="27" t="s">
        <v>42</v>
      </c>
      <c r="B181" s="27" t="s">
        <v>588</v>
      </c>
      <c r="C181" s="27" t="s">
        <v>589</v>
      </c>
      <c r="D181" s="27" t="s">
        <v>590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1.0</v>
      </c>
      <c r="K181" s="33" t="n">
        <f>1135</f>
        <v>1135.0</v>
      </c>
      <c r="L181" s="34" t="s">
        <v>48</v>
      </c>
      <c r="M181" s="33" t="n">
        <f>1210</f>
        <v>1210.0</v>
      </c>
      <c r="N181" s="34" t="s">
        <v>64</v>
      </c>
      <c r="O181" s="33" t="n">
        <f>1107</f>
        <v>1107.0</v>
      </c>
      <c r="P181" s="34" t="s">
        <v>50</v>
      </c>
      <c r="Q181" s="33" t="n">
        <f>1177</f>
        <v>1177.0</v>
      </c>
      <c r="R181" s="34" t="s">
        <v>51</v>
      </c>
      <c r="S181" s="35" t="n">
        <f>1172.45</f>
        <v>1172.45</v>
      </c>
      <c r="T181" s="32" t="n">
        <f>681959</f>
        <v>681959.0</v>
      </c>
      <c r="U181" s="32" t="n">
        <f>80340</f>
        <v>80340.0</v>
      </c>
      <c r="V181" s="32" t="n">
        <f>801404016</f>
        <v>8.01404016E8</v>
      </c>
      <c r="W181" s="32" t="n">
        <f>92557837</f>
        <v>9.2557837E7</v>
      </c>
      <c r="X181" s="36" t="n">
        <f>20</f>
        <v>20.0</v>
      </c>
    </row>
    <row r="182">
      <c r="A182" s="27" t="s">
        <v>42</v>
      </c>
      <c r="B182" s="27" t="s">
        <v>591</v>
      </c>
      <c r="C182" s="27" t="s">
        <v>592</v>
      </c>
      <c r="D182" s="27" t="s">
        <v>593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1.0</v>
      </c>
      <c r="K182" s="33" t="n">
        <f>1097</f>
        <v>1097.0</v>
      </c>
      <c r="L182" s="34" t="s">
        <v>48</v>
      </c>
      <c r="M182" s="33" t="n">
        <f>1101</f>
        <v>1101.0</v>
      </c>
      <c r="N182" s="34" t="s">
        <v>156</v>
      </c>
      <c r="O182" s="33" t="n">
        <f>1059</f>
        <v>1059.0</v>
      </c>
      <c r="P182" s="34" t="s">
        <v>64</v>
      </c>
      <c r="Q182" s="33" t="n">
        <f>1084</f>
        <v>1084.0</v>
      </c>
      <c r="R182" s="34" t="s">
        <v>51</v>
      </c>
      <c r="S182" s="35" t="n">
        <f>1078</f>
        <v>1078.0</v>
      </c>
      <c r="T182" s="32" t="n">
        <f>56953</f>
        <v>56953.0</v>
      </c>
      <c r="U182" s="32" t="str">
        <f>"－"</f>
        <v>－</v>
      </c>
      <c r="V182" s="32" t="n">
        <f>61320478</f>
        <v>6.1320478E7</v>
      </c>
      <c r="W182" s="32" t="str">
        <f>"－"</f>
        <v>－</v>
      </c>
      <c r="X182" s="36" t="n">
        <f>20</f>
        <v>20.0</v>
      </c>
    </row>
    <row r="183">
      <c r="A183" s="27" t="s">
        <v>42</v>
      </c>
      <c r="B183" s="27" t="s">
        <v>594</v>
      </c>
      <c r="C183" s="27" t="s">
        <v>595</v>
      </c>
      <c r="D183" s="27" t="s">
        <v>596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1.0</v>
      </c>
      <c r="K183" s="33" t="n">
        <f>980</f>
        <v>980.0</v>
      </c>
      <c r="L183" s="34" t="s">
        <v>48</v>
      </c>
      <c r="M183" s="33" t="n">
        <f>992</f>
        <v>992.0</v>
      </c>
      <c r="N183" s="34" t="s">
        <v>51</v>
      </c>
      <c r="O183" s="33" t="n">
        <f>957</f>
        <v>957.0</v>
      </c>
      <c r="P183" s="34" t="s">
        <v>50</v>
      </c>
      <c r="Q183" s="33" t="n">
        <f>981</f>
        <v>981.0</v>
      </c>
      <c r="R183" s="34" t="s">
        <v>51</v>
      </c>
      <c r="S183" s="35" t="n">
        <f>980.05</f>
        <v>980.05</v>
      </c>
      <c r="T183" s="32" t="n">
        <f>70833</f>
        <v>70833.0</v>
      </c>
      <c r="U183" s="32" t="str">
        <f>"－"</f>
        <v>－</v>
      </c>
      <c r="V183" s="32" t="n">
        <f>69336550</f>
        <v>6.933655E7</v>
      </c>
      <c r="W183" s="32" t="str">
        <f>"－"</f>
        <v>－</v>
      </c>
      <c r="X183" s="36" t="n">
        <f>20</f>
        <v>20.0</v>
      </c>
    </row>
    <row r="184">
      <c r="A184" s="27" t="s">
        <v>42</v>
      </c>
      <c r="B184" s="27" t="s">
        <v>597</v>
      </c>
      <c r="C184" s="27" t="s">
        <v>598</v>
      </c>
      <c r="D184" s="27" t="s">
        <v>599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190.4</f>
        <v>190.4</v>
      </c>
      <c r="L184" s="34" t="s">
        <v>48</v>
      </c>
      <c r="M184" s="33" t="n">
        <f>193.9</f>
        <v>193.9</v>
      </c>
      <c r="N184" s="34" t="s">
        <v>302</v>
      </c>
      <c r="O184" s="33" t="n">
        <f>184.7</f>
        <v>184.7</v>
      </c>
      <c r="P184" s="34" t="s">
        <v>90</v>
      </c>
      <c r="Q184" s="33" t="n">
        <f>185.6</f>
        <v>185.6</v>
      </c>
      <c r="R184" s="34" t="s">
        <v>51</v>
      </c>
      <c r="S184" s="35" t="n">
        <f>188.44</f>
        <v>188.44</v>
      </c>
      <c r="T184" s="32" t="n">
        <f>8165870</f>
        <v>8165870.0</v>
      </c>
      <c r="U184" s="32" t="n">
        <f>1645400</f>
        <v>1645400.0</v>
      </c>
      <c r="V184" s="32" t="n">
        <f>1543786038</f>
        <v>1.543786038E9</v>
      </c>
      <c r="W184" s="32" t="n">
        <f>310145935</f>
        <v>3.10145935E8</v>
      </c>
      <c r="X184" s="36" t="n">
        <f>20</f>
        <v>20.0</v>
      </c>
    </row>
    <row r="185">
      <c r="A185" s="27" t="s">
        <v>42</v>
      </c>
      <c r="B185" s="27" t="s">
        <v>600</v>
      </c>
      <c r="C185" s="27" t="s">
        <v>601</v>
      </c>
      <c r="D185" s="27" t="s">
        <v>602</v>
      </c>
      <c r="E185" s="28" t="s">
        <v>46</v>
      </c>
      <c r="F185" s="29" t="s">
        <v>46</v>
      </c>
      <c r="G185" s="30" t="s">
        <v>46</v>
      </c>
      <c r="H185" s="31"/>
      <c r="I185" s="31" t="s">
        <v>414</v>
      </c>
      <c r="J185" s="32" t="n">
        <v>1.0</v>
      </c>
      <c r="K185" s="33" t="n">
        <f>7699</f>
        <v>7699.0</v>
      </c>
      <c r="L185" s="34" t="s">
        <v>48</v>
      </c>
      <c r="M185" s="33" t="n">
        <f>8182</f>
        <v>8182.0</v>
      </c>
      <c r="N185" s="34" t="s">
        <v>199</v>
      </c>
      <c r="O185" s="33" t="n">
        <f>7213</f>
        <v>7213.0</v>
      </c>
      <c r="P185" s="34" t="s">
        <v>50</v>
      </c>
      <c r="Q185" s="33" t="n">
        <f>7726</f>
        <v>7726.0</v>
      </c>
      <c r="R185" s="34" t="s">
        <v>51</v>
      </c>
      <c r="S185" s="35" t="n">
        <f>7742.25</f>
        <v>7742.25</v>
      </c>
      <c r="T185" s="32" t="n">
        <f>51869</f>
        <v>51869.0</v>
      </c>
      <c r="U185" s="32" t="str">
        <f>"－"</f>
        <v>－</v>
      </c>
      <c r="V185" s="32" t="n">
        <f>406126988</f>
        <v>4.06126988E8</v>
      </c>
      <c r="W185" s="32" t="str">
        <f>"－"</f>
        <v>－</v>
      </c>
      <c r="X185" s="36" t="n">
        <f>20</f>
        <v>20.0</v>
      </c>
    </row>
    <row r="186">
      <c r="A186" s="27" t="s">
        <v>42</v>
      </c>
      <c r="B186" s="27" t="s">
        <v>603</v>
      </c>
      <c r="C186" s="27" t="s">
        <v>604</v>
      </c>
      <c r="D186" s="27" t="s">
        <v>605</v>
      </c>
      <c r="E186" s="28" t="s">
        <v>46</v>
      </c>
      <c r="F186" s="29" t="s">
        <v>46</v>
      </c>
      <c r="G186" s="30" t="s">
        <v>46</v>
      </c>
      <c r="H186" s="31"/>
      <c r="I186" s="31" t="s">
        <v>414</v>
      </c>
      <c r="J186" s="32" t="n">
        <v>1.0</v>
      </c>
      <c r="K186" s="33" t="n">
        <f>6095</f>
        <v>6095.0</v>
      </c>
      <c r="L186" s="34" t="s">
        <v>48</v>
      </c>
      <c r="M186" s="33" t="n">
        <f>6095</f>
        <v>6095.0</v>
      </c>
      <c r="N186" s="34" t="s">
        <v>48</v>
      </c>
      <c r="O186" s="33" t="n">
        <f>5631</f>
        <v>5631.0</v>
      </c>
      <c r="P186" s="34" t="s">
        <v>100</v>
      </c>
      <c r="Q186" s="33" t="n">
        <f>5809</f>
        <v>5809.0</v>
      </c>
      <c r="R186" s="34" t="s">
        <v>51</v>
      </c>
      <c r="S186" s="35" t="n">
        <f>5834.1</f>
        <v>5834.1</v>
      </c>
      <c r="T186" s="32" t="n">
        <f>4437</f>
        <v>4437.0</v>
      </c>
      <c r="U186" s="32" t="str">
        <f>"－"</f>
        <v>－</v>
      </c>
      <c r="V186" s="32" t="n">
        <f>25932532</f>
        <v>2.5932532E7</v>
      </c>
      <c r="W186" s="32" t="str">
        <f>"－"</f>
        <v>－</v>
      </c>
      <c r="X186" s="36" t="n">
        <f>20</f>
        <v>20.0</v>
      </c>
    </row>
    <row r="187">
      <c r="A187" s="27" t="s">
        <v>42</v>
      </c>
      <c r="B187" s="27" t="s">
        <v>606</v>
      </c>
      <c r="C187" s="27" t="s">
        <v>607</v>
      </c>
      <c r="D187" s="27" t="s">
        <v>608</v>
      </c>
      <c r="E187" s="28" t="s">
        <v>46</v>
      </c>
      <c r="F187" s="29" t="s">
        <v>46</v>
      </c>
      <c r="G187" s="30" t="s">
        <v>46</v>
      </c>
      <c r="H187" s="31"/>
      <c r="I187" s="31" t="s">
        <v>414</v>
      </c>
      <c r="J187" s="32" t="n">
        <v>1.0</v>
      </c>
      <c r="K187" s="33" t="n">
        <f>16535</f>
        <v>16535.0</v>
      </c>
      <c r="L187" s="34" t="s">
        <v>48</v>
      </c>
      <c r="M187" s="33" t="n">
        <f>16975</f>
        <v>16975.0</v>
      </c>
      <c r="N187" s="34" t="s">
        <v>458</v>
      </c>
      <c r="O187" s="33" t="n">
        <f>15100</f>
        <v>15100.0</v>
      </c>
      <c r="P187" s="34" t="s">
        <v>86</v>
      </c>
      <c r="Q187" s="33" t="n">
        <f>16205</f>
        <v>16205.0</v>
      </c>
      <c r="R187" s="34" t="s">
        <v>81</v>
      </c>
      <c r="S187" s="35" t="n">
        <f>16291.11</f>
        <v>16291.11</v>
      </c>
      <c r="T187" s="32" t="n">
        <f>3824</f>
        <v>3824.0</v>
      </c>
      <c r="U187" s="32" t="str">
        <f>"－"</f>
        <v>－</v>
      </c>
      <c r="V187" s="32" t="n">
        <f>61755360</f>
        <v>6.175536E7</v>
      </c>
      <c r="W187" s="32" t="str">
        <f>"－"</f>
        <v>－</v>
      </c>
      <c r="X187" s="36" t="n">
        <f>18</f>
        <v>18.0</v>
      </c>
    </row>
    <row r="188">
      <c r="A188" s="27" t="s">
        <v>42</v>
      </c>
      <c r="B188" s="27" t="s">
        <v>609</v>
      </c>
      <c r="C188" s="27" t="s">
        <v>610</v>
      </c>
      <c r="D188" s="27" t="s">
        <v>611</v>
      </c>
      <c r="E188" s="28" t="s">
        <v>46</v>
      </c>
      <c r="F188" s="29" t="s">
        <v>46</v>
      </c>
      <c r="G188" s="30" t="s">
        <v>46</v>
      </c>
      <c r="H188" s="31"/>
      <c r="I188" s="31" t="s">
        <v>414</v>
      </c>
      <c r="J188" s="32" t="n">
        <v>1.0</v>
      </c>
      <c r="K188" s="33" t="n">
        <f>6047</f>
        <v>6047.0</v>
      </c>
      <c r="L188" s="34" t="s">
        <v>48</v>
      </c>
      <c r="M188" s="33" t="n">
        <f>6174</f>
        <v>6174.0</v>
      </c>
      <c r="N188" s="34" t="s">
        <v>50</v>
      </c>
      <c r="O188" s="33" t="n">
        <f>5807</f>
        <v>5807.0</v>
      </c>
      <c r="P188" s="34" t="s">
        <v>100</v>
      </c>
      <c r="Q188" s="33" t="n">
        <f>6004</f>
        <v>6004.0</v>
      </c>
      <c r="R188" s="34" t="s">
        <v>51</v>
      </c>
      <c r="S188" s="35" t="n">
        <f>5998.65</f>
        <v>5998.65</v>
      </c>
      <c r="T188" s="32" t="n">
        <f>4245</f>
        <v>4245.0</v>
      </c>
      <c r="U188" s="32" t="str">
        <f>"－"</f>
        <v>－</v>
      </c>
      <c r="V188" s="32" t="n">
        <f>25291226</f>
        <v>2.5291226E7</v>
      </c>
      <c r="W188" s="32" t="str">
        <f>"－"</f>
        <v>－</v>
      </c>
      <c r="X188" s="36" t="n">
        <f>20</f>
        <v>20.0</v>
      </c>
    </row>
    <row r="189">
      <c r="A189" s="27" t="s">
        <v>42</v>
      </c>
      <c r="B189" s="27" t="s">
        <v>612</v>
      </c>
      <c r="C189" s="27" t="s">
        <v>613</v>
      </c>
      <c r="D189" s="27" t="s">
        <v>614</v>
      </c>
      <c r="E189" s="28" t="s">
        <v>46</v>
      </c>
      <c r="F189" s="29" t="s">
        <v>46</v>
      </c>
      <c r="G189" s="30" t="s">
        <v>46</v>
      </c>
      <c r="H189" s="31"/>
      <c r="I189" s="31" t="s">
        <v>414</v>
      </c>
      <c r="J189" s="32" t="n">
        <v>1.0</v>
      </c>
      <c r="K189" s="33" t="n">
        <f>98910</f>
        <v>98910.0</v>
      </c>
      <c r="L189" s="34" t="s">
        <v>48</v>
      </c>
      <c r="M189" s="33" t="n">
        <f>101450</f>
        <v>101450.0</v>
      </c>
      <c r="N189" s="34" t="s">
        <v>51</v>
      </c>
      <c r="O189" s="33" t="n">
        <f>97050</f>
        <v>97050.0</v>
      </c>
      <c r="P189" s="34" t="s">
        <v>86</v>
      </c>
      <c r="Q189" s="33" t="n">
        <f>101350</f>
        <v>101350.0</v>
      </c>
      <c r="R189" s="34" t="s">
        <v>51</v>
      </c>
      <c r="S189" s="35" t="n">
        <f>99465</f>
        <v>99465.0</v>
      </c>
      <c r="T189" s="32" t="n">
        <f>80020</f>
        <v>80020.0</v>
      </c>
      <c r="U189" s="32" t="n">
        <f>300</f>
        <v>300.0</v>
      </c>
      <c r="V189" s="32" t="n">
        <f>7950319000</f>
        <v>7.950319E9</v>
      </c>
      <c r="W189" s="32" t="n">
        <f>29624100</f>
        <v>2.96241E7</v>
      </c>
      <c r="X189" s="36" t="n">
        <f>20</f>
        <v>20.0</v>
      </c>
    </row>
    <row r="190">
      <c r="A190" s="27" t="s">
        <v>42</v>
      </c>
      <c r="B190" s="27" t="s">
        <v>615</v>
      </c>
      <c r="C190" s="27" t="s">
        <v>616</v>
      </c>
      <c r="D190" s="27" t="s">
        <v>617</v>
      </c>
      <c r="E190" s="28" t="s">
        <v>46</v>
      </c>
      <c r="F190" s="29" t="s">
        <v>46</v>
      </c>
      <c r="G190" s="30" t="s">
        <v>46</v>
      </c>
      <c r="H190" s="31"/>
      <c r="I190" s="31" t="s">
        <v>414</v>
      </c>
      <c r="J190" s="32" t="n">
        <v>1.0</v>
      </c>
      <c r="K190" s="33" t="n">
        <f>1994</f>
        <v>1994.0</v>
      </c>
      <c r="L190" s="34" t="s">
        <v>48</v>
      </c>
      <c r="M190" s="33" t="n">
        <f>2016</f>
        <v>2016.0</v>
      </c>
      <c r="N190" s="34" t="s">
        <v>50</v>
      </c>
      <c r="O190" s="33" t="n">
        <f>1948</f>
        <v>1948.0</v>
      </c>
      <c r="P190" s="34" t="s">
        <v>77</v>
      </c>
      <c r="Q190" s="33" t="n">
        <f>1962</f>
        <v>1962.0</v>
      </c>
      <c r="R190" s="34" t="s">
        <v>51</v>
      </c>
      <c r="S190" s="35" t="n">
        <f>1977.45</f>
        <v>1977.45</v>
      </c>
      <c r="T190" s="32" t="n">
        <f>17311</f>
        <v>17311.0</v>
      </c>
      <c r="U190" s="32" t="str">
        <f>"－"</f>
        <v>－</v>
      </c>
      <c r="V190" s="32" t="n">
        <f>34064373</f>
        <v>3.4064373E7</v>
      </c>
      <c r="W190" s="32" t="str">
        <f>"－"</f>
        <v>－</v>
      </c>
      <c r="X190" s="36" t="n">
        <f>20</f>
        <v>20.0</v>
      </c>
    </row>
    <row r="191">
      <c r="A191" s="27" t="s">
        <v>42</v>
      </c>
      <c r="B191" s="27" t="s">
        <v>618</v>
      </c>
      <c r="C191" s="27" t="s">
        <v>619</v>
      </c>
      <c r="D191" s="27" t="s">
        <v>620</v>
      </c>
      <c r="E191" s="28" t="s">
        <v>46</v>
      </c>
      <c r="F191" s="29" t="s">
        <v>46</v>
      </c>
      <c r="G191" s="30" t="s">
        <v>46</v>
      </c>
      <c r="H191" s="31"/>
      <c r="I191" s="31" t="s">
        <v>414</v>
      </c>
      <c r="J191" s="32" t="n">
        <v>1.0</v>
      </c>
      <c r="K191" s="33" t="n">
        <f>1670</f>
        <v>1670.0</v>
      </c>
      <c r="L191" s="34" t="s">
        <v>48</v>
      </c>
      <c r="M191" s="33" t="n">
        <f>1674</f>
        <v>1674.0</v>
      </c>
      <c r="N191" s="34" t="s">
        <v>48</v>
      </c>
      <c r="O191" s="33" t="n">
        <f>1385</f>
        <v>1385.0</v>
      </c>
      <c r="P191" s="34" t="s">
        <v>49</v>
      </c>
      <c r="Q191" s="33" t="n">
        <f>1475</f>
        <v>1475.0</v>
      </c>
      <c r="R191" s="34" t="s">
        <v>51</v>
      </c>
      <c r="S191" s="35" t="n">
        <f>1467.25</f>
        <v>1467.25</v>
      </c>
      <c r="T191" s="32" t="n">
        <f>6302089</f>
        <v>6302089.0</v>
      </c>
      <c r="U191" s="32" t="n">
        <f>691450</f>
        <v>691450.0</v>
      </c>
      <c r="V191" s="32" t="n">
        <f>9157405479</f>
        <v>9.157405479E9</v>
      </c>
      <c r="W191" s="32" t="n">
        <f>923479215</f>
        <v>9.23479215E8</v>
      </c>
      <c r="X191" s="36" t="n">
        <f>20</f>
        <v>20.0</v>
      </c>
    </row>
    <row r="192">
      <c r="A192" s="27" t="s">
        <v>42</v>
      </c>
      <c r="B192" s="27" t="s">
        <v>621</v>
      </c>
      <c r="C192" s="27" t="s">
        <v>622</v>
      </c>
      <c r="D192" s="27" t="s">
        <v>623</v>
      </c>
      <c r="E192" s="28" t="s">
        <v>46</v>
      </c>
      <c r="F192" s="29" t="s">
        <v>46</v>
      </c>
      <c r="G192" s="30" t="s">
        <v>46</v>
      </c>
      <c r="H192" s="31"/>
      <c r="I192" s="31" t="s">
        <v>414</v>
      </c>
      <c r="J192" s="32" t="n">
        <v>1.0</v>
      </c>
      <c r="K192" s="33" t="n">
        <f>876</f>
        <v>876.0</v>
      </c>
      <c r="L192" s="34" t="s">
        <v>48</v>
      </c>
      <c r="M192" s="33" t="n">
        <f>940</f>
        <v>940.0</v>
      </c>
      <c r="N192" s="34" t="s">
        <v>100</v>
      </c>
      <c r="O192" s="33" t="n">
        <f>874</f>
        <v>874.0</v>
      </c>
      <c r="P192" s="34" t="s">
        <v>48</v>
      </c>
      <c r="Q192" s="33" t="n">
        <f>910</f>
        <v>910.0</v>
      </c>
      <c r="R192" s="34" t="s">
        <v>51</v>
      </c>
      <c r="S192" s="35" t="n">
        <f>916.1</f>
        <v>916.1</v>
      </c>
      <c r="T192" s="32" t="n">
        <f>745843</f>
        <v>745843.0</v>
      </c>
      <c r="U192" s="32" t="str">
        <f>"－"</f>
        <v>－</v>
      </c>
      <c r="V192" s="32" t="n">
        <f>681920446</f>
        <v>6.81920446E8</v>
      </c>
      <c r="W192" s="32" t="str">
        <f>"－"</f>
        <v>－</v>
      </c>
      <c r="X192" s="36" t="n">
        <f>20</f>
        <v>20.0</v>
      </c>
    </row>
    <row r="193">
      <c r="A193" s="27" t="s">
        <v>42</v>
      </c>
      <c r="B193" s="27" t="s">
        <v>624</v>
      </c>
      <c r="C193" s="27" t="s">
        <v>625</v>
      </c>
      <c r="D193" s="27" t="s">
        <v>626</v>
      </c>
      <c r="E193" s="28" t="s">
        <v>46</v>
      </c>
      <c r="F193" s="29" t="s">
        <v>46</v>
      </c>
      <c r="G193" s="30" t="s">
        <v>46</v>
      </c>
      <c r="H193" s="31"/>
      <c r="I193" s="31" t="s">
        <v>414</v>
      </c>
      <c r="J193" s="32" t="n">
        <v>1.0</v>
      </c>
      <c r="K193" s="33" t="n">
        <f>30540</f>
        <v>30540.0</v>
      </c>
      <c r="L193" s="34" t="s">
        <v>48</v>
      </c>
      <c r="M193" s="33" t="n">
        <f>32170</f>
        <v>32170.0</v>
      </c>
      <c r="N193" s="34" t="s">
        <v>199</v>
      </c>
      <c r="O193" s="33" t="n">
        <f>29455</f>
        <v>29455.0</v>
      </c>
      <c r="P193" s="34" t="s">
        <v>50</v>
      </c>
      <c r="Q193" s="33" t="n">
        <f>31990</f>
        <v>31990.0</v>
      </c>
      <c r="R193" s="34" t="s">
        <v>51</v>
      </c>
      <c r="S193" s="35" t="n">
        <f>30976.5</f>
        <v>30976.5</v>
      </c>
      <c r="T193" s="32" t="n">
        <f>20223</f>
        <v>20223.0</v>
      </c>
      <c r="U193" s="32" t="n">
        <f>1</f>
        <v>1.0</v>
      </c>
      <c r="V193" s="32" t="n">
        <f>629304255</f>
        <v>6.29304255E8</v>
      </c>
      <c r="W193" s="32" t="n">
        <f>30560</f>
        <v>30560.0</v>
      </c>
      <c r="X193" s="36" t="n">
        <f>20</f>
        <v>20.0</v>
      </c>
    </row>
    <row r="194">
      <c r="A194" s="27" t="s">
        <v>42</v>
      </c>
      <c r="B194" s="27" t="s">
        <v>627</v>
      </c>
      <c r="C194" s="27" t="s">
        <v>628</v>
      </c>
      <c r="D194" s="27" t="s">
        <v>629</v>
      </c>
      <c r="E194" s="28" t="s">
        <v>46</v>
      </c>
      <c r="F194" s="29" t="s">
        <v>46</v>
      </c>
      <c r="G194" s="30" t="s">
        <v>46</v>
      </c>
      <c r="H194" s="31"/>
      <c r="I194" s="31" t="s">
        <v>414</v>
      </c>
      <c r="J194" s="32" t="n">
        <v>1.0</v>
      </c>
      <c r="K194" s="33" t="n">
        <f>2303</f>
        <v>2303.0</v>
      </c>
      <c r="L194" s="34" t="s">
        <v>48</v>
      </c>
      <c r="M194" s="33" t="n">
        <f>2349</f>
        <v>2349.0</v>
      </c>
      <c r="N194" s="34" t="s">
        <v>50</v>
      </c>
      <c r="O194" s="33" t="n">
        <f>2227</f>
        <v>2227.0</v>
      </c>
      <c r="P194" s="34" t="s">
        <v>81</v>
      </c>
      <c r="Q194" s="33" t="n">
        <f>2239</f>
        <v>2239.0</v>
      </c>
      <c r="R194" s="34" t="s">
        <v>51</v>
      </c>
      <c r="S194" s="35" t="n">
        <f>2278.2</f>
        <v>2278.2</v>
      </c>
      <c r="T194" s="32" t="n">
        <f>141065</f>
        <v>141065.0</v>
      </c>
      <c r="U194" s="32" t="str">
        <f>"－"</f>
        <v>－</v>
      </c>
      <c r="V194" s="32" t="n">
        <f>320622975</f>
        <v>3.20622975E8</v>
      </c>
      <c r="W194" s="32" t="str">
        <f>"－"</f>
        <v>－</v>
      </c>
      <c r="X194" s="36" t="n">
        <f>20</f>
        <v>20.0</v>
      </c>
    </row>
    <row r="195">
      <c r="A195" s="27" t="s">
        <v>42</v>
      </c>
      <c r="B195" s="27" t="s">
        <v>630</v>
      </c>
      <c r="C195" s="27" t="s">
        <v>631</v>
      </c>
      <c r="D195" s="27" t="s">
        <v>632</v>
      </c>
      <c r="E195" s="28" t="s">
        <v>46</v>
      </c>
      <c r="F195" s="29" t="s">
        <v>46</v>
      </c>
      <c r="G195" s="30" t="s">
        <v>46</v>
      </c>
      <c r="H195" s="31"/>
      <c r="I195" s="31" t="s">
        <v>414</v>
      </c>
      <c r="J195" s="32" t="n">
        <v>1.0</v>
      </c>
      <c r="K195" s="33" t="n">
        <f>7998</f>
        <v>7998.0</v>
      </c>
      <c r="L195" s="34" t="s">
        <v>48</v>
      </c>
      <c r="M195" s="33" t="n">
        <f>8452</f>
        <v>8452.0</v>
      </c>
      <c r="N195" s="34" t="s">
        <v>49</v>
      </c>
      <c r="O195" s="33" t="n">
        <f>7833</f>
        <v>7833.0</v>
      </c>
      <c r="P195" s="34" t="s">
        <v>50</v>
      </c>
      <c r="Q195" s="33" t="n">
        <f>8207</f>
        <v>8207.0</v>
      </c>
      <c r="R195" s="34" t="s">
        <v>51</v>
      </c>
      <c r="S195" s="35" t="n">
        <f>8192.55</f>
        <v>8192.55</v>
      </c>
      <c r="T195" s="32" t="n">
        <f>42652</f>
        <v>42652.0</v>
      </c>
      <c r="U195" s="32" t="str">
        <f>"－"</f>
        <v>－</v>
      </c>
      <c r="V195" s="32" t="n">
        <f>350974942</f>
        <v>3.50974942E8</v>
      </c>
      <c r="W195" s="32" t="str">
        <f>"－"</f>
        <v>－</v>
      </c>
      <c r="X195" s="36" t="n">
        <f>20</f>
        <v>20.0</v>
      </c>
    </row>
    <row r="196">
      <c r="A196" s="27" t="s">
        <v>42</v>
      </c>
      <c r="B196" s="27" t="s">
        <v>633</v>
      </c>
      <c r="C196" s="27" t="s">
        <v>634</v>
      </c>
      <c r="D196" s="27" t="s">
        <v>635</v>
      </c>
      <c r="E196" s="28" t="s">
        <v>46</v>
      </c>
      <c r="F196" s="29" t="s">
        <v>46</v>
      </c>
      <c r="G196" s="30" t="s">
        <v>46</v>
      </c>
      <c r="H196" s="31"/>
      <c r="I196" s="31" t="s">
        <v>414</v>
      </c>
      <c r="J196" s="32" t="n">
        <v>1.0</v>
      </c>
      <c r="K196" s="33" t="n">
        <f>21965</f>
        <v>21965.0</v>
      </c>
      <c r="L196" s="34" t="s">
        <v>48</v>
      </c>
      <c r="M196" s="33" t="n">
        <f>22400</f>
        <v>22400.0</v>
      </c>
      <c r="N196" s="34" t="s">
        <v>199</v>
      </c>
      <c r="O196" s="33" t="n">
        <f>21500</f>
        <v>21500.0</v>
      </c>
      <c r="P196" s="34" t="s">
        <v>50</v>
      </c>
      <c r="Q196" s="33" t="n">
        <f>22270</f>
        <v>22270.0</v>
      </c>
      <c r="R196" s="34" t="s">
        <v>51</v>
      </c>
      <c r="S196" s="35" t="n">
        <f>21996.94</f>
        <v>21996.94</v>
      </c>
      <c r="T196" s="32" t="n">
        <f>572</f>
        <v>572.0</v>
      </c>
      <c r="U196" s="32" t="str">
        <f>"－"</f>
        <v>－</v>
      </c>
      <c r="V196" s="32" t="n">
        <f>12551590</f>
        <v>1.255159E7</v>
      </c>
      <c r="W196" s="32" t="str">
        <f>"－"</f>
        <v>－</v>
      </c>
      <c r="X196" s="36" t="n">
        <f>18</f>
        <v>18.0</v>
      </c>
    </row>
    <row r="197">
      <c r="A197" s="27" t="s">
        <v>42</v>
      </c>
      <c r="B197" s="27" t="s">
        <v>636</v>
      </c>
      <c r="C197" s="27" t="s">
        <v>637</v>
      </c>
      <c r="D197" s="27" t="s">
        <v>638</v>
      </c>
      <c r="E197" s="28" t="s">
        <v>46</v>
      </c>
      <c r="F197" s="29" t="s">
        <v>46</v>
      </c>
      <c r="G197" s="30" t="s">
        <v>46</v>
      </c>
      <c r="H197" s="31"/>
      <c r="I197" s="31" t="s">
        <v>414</v>
      </c>
      <c r="J197" s="32" t="n">
        <v>1.0</v>
      </c>
      <c r="K197" s="33" t="n">
        <f>29430</f>
        <v>29430.0</v>
      </c>
      <c r="L197" s="34" t="s">
        <v>48</v>
      </c>
      <c r="M197" s="33" t="n">
        <f>29860</f>
        <v>29860.0</v>
      </c>
      <c r="N197" s="34" t="s">
        <v>199</v>
      </c>
      <c r="O197" s="33" t="n">
        <f>28710</f>
        <v>28710.0</v>
      </c>
      <c r="P197" s="34" t="s">
        <v>50</v>
      </c>
      <c r="Q197" s="33" t="n">
        <f>29570</f>
        <v>29570.0</v>
      </c>
      <c r="R197" s="34" t="s">
        <v>51</v>
      </c>
      <c r="S197" s="35" t="n">
        <f>29437.5</f>
        <v>29437.5</v>
      </c>
      <c r="T197" s="32" t="n">
        <f>5841</f>
        <v>5841.0</v>
      </c>
      <c r="U197" s="32" t="str">
        <f>"－"</f>
        <v>－</v>
      </c>
      <c r="V197" s="32" t="n">
        <f>171669225</f>
        <v>1.71669225E8</v>
      </c>
      <c r="W197" s="32" t="str">
        <f>"－"</f>
        <v>－</v>
      </c>
      <c r="X197" s="36" t="n">
        <f>20</f>
        <v>20.0</v>
      </c>
    </row>
    <row r="198">
      <c r="A198" s="27" t="s">
        <v>42</v>
      </c>
      <c r="B198" s="27" t="s">
        <v>639</v>
      </c>
      <c r="C198" s="27" t="s">
        <v>640</v>
      </c>
      <c r="D198" s="27" t="s">
        <v>641</v>
      </c>
      <c r="E198" s="28" t="s">
        <v>46</v>
      </c>
      <c r="F198" s="29" t="s">
        <v>46</v>
      </c>
      <c r="G198" s="30" t="s">
        <v>46</v>
      </c>
      <c r="H198" s="31"/>
      <c r="I198" s="31" t="s">
        <v>414</v>
      </c>
      <c r="J198" s="32" t="n">
        <v>1.0</v>
      </c>
      <c r="K198" s="33" t="n">
        <f>17650</f>
        <v>17650.0</v>
      </c>
      <c r="L198" s="34" t="s">
        <v>50</v>
      </c>
      <c r="M198" s="33" t="n">
        <f>18200</f>
        <v>18200.0</v>
      </c>
      <c r="N198" s="34" t="s">
        <v>156</v>
      </c>
      <c r="O198" s="33" t="n">
        <f>17535</f>
        <v>17535.0</v>
      </c>
      <c r="P198" s="34" t="s">
        <v>116</v>
      </c>
      <c r="Q198" s="33" t="n">
        <f>18200</f>
        <v>18200.0</v>
      </c>
      <c r="R198" s="34" t="s">
        <v>156</v>
      </c>
      <c r="S198" s="35" t="n">
        <f>17882</f>
        <v>17882.0</v>
      </c>
      <c r="T198" s="32" t="n">
        <f>1215</f>
        <v>1215.0</v>
      </c>
      <c r="U198" s="32" t="str">
        <f>"－"</f>
        <v>－</v>
      </c>
      <c r="V198" s="32" t="n">
        <f>21835915</f>
        <v>2.1835915E7</v>
      </c>
      <c r="W198" s="32" t="str">
        <f>"－"</f>
        <v>－</v>
      </c>
      <c r="X198" s="36" t="n">
        <f>10</f>
        <v>10.0</v>
      </c>
    </row>
    <row r="199">
      <c r="A199" s="27" t="s">
        <v>42</v>
      </c>
      <c r="B199" s="27" t="s">
        <v>642</v>
      </c>
      <c r="C199" s="27" t="s">
        <v>643</v>
      </c>
      <c r="D199" s="27" t="s">
        <v>644</v>
      </c>
      <c r="E199" s="28" t="s">
        <v>46</v>
      </c>
      <c r="F199" s="29" t="s">
        <v>46</v>
      </c>
      <c r="G199" s="30" t="s">
        <v>46</v>
      </c>
      <c r="H199" s="31"/>
      <c r="I199" s="31" t="s">
        <v>414</v>
      </c>
      <c r="J199" s="32" t="n">
        <v>1.0</v>
      </c>
      <c r="K199" s="33" t="n">
        <f>29105</f>
        <v>29105.0</v>
      </c>
      <c r="L199" s="34" t="s">
        <v>48</v>
      </c>
      <c r="M199" s="33" t="n">
        <f>29950</f>
        <v>29950.0</v>
      </c>
      <c r="N199" s="34" t="s">
        <v>86</v>
      </c>
      <c r="O199" s="33" t="n">
        <f>27835</f>
        <v>27835.0</v>
      </c>
      <c r="P199" s="34" t="s">
        <v>51</v>
      </c>
      <c r="Q199" s="33" t="n">
        <f>28310</f>
        <v>28310.0</v>
      </c>
      <c r="R199" s="34" t="s">
        <v>51</v>
      </c>
      <c r="S199" s="35" t="n">
        <f>28771.75</f>
        <v>28771.75</v>
      </c>
      <c r="T199" s="32" t="n">
        <f>45869</f>
        <v>45869.0</v>
      </c>
      <c r="U199" s="32" t="n">
        <f>3</f>
        <v>3.0</v>
      </c>
      <c r="V199" s="32" t="n">
        <f>1324530810</f>
        <v>1.32453081E9</v>
      </c>
      <c r="W199" s="32" t="n">
        <f>85650</f>
        <v>85650.0</v>
      </c>
      <c r="X199" s="36" t="n">
        <f>20</f>
        <v>20.0</v>
      </c>
    </row>
    <row r="200">
      <c r="A200" s="27" t="s">
        <v>42</v>
      </c>
      <c r="B200" s="27" t="s">
        <v>645</v>
      </c>
      <c r="C200" s="27" t="s">
        <v>646</v>
      </c>
      <c r="D200" s="27" t="s">
        <v>647</v>
      </c>
      <c r="E200" s="28" t="s">
        <v>46</v>
      </c>
      <c r="F200" s="29" t="s">
        <v>46</v>
      </c>
      <c r="G200" s="30" t="s">
        <v>46</v>
      </c>
      <c r="H200" s="31"/>
      <c r="I200" s="31" t="s">
        <v>414</v>
      </c>
      <c r="J200" s="32" t="n">
        <v>1.0</v>
      </c>
      <c r="K200" s="33" t="n">
        <f>3406</f>
        <v>3406.0</v>
      </c>
      <c r="L200" s="34" t="s">
        <v>48</v>
      </c>
      <c r="M200" s="33" t="n">
        <f>3452</f>
        <v>3452.0</v>
      </c>
      <c r="N200" s="34" t="s">
        <v>48</v>
      </c>
      <c r="O200" s="33" t="n">
        <f>3245</f>
        <v>3245.0</v>
      </c>
      <c r="P200" s="34" t="s">
        <v>199</v>
      </c>
      <c r="Q200" s="33" t="n">
        <f>3388</f>
        <v>3388.0</v>
      </c>
      <c r="R200" s="34" t="s">
        <v>51</v>
      </c>
      <c r="S200" s="35" t="n">
        <f>3350.1</f>
        <v>3350.1</v>
      </c>
      <c r="T200" s="32" t="n">
        <f>3195</f>
        <v>3195.0</v>
      </c>
      <c r="U200" s="32" t="str">
        <f>"－"</f>
        <v>－</v>
      </c>
      <c r="V200" s="32" t="n">
        <f>10704598</f>
        <v>1.0704598E7</v>
      </c>
      <c r="W200" s="32" t="str">
        <f>"－"</f>
        <v>－</v>
      </c>
      <c r="X200" s="36" t="n">
        <f>20</f>
        <v>20.0</v>
      </c>
    </row>
    <row r="201">
      <c r="A201" s="27" t="s">
        <v>42</v>
      </c>
      <c r="B201" s="27" t="s">
        <v>648</v>
      </c>
      <c r="C201" s="27" t="s">
        <v>649</v>
      </c>
      <c r="D201" s="27" t="s">
        <v>650</v>
      </c>
      <c r="E201" s="28" t="s">
        <v>46</v>
      </c>
      <c r="F201" s="29" t="s">
        <v>46</v>
      </c>
      <c r="G201" s="30" t="s">
        <v>46</v>
      </c>
      <c r="H201" s="31"/>
      <c r="I201" s="31" t="s">
        <v>414</v>
      </c>
      <c r="J201" s="32" t="n">
        <v>1.0</v>
      </c>
      <c r="K201" s="33" t="n">
        <f>34000</f>
        <v>34000.0</v>
      </c>
      <c r="L201" s="34" t="s">
        <v>48</v>
      </c>
      <c r="M201" s="33" t="n">
        <f>36160</f>
        <v>36160.0</v>
      </c>
      <c r="N201" s="34" t="s">
        <v>156</v>
      </c>
      <c r="O201" s="33" t="n">
        <f>33030</f>
        <v>33030.0</v>
      </c>
      <c r="P201" s="34" t="s">
        <v>50</v>
      </c>
      <c r="Q201" s="33" t="n">
        <f>35900</f>
        <v>35900.0</v>
      </c>
      <c r="R201" s="34" t="s">
        <v>77</v>
      </c>
      <c r="S201" s="35" t="n">
        <f>35135.33</f>
        <v>35135.33</v>
      </c>
      <c r="T201" s="32" t="n">
        <f>9745</f>
        <v>9745.0</v>
      </c>
      <c r="U201" s="32" t="str">
        <f>"－"</f>
        <v>－</v>
      </c>
      <c r="V201" s="32" t="n">
        <f>339208290</f>
        <v>3.3920829E8</v>
      </c>
      <c r="W201" s="32" t="str">
        <f>"－"</f>
        <v>－</v>
      </c>
      <c r="X201" s="36" t="n">
        <f>15</f>
        <v>15.0</v>
      </c>
    </row>
    <row r="202">
      <c r="A202" s="27" t="s">
        <v>42</v>
      </c>
      <c r="B202" s="27" t="s">
        <v>651</v>
      </c>
      <c r="C202" s="27" t="s">
        <v>652</v>
      </c>
      <c r="D202" s="27" t="s">
        <v>653</v>
      </c>
      <c r="E202" s="28" t="s">
        <v>46</v>
      </c>
      <c r="F202" s="29" t="s">
        <v>46</v>
      </c>
      <c r="G202" s="30" t="s">
        <v>46</v>
      </c>
      <c r="H202" s="31"/>
      <c r="I202" s="31" t="s">
        <v>414</v>
      </c>
      <c r="J202" s="32" t="n">
        <v>1.0</v>
      </c>
      <c r="K202" s="33" t="n">
        <f>22400</f>
        <v>22400.0</v>
      </c>
      <c r="L202" s="34" t="s">
        <v>50</v>
      </c>
      <c r="M202" s="33" t="n">
        <f>24040</f>
        <v>24040.0</v>
      </c>
      <c r="N202" s="34" t="s">
        <v>81</v>
      </c>
      <c r="O202" s="33" t="n">
        <f>22400</f>
        <v>22400.0</v>
      </c>
      <c r="P202" s="34" t="s">
        <v>50</v>
      </c>
      <c r="Q202" s="33" t="n">
        <f>23765</f>
        <v>23765.0</v>
      </c>
      <c r="R202" s="34" t="s">
        <v>51</v>
      </c>
      <c r="S202" s="35" t="n">
        <f>23326.88</f>
        <v>23326.88</v>
      </c>
      <c r="T202" s="32" t="n">
        <f>9337</f>
        <v>9337.0</v>
      </c>
      <c r="U202" s="32" t="str">
        <f>"－"</f>
        <v>－</v>
      </c>
      <c r="V202" s="32" t="n">
        <f>223729855</f>
        <v>2.23729855E8</v>
      </c>
      <c r="W202" s="32" t="str">
        <f>"－"</f>
        <v>－</v>
      </c>
      <c r="X202" s="36" t="n">
        <f>8</f>
        <v>8.0</v>
      </c>
    </row>
    <row r="203">
      <c r="A203" s="27" t="s">
        <v>42</v>
      </c>
      <c r="B203" s="27" t="s">
        <v>654</v>
      </c>
      <c r="C203" s="27" t="s">
        <v>655</v>
      </c>
      <c r="D203" s="27" t="s">
        <v>656</v>
      </c>
      <c r="E203" s="28" t="s">
        <v>46</v>
      </c>
      <c r="F203" s="29" t="s">
        <v>46</v>
      </c>
      <c r="G203" s="30" t="s">
        <v>46</v>
      </c>
      <c r="H203" s="31"/>
      <c r="I203" s="31" t="s">
        <v>414</v>
      </c>
      <c r="J203" s="32" t="n">
        <v>1.0</v>
      </c>
      <c r="K203" s="33" t="n">
        <f>39200</f>
        <v>39200.0</v>
      </c>
      <c r="L203" s="34" t="s">
        <v>50</v>
      </c>
      <c r="M203" s="33" t="n">
        <f>41830</f>
        <v>41830.0</v>
      </c>
      <c r="N203" s="34" t="s">
        <v>156</v>
      </c>
      <c r="O203" s="33" t="n">
        <f>39200</f>
        <v>39200.0</v>
      </c>
      <c r="P203" s="34" t="s">
        <v>50</v>
      </c>
      <c r="Q203" s="33" t="n">
        <f>41560</f>
        <v>41560.0</v>
      </c>
      <c r="R203" s="34" t="s">
        <v>51</v>
      </c>
      <c r="S203" s="35" t="n">
        <f>40906</f>
        <v>40906.0</v>
      </c>
      <c r="T203" s="32" t="n">
        <f>1165</f>
        <v>1165.0</v>
      </c>
      <c r="U203" s="32" t="str">
        <f>"－"</f>
        <v>－</v>
      </c>
      <c r="V203" s="32" t="n">
        <f>48476680</f>
        <v>4.847668E7</v>
      </c>
      <c r="W203" s="32" t="str">
        <f>"－"</f>
        <v>－</v>
      </c>
      <c r="X203" s="36" t="n">
        <f>10</f>
        <v>10.0</v>
      </c>
    </row>
    <row r="204">
      <c r="A204" s="27" t="s">
        <v>42</v>
      </c>
      <c r="B204" s="27" t="s">
        <v>657</v>
      </c>
      <c r="C204" s="27" t="s">
        <v>658</v>
      </c>
      <c r="D204" s="27" t="s">
        <v>659</v>
      </c>
      <c r="E204" s="28" t="s">
        <v>46</v>
      </c>
      <c r="F204" s="29" t="s">
        <v>46</v>
      </c>
      <c r="G204" s="30" t="s">
        <v>46</v>
      </c>
      <c r="H204" s="31"/>
      <c r="I204" s="31" t="s">
        <v>414</v>
      </c>
      <c r="J204" s="32" t="n">
        <v>1.0</v>
      </c>
      <c r="K204" s="33" t="n">
        <f>22360</f>
        <v>22360.0</v>
      </c>
      <c r="L204" s="34" t="s">
        <v>116</v>
      </c>
      <c r="M204" s="33" t="n">
        <f>22840</f>
        <v>22840.0</v>
      </c>
      <c r="N204" s="34" t="s">
        <v>51</v>
      </c>
      <c r="O204" s="33" t="n">
        <f>22020</f>
        <v>22020.0</v>
      </c>
      <c r="P204" s="34" t="s">
        <v>90</v>
      </c>
      <c r="Q204" s="33" t="n">
        <f>22840</f>
        <v>22840.0</v>
      </c>
      <c r="R204" s="34" t="s">
        <v>51</v>
      </c>
      <c r="S204" s="35" t="n">
        <f>22488.18</f>
        <v>22488.18</v>
      </c>
      <c r="T204" s="32" t="n">
        <f>2048</f>
        <v>2048.0</v>
      </c>
      <c r="U204" s="32" t="str">
        <f>"－"</f>
        <v>－</v>
      </c>
      <c r="V204" s="32" t="n">
        <f>46760745</f>
        <v>4.6760745E7</v>
      </c>
      <c r="W204" s="32" t="str">
        <f>"－"</f>
        <v>－</v>
      </c>
      <c r="X204" s="36" t="n">
        <f>11</f>
        <v>11.0</v>
      </c>
    </row>
    <row r="205">
      <c r="A205" s="27" t="s">
        <v>42</v>
      </c>
      <c r="B205" s="27" t="s">
        <v>660</v>
      </c>
      <c r="C205" s="27" t="s">
        <v>661</v>
      </c>
      <c r="D205" s="27" t="s">
        <v>662</v>
      </c>
      <c r="E205" s="28" t="s">
        <v>46</v>
      </c>
      <c r="F205" s="29" t="s">
        <v>46</v>
      </c>
      <c r="G205" s="30" t="s">
        <v>46</v>
      </c>
      <c r="H205" s="31"/>
      <c r="I205" s="31" t="s">
        <v>414</v>
      </c>
      <c r="J205" s="32" t="n">
        <v>1.0</v>
      </c>
      <c r="K205" s="33" t="n">
        <f>21440</f>
        <v>21440.0</v>
      </c>
      <c r="L205" s="34" t="s">
        <v>48</v>
      </c>
      <c r="M205" s="33" t="n">
        <f>22760</f>
        <v>22760.0</v>
      </c>
      <c r="N205" s="34" t="s">
        <v>64</v>
      </c>
      <c r="O205" s="33" t="n">
        <f>21270</f>
        <v>21270.0</v>
      </c>
      <c r="P205" s="34" t="s">
        <v>50</v>
      </c>
      <c r="Q205" s="33" t="n">
        <f>22580</f>
        <v>22580.0</v>
      </c>
      <c r="R205" s="34" t="s">
        <v>51</v>
      </c>
      <c r="S205" s="35" t="n">
        <f>22182.5</f>
        <v>22182.5</v>
      </c>
      <c r="T205" s="32" t="n">
        <f>160</f>
        <v>160.0</v>
      </c>
      <c r="U205" s="32" t="str">
        <f>"－"</f>
        <v>－</v>
      </c>
      <c r="V205" s="32" t="n">
        <f>3578930</f>
        <v>3578930.0</v>
      </c>
      <c r="W205" s="32" t="str">
        <f>"－"</f>
        <v>－</v>
      </c>
      <c r="X205" s="36" t="n">
        <f>8</f>
        <v>8.0</v>
      </c>
    </row>
    <row r="206">
      <c r="A206" s="27" t="s">
        <v>42</v>
      </c>
      <c r="B206" s="27" t="s">
        <v>663</v>
      </c>
      <c r="C206" s="27" t="s">
        <v>664</v>
      </c>
      <c r="D206" s="27" t="s">
        <v>665</v>
      </c>
      <c r="E206" s="28" t="s">
        <v>46</v>
      </c>
      <c r="F206" s="29" t="s">
        <v>46</v>
      </c>
      <c r="G206" s="30" t="s">
        <v>46</v>
      </c>
      <c r="H206" s="31"/>
      <c r="I206" s="31" t="s">
        <v>414</v>
      </c>
      <c r="J206" s="32" t="n">
        <v>1.0</v>
      </c>
      <c r="K206" s="33" t="n">
        <f>28120</f>
        <v>28120.0</v>
      </c>
      <c r="L206" s="34" t="s">
        <v>49</v>
      </c>
      <c r="M206" s="33" t="n">
        <f>28430</f>
        <v>28430.0</v>
      </c>
      <c r="N206" s="34" t="s">
        <v>49</v>
      </c>
      <c r="O206" s="33" t="n">
        <f>27290</f>
        <v>27290.0</v>
      </c>
      <c r="P206" s="34" t="s">
        <v>302</v>
      </c>
      <c r="Q206" s="33" t="n">
        <f>27290</f>
        <v>27290.0</v>
      </c>
      <c r="R206" s="34" t="s">
        <v>302</v>
      </c>
      <c r="S206" s="35" t="n">
        <f>27860</f>
        <v>27860.0</v>
      </c>
      <c r="T206" s="32" t="n">
        <f>10008</f>
        <v>10008.0</v>
      </c>
      <c r="U206" s="32" t="n">
        <f>10000</f>
        <v>10000.0</v>
      </c>
      <c r="V206" s="32" t="n">
        <f>263862260</f>
        <v>2.6386226E8</v>
      </c>
      <c r="W206" s="32" t="n">
        <f>263640000</f>
        <v>2.6364E8</v>
      </c>
      <c r="X206" s="36" t="n">
        <f>2</f>
        <v>2.0</v>
      </c>
    </row>
    <row r="207">
      <c r="A207" s="27" t="s">
        <v>42</v>
      </c>
      <c r="B207" s="27" t="s">
        <v>666</v>
      </c>
      <c r="C207" s="27" t="s">
        <v>667</v>
      </c>
      <c r="D207" s="27" t="s">
        <v>668</v>
      </c>
      <c r="E207" s="28" t="s">
        <v>46</v>
      </c>
      <c r="F207" s="29" t="s">
        <v>46</v>
      </c>
      <c r="G207" s="30" t="s">
        <v>46</v>
      </c>
      <c r="H207" s="31"/>
      <c r="I207" s="31" t="s">
        <v>414</v>
      </c>
      <c r="J207" s="32" t="n">
        <v>1.0</v>
      </c>
      <c r="K207" s="33" t="n">
        <f>19015</f>
        <v>19015.0</v>
      </c>
      <c r="L207" s="34" t="s">
        <v>454</v>
      </c>
      <c r="M207" s="33" t="n">
        <f>19180</f>
        <v>19180.0</v>
      </c>
      <c r="N207" s="34" t="s">
        <v>90</v>
      </c>
      <c r="O207" s="33" t="n">
        <f>19015</f>
        <v>19015.0</v>
      </c>
      <c r="P207" s="34" t="s">
        <v>454</v>
      </c>
      <c r="Q207" s="33" t="n">
        <f>19180</f>
        <v>19180.0</v>
      </c>
      <c r="R207" s="34" t="s">
        <v>90</v>
      </c>
      <c r="S207" s="35" t="n">
        <f>19097.5</f>
        <v>19097.5</v>
      </c>
      <c r="T207" s="32" t="n">
        <f>2</f>
        <v>2.0</v>
      </c>
      <c r="U207" s="32" t="str">
        <f>"－"</f>
        <v>－</v>
      </c>
      <c r="V207" s="32" t="n">
        <f>38195</f>
        <v>38195.0</v>
      </c>
      <c r="W207" s="32" t="str">
        <f>"－"</f>
        <v>－</v>
      </c>
      <c r="X207" s="36" t="n">
        <f>2</f>
        <v>2.0</v>
      </c>
    </row>
    <row r="208">
      <c r="A208" s="27" t="s">
        <v>42</v>
      </c>
      <c r="B208" s="27" t="s">
        <v>669</v>
      </c>
      <c r="C208" s="27" t="s">
        <v>670</v>
      </c>
      <c r="D208" s="27" t="s">
        <v>671</v>
      </c>
      <c r="E208" s="28" t="s">
        <v>46</v>
      </c>
      <c r="F208" s="29" t="s">
        <v>46</v>
      </c>
      <c r="G208" s="30" t="s">
        <v>46</v>
      </c>
      <c r="H208" s="31"/>
      <c r="I208" s="31" t="s">
        <v>414</v>
      </c>
      <c r="J208" s="32" t="n">
        <v>1.0</v>
      </c>
      <c r="K208" s="33" t="n">
        <f>12905</f>
        <v>12905.0</v>
      </c>
      <c r="L208" s="34" t="s">
        <v>48</v>
      </c>
      <c r="M208" s="33" t="n">
        <f>13570</f>
        <v>13570.0</v>
      </c>
      <c r="N208" s="34" t="s">
        <v>49</v>
      </c>
      <c r="O208" s="33" t="n">
        <f>12905</f>
        <v>12905.0</v>
      </c>
      <c r="P208" s="34" t="s">
        <v>48</v>
      </c>
      <c r="Q208" s="33" t="n">
        <f>13220</f>
        <v>13220.0</v>
      </c>
      <c r="R208" s="34" t="s">
        <v>77</v>
      </c>
      <c r="S208" s="35" t="n">
        <f>13283.46</f>
        <v>13283.46</v>
      </c>
      <c r="T208" s="32" t="n">
        <f>2048</f>
        <v>2048.0</v>
      </c>
      <c r="U208" s="32" t="str">
        <f>"－"</f>
        <v>－</v>
      </c>
      <c r="V208" s="32" t="n">
        <f>27326120</f>
        <v>2.732612E7</v>
      </c>
      <c r="W208" s="32" t="str">
        <f>"－"</f>
        <v>－</v>
      </c>
      <c r="X208" s="36" t="n">
        <f>13</f>
        <v>13.0</v>
      </c>
    </row>
    <row r="209">
      <c r="A209" s="27" t="s">
        <v>42</v>
      </c>
      <c r="B209" s="27" t="s">
        <v>672</v>
      </c>
      <c r="C209" s="27" t="s">
        <v>673</v>
      </c>
      <c r="D209" s="27" t="s">
        <v>674</v>
      </c>
      <c r="E209" s="28" t="s">
        <v>46</v>
      </c>
      <c r="F209" s="29" t="s">
        <v>46</v>
      </c>
      <c r="G209" s="30" t="s">
        <v>46</v>
      </c>
      <c r="H209" s="31"/>
      <c r="I209" s="31" t="s">
        <v>414</v>
      </c>
      <c r="J209" s="32" t="n">
        <v>1.0</v>
      </c>
      <c r="K209" s="33" t="n">
        <f>16220</f>
        <v>16220.0</v>
      </c>
      <c r="L209" s="34" t="s">
        <v>48</v>
      </c>
      <c r="M209" s="33" t="n">
        <f>16830</f>
        <v>16830.0</v>
      </c>
      <c r="N209" s="34" t="s">
        <v>221</v>
      </c>
      <c r="O209" s="33" t="n">
        <f>16220</f>
        <v>16220.0</v>
      </c>
      <c r="P209" s="34" t="s">
        <v>48</v>
      </c>
      <c r="Q209" s="33" t="n">
        <f>16500</f>
        <v>16500.0</v>
      </c>
      <c r="R209" s="34" t="s">
        <v>51</v>
      </c>
      <c r="S209" s="35" t="n">
        <f>16489.69</f>
        <v>16489.69</v>
      </c>
      <c r="T209" s="32" t="n">
        <f>11359</f>
        <v>11359.0</v>
      </c>
      <c r="U209" s="32" t="str">
        <f>"－"</f>
        <v>－</v>
      </c>
      <c r="V209" s="32" t="n">
        <f>188360085</f>
        <v>1.88360085E8</v>
      </c>
      <c r="W209" s="32" t="str">
        <f>"－"</f>
        <v>－</v>
      </c>
      <c r="X209" s="36" t="n">
        <f>16</f>
        <v>16.0</v>
      </c>
    </row>
    <row r="210">
      <c r="A210" s="27" t="s">
        <v>42</v>
      </c>
      <c r="B210" s="27" t="s">
        <v>675</v>
      </c>
      <c r="C210" s="27" t="s">
        <v>676</v>
      </c>
      <c r="D210" s="27" t="s">
        <v>677</v>
      </c>
      <c r="E210" s="28" t="s">
        <v>46</v>
      </c>
      <c r="F210" s="29" t="s">
        <v>46</v>
      </c>
      <c r="G210" s="30" t="s">
        <v>46</v>
      </c>
      <c r="H210" s="31"/>
      <c r="I210" s="31" t="s">
        <v>414</v>
      </c>
      <c r="J210" s="32" t="n">
        <v>1.0</v>
      </c>
      <c r="K210" s="33" t="n">
        <f>13675</f>
        <v>13675.0</v>
      </c>
      <c r="L210" s="34" t="s">
        <v>50</v>
      </c>
      <c r="M210" s="33" t="n">
        <f>14150</f>
        <v>14150.0</v>
      </c>
      <c r="N210" s="34" t="s">
        <v>64</v>
      </c>
      <c r="O210" s="33" t="n">
        <f>13675</f>
        <v>13675.0</v>
      </c>
      <c r="P210" s="34" t="s">
        <v>50</v>
      </c>
      <c r="Q210" s="33" t="n">
        <f>14150</f>
        <v>14150.0</v>
      </c>
      <c r="R210" s="34" t="s">
        <v>64</v>
      </c>
      <c r="S210" s="35" t="n">
        <f>13900</f>
        <v>13900.0</v>
      </c>
      <c r="T210" s="32" t="n">
        <f>1584</f>
        <v>1584.0</v>
      </c>
      <c r="U210" s="32" t="str">
        <f>"－"</f>
        <v>－</v>
      </c>
      <c r="V210" s="32" t="n">
        <f>21853440</f>
        <v>2.185344E7</v>
      </c>
      <c r="W210" s="32" t="str">
        <f>"－"</f>
        <v>－</v>
      </c>
      <c r="X210" s="36" t="n">
        <f>8</f>
        <v>8.0</v>
      </c>
    </row>
    <row r="211">
      <c r="A211" s="27" t="s">
        <v>42</v>
      </c>
      <c r="B211" s="27" t="s">
        <v>678</v>
      </c>
      <c r="C211" s="27" t="s">
        <v>679</v>
      </c>
      <c r="D211" s="27" t="s">
        <v>680</v>
      </c>
      <c r="E211" s="28" t="s">
        <v>46</v>
      </c>
      <c r="F211" s="29" t="s">
        <v>46</v>
      </c>
      <c r="G211" s="30" t="s">
        <v>46</v>
      </c>
      <c r="H211" s="31"/>
      <c r="I211" s="31" t="s">
        <v>414</v>
      </c>
      <c r="J211" s="32" t="n">
        <v>1.0</v>
      </c>
      <c r="K211" s="33" t="n">
        <f>15640</f>
        <v>15640.0</v>
      </c>
      <c r="L211" s="34" t="s">
        <v>82</v>
      </c>
      <c r="M211" s="33" t="n">
        <f>15710</f>
        <v>15710.0</v>
      </c>
      <c r="N211" s="34" t="s">
        <v>49</v>
      </c>
      <c r="O211" s="33" t="n">
        <f>15415</f>
        <v>15415.0</v>
      </c>
      <c r="P211" s="34" t="s">
        <v>116</v>
      </c>
      <c r="Q211" s="33" t="n">
        <f>15710</f>
        <v>15710.0</v>
      </c>
      <c r="R211" s="34" t="s">
        <v>49</v>
      </c>
      <c r="S211" s="35" t="n">
        <f>15588.33</f>
        <v>15588.33</v>
      </c>
      <c r="T211" s="32" t="n">
        <f>36</f>
        <v>36.0</v>
      </c>
      <c r="U211" s="32" t="str">
        <f>"－"</f>
        <v>－</v>
      </c>
      <c r="V211" s="32" t="n">
        <f>556360</f>
        <v>556360.0</v>
      </c>
      <c r="W211" s="32" t="str">
        <f>"－"</f>
        <v>－</v>
      </c>
      <c r="X211" s="36" t="n">
        <f>3</f>
        <v>3.0</v>
      </c>
    </row>
    <row r="212">
      <c r="A212" s="27" t="s">
        <v>42</v>
      </c>
      <c r="B212" s="27" t="s">
        <v>681</v>
      </c>
      <c r="C212" s="27" t="s">
        <v>682</v>
      </c>
      <c r="D212" s="27" t="s">
        <v>683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1.0</v>
      </c>
      <c r="K212" s="33" t="n">
        <f>1323</f>
        <v>1323.0</v>
      </c>
      <c r="L212" s="34" t="s">
        <v>48</v>
      </c>
      <c r="M212" s="33" t="n">
        <f>1440</f>
        <v>1440.0</v>
      </c>
      <c r="N212" s="34" t="s">
        <v>199</v>
      </c>
      <c r="O212" s="33" t="n">
        <f>1305</f>
        <v>1305.0</v>
      </c>
      <c r="P212" s="34" t="s">
        <v>50</v>
      </c>
      <c r="Q212" s="33" t="n">
        <f>1426</f>
        <v>1426.0</v>
      </c>
      <c r="R212" s="34" t="s">
        <v>51</v>
      </c>
      <c r="S212" s="35" t="n">
        <f>1390.35</f>
        <v>1390.35</v>
      </c>
      <c r="T212" s="32" t="n">
        <f>750613</f>
        <v>750613.0</v>
      </c>
      <c r="U212" s="32" t="n">
        <f>15</f>
        <v>15.0</v>
      </c>
      <c r="V212" s="32" t="n">
        <f>1040272080</f>
        <v>1.04027208E9</v>
      </c>
      <c r="W212" s="32" t="n">
        <f>20546</f>
        <v>20546.0</v>
      </c>
      <c r="X212" s="36" t="n">
        <f>20</f>
        <v>20.0</v>
      </c>
    </row>
    <row r="213">
      <c r="A213" s="27" t="s">
        <v>42</v>
      </c>
      <c r="B213" s="27" t="s">
        <v>684</v>
      </c>
      <c r="C213" s="27" t="s">
        <v>685</v>
      </c>
      <c r="D213" s="27" t="s">
        <v>686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1.0</v>
      </c>
      <c r="K213" s="33" t="n">
        <f>1440</f>
        <v>1440.0</v>
      </c>
      <c r="L213" s="34" t="s">
        <v>48</v>
      </c>
      <c r="M213" s="33" t="n">
        <f>1512</f>
        <v>1512.0</v>
      </c>
      <c r="N213" s="34" t="s">
        <v>199</v>
      </c>
      <c r="O213" s="33" t="n">
        <f>1386</f>
        <v>1386.0</v>
      </c>
      <c r="P213" s="34" t="s">
        <v>50</v>
      </c>
      <c r="Q213" s="33" t="n">
        <f>1488</f>
        <v>1488.0</v>
      </c>
      <c r="R213" s="34" t="s">
        <v>51</v>
      </c>
      <c r="S213" s="35" t="n">
        <f>1470.2</f>
        <v>1470.2</v>
      </c>
      <c r="T213" s="32" t="n">
        <f>18254</f>
        <v>18254.0</v>
      </c>
      <c r="U213" s="32" t="str">
        <f>"－"</f>
        <v>－</v>
      </c>
      <c r="V213" s="32" t="n">
        <f>26995103</f>
        <v>2.6995103E7</v>
      </c>
      <c r="W213" s="32" t="str">
        <f>"－"</f>
        <v>－</v>
      </c>
      <c r="X213" s="36" t="n">
        <f>20</f>
        <v>20.0</v>
      </c>
    </row>
    <row r="214">
      <c r="A214" s="27" t="s">
        <v>42</v>
      </c>
      <c r="B214" s="27" t="s">
        <v>687</v>
      </c>
      <c r="C214" s="27" t="s">
        <v>688</v>
      </c>
      <c r="D214" s="27" t="s">
        <v>689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1.0</v>
      </c>
      <c r="K214" s="33" t="n">
        <f>1150</f>
        <v>1150.0</v>
      </c>
      <c r="L214" s="34" t="s">
        <v>48</v>
      </c>
      <c r="M214" s="33" t="n">
        <f>1219</f>
        <v>1219.0</v>
      </c>
      <c r="N214" s="34" t="s">
        <v>100</v>
      </c>
      <c r="O214" s="33" t="n">
        <f>1144</f>
        <v>1144.0</v>
      </c>
      <c r="P214" s="34" t="s">
        <v>458</v>
      </c>
      <c r="Q214" s="33" t="n">
        <f>1177</f>
        <v>1177.0</v>
      </c>
      <c r="R214" s="34" t="s">
        <v>51</v>
      </c>
      <c r="S214" s="35" t="n">
        <f>1186.3</f>
        <v>1186.3</v>
      </c>
      <c r="T214" s="32" t="n">
        <f>6190</f>
        <v>6190.0</v>
      </c>
      <c r="U214" s="32" t="str">
        <f>"－"</f>
        <v>－</v>
      </c>
      <c r="V214" s="32" t="n">
        <f>7286068</f>
        <v>7286068.0</v>
      </c>
      <c r="W214" s="32" t="str">
        <f>"－"</f>
        <v>－</v>
      </c>
      <c r="X214" s="36" t="n">
        <f>20</f>
        <v>20.0</v>
      </c>
    </row>
    <row r="215">
      <c r="A215" s="27" t="s">
        <v>42</v>
      </c>
      <c r="B215" s="27" t="s">
        <v>690</v>
      </c>
      <c r="C215" s="27" t="s">
        <v>691</v>
      </c>
      <c r="D215" s="27" t="s">
        <v>692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1.0</v>
      </c>
      <c r="K215" s="33" t="n">
        <f>2423</f>
        <v>2423.0</v>
      </c>
      <c r="L215" s="34" t="s">
        <v>48</v>
      </c>
      <c r="M215" s="33" t="n">
        <f>2543</f>
        <v>2543.0</v>
      </c>
      <c r="N215" s="34" t="s">
        <v>199</v>
      </c>
      <c r="O215" s="33" t="n">
        <f>2349</f>
        <v>2349.0</v>
      </c>
      <c r="P215" s="34" t="s">
        <v>50</v>
      </c>
      <c r="Q215" s="33" t="n">
        <f>2489</f>
        <v>2489.0</v>
      </c>
      <c r="R215" s="34" t="s">
        <v>51</v>
      </c>
      <c r="S215" s="35" t="n">
        <f>2469.75</f>
        <v>2469.75</v>
      </c>
      <c r="T215" s="32" t="n">
        <f>143745</f>
        <v>143745.0</v>
      </c>
      <c r="U215" s="32" t="str">
        <f>"－"</f>
        <v>－</v>
      </c>
      <c r="V215" s="32" t="n">
        <f>353224746</f>
        <v>3.53224746E8</v>
      </c>
      <c r="W215" s="32" t="str">
        <f>"－"</f>
        <v>－</v>
      </c>
      <c r="X215" s="36" t="n">
        <f>20</f>
        <v>20.0</v>
      </c>
    </row>
    <row r="216">
      <c r="A216" s="27" t="s">
        <v>42</v>
      </c>
      <c r="B216" s="27" t="s">
        <v>693</v>
      </c>
      <c r="C216" s="27" t="s">
        <v>694</v>
      </c>
      <c r="D216" s="27" t="s">
        <v>695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1.0</v>
      </c>
      <c r="K216" s="33" t="n">
        <f>2500</f>
        <v>2500.0</v>
      </c>
      <c r="L216" s="34" t="s">
        <v>48</v>
      </c>
      <c r="M216" s="33" t="n">
        <f>2675</f>
        <v>2675.0</v>
      </c>
      <c r="N216" s="34" t="s">
        <v>199</v>
      </c>
      <c r="O216" s="33" t="n">
        <f>2440</f>
        <v>2440.0</v>
      </c>
      <c r="P216" s="34" t="s">
        <v>50</v>
      </c>
      <c r="Q216" s="33" t="n">
        <f>2657</f>
        <v>2657.0</v>
      </c>
      <c r="R216" s="34" t="s">
        <v>51</v>
      </c>
      <c r="S216" s="35" t="n">
        <f>2595.5</f>
        <v>2595.5</v>
      </c>
      <c r="T216" s="32" t="n">
        <f>361565</f>
        <v>361565.0</v>
      </c>
      <c r="U216" s="32" t="n">
        <f>22804</f>
        <v>22804.0</v>
      </c>
      <c r="V216" s="32" t="n">
        <f>942683362</f>
        <v>9.42683362E8</v>
      </c>
      <c r="W216" s="32" t="n">
        <f>60053556</f>
        <v>6.0053556E7</v>
      </c>
      <c r="X216" s="36" t="n">
        <f>20</f>
        <v>20.0</v>
      </c>
    </row>
    <row r="217">
      <c r="A217" s="27" t="s">
        <v>42</v>
      </c>
      <c r="B217" s="27" t="s">
        <v>696</v>
      </c>
      <c r="C217" s="27" t="s">
        <v>697</v>
      </c>
      <c r="D217" s="27" t="s">
        <v>698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594</f>
        <v>594.0</v>
      </c>
      <c r="L217" s="34" t="s">
        <v>48</v>
      </c>
      <c r="M217" s="33" t="n">
        <f>630</f>
        <v>630.0</v>
      </c>
      <c r="N217" s="34" t="s">
        <v>199</v>
      </c>
      <c r="O217" s="33" t="n">
        <f>580</f>
        <v>580.0</v>
      </c>
      <c r="P217" s="34" t="s">
        <v>50</v>
      </c>
      <c r="Q217" s="33" t="n">
        <f>620</f>
        <v>620.0</v>
      </c>
      <c r="R217" s="34" t="s">
        <v>51</v>
      </c>
      <c r="S217" s="35" t="n">
        <f>611.26</f>
        <v>611.26</v>
      </c>
      <c r="T217" s="32" t="n">
        <f>1489590</f>
        <v>1489590.0</v>
      </c>
      <c r="U217" s="32" t="n">
        <f>920290</f>
        <v>920290.0</v>
      </c>
      <c r="V217" s="32" t="n">
        <f>905605754</f>
        <v>9.05605754E8</v>
      </c>
      <c r="W217" s="32" t="n">
        <f>557534985</f>
        <v>5.57534985E8</v>
      </c>
      <c r="X217" s="36" t="n">
        <f>20</f>
        <v>20.0</v>
      </c>
    </row>
    <row r="218">
      <c r="A218" s="27" t="s">
        <v>42</v>
      </c>
      <c r="B218" s="27" t="s">
        <v>699</v>
      </c>
      <c r="C218" s="27" t="s">
        <v>700</v>
      </c>
      <c r="D218" s="27" t="s">
        <v>701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2624.5</f>
        <v>2624.5</v>
      </c>
      <c r="L218" s="34" t="s">
        <v>48</v>
      </c>
      <c r="M218" s="33" t="n">
        <f>2697</f>
        <v>2697.0</v>
      </c>
      <c r="N218" s="34" t="s">
        <v>49</v>
      </c>
      <c r="O218" s="33" t="n">
        <f>2588</f>
        <v>2588.0</v>
      </c>
      <c r="P218" s="34" t="s">
        <v>50</v>
      </c>
      <c r="Q218" s="33" t="n">
        <f>2673.5</f>
        <v>2673.5</v>
      </c>
      <c r="R218" s="34" t="s">
        <v>199</v>
      </c>
      <c r="S218" s="35" t="n">
        <f>2641.32</f>
        <v>2641.32</v>
      </c>
      <c r="T218" s="32" t="n">
        <f>210920</f>
        <v>210920.0</v>
      </c>
      <c r="U218" s="32" t="str">
        <f>"－"</f>
        <v>－</v>
      </c>
      <c r="V218" s="32" t="n">
        <f>554871505</f>
        <v>5.54871505E8</v>
      </c>
      <c r="W218" s="32" t="str">
        <f>"－"</f>
        <v>－</v>
      </c>
      <c r="X218" s="36" t="n">
        <f>14</f>
        <v>14.0</v>
      </c>
    </row>
    <row r="219">
      <c r="A219" s="27" t="s">
        <v>42</v>
      </c>
      <c r="B219" s="27" t="s">
        <v>702</v>
      </c>
      <c r="C219" s="27" t="s">
        <v>703</v>
      </c>
      <c r="D219" s="27" t="s">
        <v>704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2808.5</f>
        <v>2808.5</v>
      </c>
      <c r="L219" s="34" t="s">
        <v>48</v>
      </c>
      <c r="M219" s="33" t="n">
        <f>2895</f>
        <v>2895.0</v>
      </c>
      <c r="N219" s="34" t="s">
        <v>221</v>
      </c>
      <c r="O219" s="33" t="n">
        <f>2774</f>
        <v>2774.0</v>
      </c>
      <c r="P219" s="34" t="s">
        <v>50</v>
      </c>
      <c r="Q219" s="33" t="n">
        <f>2848</f>
        <v>2848.0</v>
      </c>
      <c r="R219" s="34" t="s">
        <v>199</v>
      </c>
      <c r="S219" s="35" t="n">
        <f>2845.25</f>
        <v>2845.25</v>
      </c>
      <c r="T219" s="32" t="n">
        <f>205320</f>
        <v>205320.0</v>
      </c>
      <c r="U219" s="32" t="n">
        <f>176500</f>
        <v>176500.0</v>
      </c>
      <c r="V219" s="32" t="n">
        <f>581564876</f>
        <v>5.81564876E8</v>
      </c>
      <c r="W219" s="32" t="n">
        <f>499823501</f>
        <v>4.99823501E8</v>
      </c>
      <c r="X219" s="36" t="n">
        <f>6</f>
        <v>6.0</v>
      </c>
    </row>
    <row r="220">
      <c r="A220" s="27" t="s">
        <v>42</v>
      </c>
      <c r="B220" s="27" t="s">
        <v>705</v>
      </c>
      <c r="C220" s="27" t="s">
        <v>706</v>
      </c>
      <c r="D220" s="27" t="s">
        <v>707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2300.5</f>
        <v>2300.5</v>
      </c>
      <c r="L220" s="34" t="s">
        <v>48</v>
      </c>
      <c r="M220" s="33" t="n">
        <f>2377.5</f>
        <v>2377.5</v>
      </c>
      <c r="N220" s="34" t="s">
        <v>199</v>
      </c>
      <c r="O220" s="33" t="n">
        <f>2276.5</f>
        <v>2276.5</v>
      </c>
      <c r="P220" s="34" t="s">
        <v>50</v>
      </c>
      <c r="Q220" s="33" t="n">
        <f>2373.5</f>
        <v>2373.5</v>
      </c>
      <c r="R220" s="34" t="s">
        <v>51</v>
      </c>
      <c r="S220" s="35" t="n">
        <f>2336.9</f>
        <v>2336.9</v>
      </c>
      <c r="T220" s="32" t="n">
        <f>1123490</f>
        <v>1123490.0</v>
      </c>
      <c r="U220" s="32" t="n">
        <f>951600</f>
        <v>951600.0</v>
      </c>
      <c r="V220" s="32" t="n">
        <f>2656168789</f>
        <v>2.656168789E9</v>
      </c>
      <c r="W220" s="32" t="n">
        <f>2260775499</f>
        <v>2.260775499E9</v>
      </c>
      <c r="X220" s="36" t="n">
        <f>10</f>
        <v>10.0</v>
      </c>
    </row>
    <row r="221">
      <c r="A221" s="27" t="s">
        <v>42</v>
      </c>
      <c r="B221" s="27" t="s">
        <v>708</v>
      </c>
      <c r="C221" s="27" t="s">
        <v>709</v>
      </c>
      <c r="D221" s="27" t="s">
        <v>710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2731.5</f>
        <v>2731.5</v>
      </c>
      <c r="L221" s="34" t="s">
        <v>48</v>
      </c>
      <c r="M221" s="33" t="n">
        <f>2806</f>
        <v>2806.0</v>
      </c>
      <c r="N221" s="34" t="s">
        <v>49</v>
      </c>
      <c r="O221" s="33" t="n">
        <f>2678.5</f>
        <v>2678.5</v>
      </c>
      <c r="P221" s="34" t="s">
        <v>50</v>
      </c>
      <c r="Q221" s="33" t="n">
        <f>2734</f>
        <v>2734.0</v>
      </c>
      <c r="R221" s="34" t="s">
        <v>51</v>
      </c>
      <c r="S221" s="35" t="n">
        <f>2749</f>
        <v>2749.0</v>
      </c>
      <c r="T221" s="32" t="n">
        <f>324070</f>
        <v>324070.0</v>
      </c>
      <c r="U221" s="32" t="str">
        <f>"－"</f>
        <v>－</v>
      </c>
      <c r="V221" s="32" t="n">
        <f>894364470</f>
        <v>8.9436447E8</v>
      </c>
      <c r="W221" s="32" t="str">
        <f>"－"</f>
        <v>－</v>
      </c>
      <c r="X221" s="36" t="n">
        <f>19</f>
        <v>19.0</v>
      </c>
    </row>
    <row r="222">
      <c r="A222" s="27" t="s">
        <v>42</v>
      </c>
      <c r="B222" s="27" t="s">
        <v>711</v>
      </c>
      <c r="C222" s="27" t="s">
        <v>712</v>
      </c>
      <c r="D222" s="27" t="s">
        <v>713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4524</f>
        <v>4524.0</v>
      </c>
      <c r="L222" s="34" t="s">
        <v>48</v>
      </c>
      <c r="M222" s="33" t="n">
        <f>4598</f>
        <v>4598.0</v>
      </c>
      <c r="N222" s="34" t="s">
        <v>82</v>
      </c>
      <c r="O222" s="33" t="n">
        <f>4524</f>
        <v>4524.0</v>
      </c>
      <c r="P222" s="34" t="s">
        <v>48</v>
      </c>
      <c r="Q222" s="33" t="n">
        <f>4591</f>
        <v>4591.0</v>
      </c>
      <c r="R222" s="34" t="s">
        <v>51</v>
      </c>
      <c r="S222" s="35" t="n">
        <f>4566.67</f>
        <v>4566.67</v>
      </c>
      <c r="T222" s="32" t="n">
        <f>10630</f>
        <v>10630.0</v>
      </c>
      <c r="U222" s="32" t="str">
        <f>"－"</f>
        <v>－</v>
      </c>
      <c r="V222" s="32" t="n">
        <f>48377670</f>
        <v>4.837767E7</v>
      </c>
      <c r="W222" s="32" t="str">
        <f>"－"</f>
        <v>－</v>
      </c>
      <c r="X222" s="36" t="n">
        <f>15</f>
        <v>15.0</v>
      </c>
    </row>
    <row r="223">
      <c r="A223" s="27" t="s">
        <v>42</v>
      </c>
      <c r="B223" s="27" t="s">
        <v>714</v>
      </c>
      <c r="C223" s="27" t="s">
        <v>715</v>
      </c>
      <c r="D223" s="27" t="s">
        <v>716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str">
        <f>"－"</f>
        <v>－</v>
      </c>
      <c r="L223" s="34"/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5" t="str">
        <f>"－"</f>
        <v>－</v>
      </c>
      <c r="T223" s="32" t="str">
        <f>"－"</f>
        <v>－</v>
      </c>
      <c r="U223" s="32" t="str">
        <f>"－"</f>
        <v>－</v>
      </c>
      <c r="V223" s="32" t="str">
        <f>"－"</f>
        <v>－</v>
      </c>
      <c r="W223" s="32" t="str">
        <f>"－"</f>
        <v>－</v>
      </c>
      <c r="X223" s="36" t="str">
        <f>"－"</f>
        <v>－</v>
      </c>
    </row>
    <row r="224">
      <c r="A224" s="27" t="s">
        <v>42</v>
      </c>
      <c r="B224" s="27" t="s">
        <v>717</v>
      </c>
      <c r="C224" s="27" t="s">
        <v>718</v>
      </c>
      <c r="D224" s="27" t="s">
        <v>719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str">
        <f>"－"</f>
        <v>－</v>
      </c>
      <c r="L224" s="34"/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5" t="str">
        <f>"－"</f>
        <v>－</v>
      </c>
      <c r="T224" s="32" t="str">
        <f>"－"</f>
        <v>－</v>
      </c>
      <c r="U224" s="32" t="str">
        <f>"－"</f>
        <v>－</v>
      </c>
      <c r="V224" s="32" t="str">
        <f>"－"</f>
        <v>－</v>
      </c>
      <c r="W224" s="32" t="str">
        <f>"－"</f>
        <v>－</v>
      </c>
      <c r="X224" s="36" t="str">
        <f>"－"</f>
        <v>－</v>
      </c>
    </row>
    <row r="225">
      <c r="A225" s="27" t="s">
        <v>42</v>
      </c>
      <c r="B225" s="27" t="s">
        <v>720</v>
      </c>
      <c r="C225" s="27" t="s">
        <v>721</v>
      </c>
      <c r="D225" s="27" t="s">
        <v>722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1.0</v>
      </c>
      <c r="K225" s="33" t="n">
        <f>5049</f>
        <v>5049.0</v>
      </c>
      <c r="L225" s="34" t="s">
        <v>48</v>
      </c>
      <c r="M225" s="33" t="n">
        <f>5079</f>
        <v>5079.0</v>
      </c>
      <c r="N225" s="34" t="s">
        <v>48</v>
      </c>
      <c r="O225" s="33" t="n">
        <f>4860</f>
        <v>4860.0</v>
      </c>
      <c r="P225" s="34" t="s">
        <v>100</v>
      </c>
      <c r="Q225" s="33" t="n">
        <f>4889</f>
        <v>4889.0</v>
      </c>
      <c r="R225" s="34" t="s">
        <v>51</v>
      </c>
      <c r="S225" s="35" t="n">
        <f>4920.05</f>
        <v>4920.05</v>
      </c>
      <c r="T225" s="32" t="n">
        <f>286107</f>
        <v>286107.0</v>
      </c>
      <c r="U225" s="32" t="n">
        <f>100000</f>
        <v>100000.0</v>
      </c>
      <c r="V225" s="32" t="n">
        <f>1419949206</f>
        <v>1.419949206E9</v>
      </c>
      <c r="W225" s="32" t="n">
        <f>495230000</f>
        <v>4.9523E8</v>
      </c>
      <c r="X225" s="36" t="n">
        <f>20</f>
        <v>20.0</v>
      </c>
    </row>
    <row r="226">
      <c r="A226" s="27" t="s">
        <v>42</v>
      </c>
      <c r="B226" s="27" t="s">
        <v>723</v>
      </c>
      <c r="C226" s="27" t="s">
        <v>724</v>
      </c>
      <c r="D226" s="27" t="s">
        <v>725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838</f>
        <v>838.0</v>
      </c>
      <c r="L226" s="34" t="s">
        <v>48</v>
      </c>
      <c r="M226" s="33" t="n">
        <f>839</f>
        <v>839.0</v>
      </c>
      <c r="N226" s="34" t="s">
        <v>48</v>
      </c>
      <c r="O226" s="33" t="n">
        <f>796</f>
        <v>796.0</v>
      </c>
      <c r="P226" s="34" t="s">
        <v>81</v>
      </c>
      <c r="Q226" s="33" t="n">
        <f>808</f>
        <v>808.0</v>
      </c>
      <c r="R226" s="34" t="s">
        <v>51</v>
      </c>
      <c r="S226" s="35" t="n">
        <f>814.95</f>
        <v>814.95</v>
      </c>
      <c r="T226" s="32" t="n">
        <f>2087335</f>
        <v>2087335.0</v>
      </c>
      <c r="U226" s="32" t="n">
        <f>122040</f>
        <v>122040.0</v>
      </c>
      <c r="V226" s="32" t="n">
        <f>1688271585</f>
        <v>1.688271585E9</v>
      </c>
      <c r="W226" s="32" t="n">
        <f>99999576</f>
        <v>9.9999576E7</v>
      </c>
      <c r="X226" s="36" t="n">
        <f>20</f>
        <v>20.0</v>
      </c>
    </row>
    <row r="227">
      <c r="A227" s="27" t="s">
        <v>42</v>
      </c>
      <c r="B227" s="27" t="s">
        <v>726</v>
      </c>
      <c r="C227" s="27" t="s">
        <v>727</v>
      </c>
      <c r="D227" s="27" t="s">
        <v>728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1092</f>
        <v>1092.0</v>
      </c>
      <c r="L227" s="34" t="s">
        <v>48</v>
      </c>
      <c r="M227" s="33" t="n">
        <f>1125</f>
        <v>1125.0</v>
      </c>
      <c r="N227" s="34" t="s">
        <v>199</v>
      </c>
      <c r="O227" s="33" t="n">
        <f>1074</f>
        <v>1074.0</v>
      </c>
      <c r="P227" s="34" t="s">
        <v>50</v>
      </c>
      <c r="Q227" s="33" t="n">
        <f>1109</f>
        <v>1109.0</v>
      </c>
      <c r="R227" s="34" t="s">
        <v>51</v>
      </c>
      <c r="S227" s="35" t="n">
        <f>1102.1</f>
        <v>1102.1</v>
      </c>
      <c r="T227" s="32" t="n">
        <f>139634</f>
        <v>139634.0</v>
      </c>
      <c r="U227" s="32" t="str">
        <f>"－"</f>
        <v>－</v>
      </c>
      <c r="V227" s="32" t="n">
        <f>153545690</f>
        <v>1.5354569E8</v>
      </c>
      <c r="W227" s="32" t="str">
        <f>"－"</f>
        <v>－</v>
      </c>
      <c r="X227" s="36" t="n">
        <f>20</f>
        <v>20.0</v>
      </c>
    </row>
    <row r="228">
      <c r="A228" s="27" t="s">
        <v>42</v>
      </c>
      <c r="B228" s="27" t="s">
        <v>729</v>
      </c>
      <c r="C228" s="27" t="s">
        <v>730</v>
      </c>
      <c r="D228" s="27" t="s">
        <v>731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1108</f>
        <v>1108.0</v>
      </c>
      <c r="L228" s="34" t="s">
        <v>48</v>
      </c>
      <c r="M228" s="33" t="n">
        <f>1169</f>
        <v>1169.0</v>
      </c>
      <c r="N228" s="34" t="s">
        <v>81</v>
      </c>
      <c r="O228" s="33" t="n">
        <f>1096</f>
        <v>1096.0</v>
      </c>
      <c r="P228" s="34" t="s">
        <v>48</v>
      </c>
      <c r="Q228" s="33" t="n">
        <f>1133</f>
        <v>1133.0</v>
      </c>
      <c r="R228" s="34" t="s">
        <v>51</v>
      </c>
      <c r="S228" s="35" t="n">
        <f>1124.5</f>
        <v>1124.5</v>
      </c>
      <c r="T228" s="32" t="n">
        <f>432985</f>
        <v>432985.0</v>
      </c>
      <c r="U228" s="32" t="str">
        <f>"－"</f>
        <v>－</v>
      </c>
      <c r="V228" s="32" t="n">
        <f>484696043</f>
        <v>4.84696043E8</v>
      </c>
      <c r="W228" s="32" t="str">
        <f>"－"</f>
        <v>－</v>
      </c>
      <c r="X228" s="36" t="n">
        <f>20</f>
        <v>20.0</v>
      </c>
    </row>
    <row r="229">
      <c r="A229" s="27" t="s">
        <v>42</v>
      </c>
      <c r="B229" s="27" t="s">
        <v>732</v>
      </c>
      <c r="C229" s="27" t="s">
        <v>733</v>
      </c>
      <c r="D229" s="27" t="s">
        <v>734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981</f>
        <v>981.0</v>
      </c>
      <c r="L229" s="34" t="s">
        <v>48</v>
      </c>
      <c r="M229" s="33" t="n">
        <f>1041</f>
        <v>1041.0</v>
      </c>
      <c r="N229" s="34" t="s">
        <v>86</v>
      </c>
      <c r="O229" s="33" t="n">
        <f>977</f>
        <v>977.0</v>
      </c>
      <c r="P229" s="34" t="s">
        <v>48</v>
      </c>
      <c r="Q229" s="33" t="n">
        <f>1035</f>
        <v>1035.0</v>
      </c>
      <c r="R229" s="34" t="s">
        <v>51</v>
      </c>
      <c r="S229" s="35" t="n">
        <f>1009.15</f>
        <v>1009.15</v>
      </c>
      <c r="T229" s="32" t="n">
        <f>85065</f>
        <v>85065.0</v>
      </c>
      <c r="U229" s="32" t="str">
        <f>"－"</f>
        <v>－</v>
      </c>
      <c r="V229" s="32" t="n">
        <f>84684675</f>
        <v>8.4684675E7</v>
      </c>
      <c r="W229" s="32" t="str">
        <f>"－"</f>
        <v>－</v>
      </c>
      <c r="X229" s="36" t="n">
        <f>20</f>
        <v>20.0</v>
      </c>
    </row>
    <row r="230">
      <c r="A230" s="27" t="s">
        <v>42</v>
      </c>
      <c r="B230" s="27" t="s">
        <v>735</v>
      </c>
      <c r="C230" s="27" t="s">
        <v>736</v>
      </c>
      <c r="D230" s="27" t="s">
        <v>737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1079</f>
        <v>1079.0</v>
      </c>
      <c r="L230" s="34" t="s">
        <v>48</v>
      </c>
      <c r="M230" s="33" t="n">
        <f>1127</f>
        <v>1127.0</v>
      </c>
      <c r="N230" s="34" t="s">
        <v>86</v>
      </c>
      <c r="O230" s="33" t="n">
        <f>1075</f>
        <v>1075.0</v>
      </c>
      <c r="P230" s="34" t="s">
        <v>48</v>
      </c>
      <c r="Q230" s="33" t="n">
        <f>1106</f>
        <v>1106.0</v>
      </c>
      <c r="R230" s="34" t="s">
        <v>51</v>
      </c>
      <c r="S230" s="35" t="n">
        <f>1101.65</f>
        <v>1101.65</v>
      </c>
      <c r="T230" s="32" t="n">
        <f>109416</f>
        <v>109416.0</v>
      </c>
      <c r="U230" s="32" t="n">
        <f>12</f>
        <v>12.0</v>
      </c>
      <c r="V230" s="32" t="n">
        <f>120181317</f>
        <v>1.20181317E8</v>
      </c>
      <c r="W230" s="32" t="n">
        <f>13224</f>
        <v>13224.0</v>
      </c>
      <c r="X230" s="36" t="n">
        <f>20</f>
        <v>20.0</v>
      </c>
    </row>
    <row r="231">
      <c r="A231" s="27" t="s">
        <v>42</v>
      </c>
      <c r="B231" s="27" t="s">
        <v>738</v>
      </c>
      <c r="C231" s="27" t="s">
        <v>739</v>
      </c>
      <c r="D231" s="27" t="s">
        <v>740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1650</f>
        <v>1650.0</v>
      </c>
      <c r="L231" s="34" t="s">
        <v>48</v>
      </c>
      <c r="M231" s="33" t="n">
        <f>1719</f>
        <v>1719.0</v>
      </c>
      <c r="N231" s="34" t="s">
        <v>81</v>
      </c>
      <c r="O231" s="33" t="n">
        <f>1643</f>
        <v>1643.0</v>
      </c>
      <c r="P231" s="34" t="s">
        <v>48</v>
      </c>
      <c r="Q231" s="33" t="n">
        <f>1706</f>
        <v>1706.0</v>
      </c>
      <c r="R231" s="34" t="s">
        <v>51</v>
      </c>
      <c r="S231" s="35" t="n">
        <f>1687.8</f>
        <v>1687.8</v>
      </c>
      <c r="T231" s="32" t="n">
        <f>202559</f>
        <v>202559.0</v>
      </c>
      <c r="U231" s="32" t="n">
        <f>12930</f>
        <v>12930.0</v>
      </c>
      <c r="V231" s="32" t="n">
        <f>343191432</f>
        <v>3.43191432E8</v>
      </c>
      <c r="W231" s="32" t="n">
        <f>22046168</f>
        <v>2.2046168E7</v>
      </c>
      <c r="X231" s="36" t="n">
        <f>20</f>
        <v>20.0</v>
      </c>
    </row>
    <row r="232">
      <c r="A232" s="27" t="s">
        <v>42</v>
      </c>
      <c r="B232" s="27" t="s">
        <v>741</v>
      </c>
      <c r="C232" s="27" t="s">
        <v>742</v>
      </c>
      <c r="D232" s="27" t="s">
        <v>743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155.6</f>
        <v>155.6</v>
      </c>
      <c r="L232" s="34" t="s">
        <v>48</v>
      </c>
      <c r="M232" s="33" t="n">
        <f>161.9</f>
        <v>161.9</v>
      </c>
      <c r="N232" s="34" t="s">
        <v>221</v>
      </c>
      <c r="O232" s="33" t="n">
        <f>147.5</f>
        <v>147.5</v>
      </c>
      <c r="P232" s="34" t="s">
        <v>454</v>
      </c>
      <c r="Q232" s="33" t="n">
        <f>157</f>
        <v>157.0</v>
      </c>
      <c r="R232" s="34" t="s">
        <v>51</v>
      </c>
      <c r="S232" s="35" t="n">
        <f>155.09</f>
        <v>155.09</v>
      </c>
      <c r="T232" s="32" t="n">
        <f>9018380</f>
        <v>9018380.0</v>
      </c>
      <c r="U232" s="32" t="n">
        <f>2800000</f>
        <v>2800000.0</v>
      </c>
      <c r="V232" s="32" t="n">
        <f>1405020715</f>
        <v>1.405020715E9</v>
      </c>
      <c r="W232" s="32" t="n">
        <f>446230870</f>
        <v>4.4623087E8</v>
      </c>
      <c r="X232" s="36" t="n">
        <f>20</f>
        <v>20.0</v>
      </c>
    </row>
    <row r="233">
      <c r="A233" s="27" t="s">
        <v>42</v>
      </c>
      <c r="B233" s="27" t="s">
        <v>744</v>
      </c>
      <c r="C233" s="27" t="s">
        <v>745</v>
      </c>
      <c r="D233" s="27" t="s">
        <v>746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441</f>
        <v>441.0</v>
      </c>
      <c r="L233" s="34" t="s">
        <v>48</v>
      </c>
      <c r="M233" s="33" t="n">
        <f>459.4</f>
        <v>459.4</v>
      </c>
      <c r="N233" s="34" t="s">
        <v>221</v>
      </c>
      <c r="O233" s="33" t="n">
        <f>419.1</f>
        <v>419.1</v>
      </c>
      <c r="P233" s="34" t="s">
        <v>454</v>
      </c>
      <c r="Q233" s="33" t="n">
        <f>447.7</f>
        <v>447.7</v>
      </c>
      <c r="R233" s="34" t="s">
        <v>51</v>
      </c>
      <c r="S233" s="35" t="n">
        <f>439.66</f>
        <v>439.66</v>
      </c>
      <c r="T233" s="32" t="n">
        <f>311560</f>
        <v>311560.0</v>
      </c>
      <c r="U233" s="32" t="str">
        <f>"－"</f>
        <v>－</v>
      </c>
      <c r="V233" s="32" t="n">
        <f>136643276</f>
        <v>1.36643276E8</v>
      </c>
      <c r="W233" s="32" t="str">
        <f>"－"</f>
        <v>－</v>
      </c>
      <c r="X233" s="36" t="n">
        <f>20</f>
        <v>20.0</v>
      </c>
    </row>
    <row r="234">
      <c r="A234" s="27" t="s">
        <v>42</v>
      </c>
      <c r="B234" s="27" t="s">
        <v>747</v>
      </c>
      <c r="C234" s="27" t="s">
        <v>748</v>
      </c>
      <c r="D234" s="27" t="s">
        <v>749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1.0</v>
      </c>
      <c r="K234" s="33" t="n">
        <f>2882</f>
        <v>2882.0</v>
      </c>
      <c r="L234" s="34" t="s">
        <v>48</v>
      </c>
      <c r="M234" s="33" t="n">
        <f>2943</f>
        <v>2943.0</v>
      </c>
      <c r="N234" s="34" t="s">
        <v>199</v>
      </c>
      <c r="O234" s="33" t="n">
        <f>2803</f>
        <v>2803.0</v>
      </c>
      <c r="P234" s="34" t="s">
        <v>50</v>
      </c>
      <c r="Q234" s="33" t="n">
        <f>2929</f>
        <v>2929.0</v>
      </c>
      <c r="R234" s="34" t="s">
        <v>51</v>
      </c>
      <c r="S234" s="35" t="n">
        <f>2882</f>
        <v>2882.0</v>
      </c>
      <c r="T234" s="32" t="n">
        <f>89072</f>
        <v>89072.0</v>
      </c>
      <c r="U234" s="32" t="n">
        <f>410</f>
        <v>410.0</v>
      </c>
      <c r="V234" s="32" t="n">
        <f>255117841</f>
        <v>2.55117841E8</v>
      </c>
      <c r="W234" s="32" t="n">
        <f>1168991</f>
        <v>1168991.0</v>
      </c>
      <c r="X234" s="36" t="n">
        <f>20</f>
        <v>20.0</v>
      </c>
    </row>
    <row r="235">
      <c r="A235" s="27" t="s">
        <v>42</v>
      </c>
      <c r="B235" s="27" t="s">
        <v>750</v>
      </c>
      <c r="C235" s="27" t="s">
        <v>751</v>
      </c>
      <c r="D235" s="27" t="s">
        <v>752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1248</f>
        <v>1248.0</v>
      </c>
      <c r="L235" s="34" t="s">
        <v>48</v>
      </c>
      <c r="M235" s="33" t="n">
        <f>1272</f>
        <v>1272.0</v>
      </c>
      <c r="N235" s="34" t="s">
        <v>199</v>
      </c>
      <c r="O235" s="33" t="n">
        <f>1210</f>
        <v>1210.0</v>
      </c>
      <c r="P235" s="34" t="s">
        <v>50</v>
      </c>
      <c r="Q235" s="33" t="n">
        <f>1252</f>
        <v>1252.0</v>
      </c>
      <c r="R235" s="34" t="s">
        <v>51</v>
      </c>
      <c r="S235" s="35" t="n">
        <f>1247.25</f>
        <v>1247.25</v>
      </c>
      <c r="T235" s="32" t="n">
        <f>435043</f>
        <v>435043.0</v>
      </c>
      <c r="U235" s="32" t="n">
        <f>46001</f>
        <v>46001.0</v>
      </c>
      <c r="V235" s="32" t="n">
        <f>541257629</f>
        <v>5.41257629E8</v>
      </c>
      <c r="W235" s="32" t="n">
        <f>57914765</f>
        <v>5.7914765E7</v>
      </c>
      <c r="X235" s="36" t="n">
        <f>20</f>
        <v>20.0</v>
      </c>
    </row>
    <row r="236">
      <c r="A236" s="27" t="s">
        <v>42</v>
      </c>
      <c r="B236" s="27" t="s">
        <v>753</v>
      </c>
      <c r="C236" s="27" t="s">
        <v>754</v>
      </c>
      <c r="D236" s="27" t="s">
        <v>755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92390</f>
        <v>92390.0</v>
      </c>
      <c r="L236" s="34" t="s">
        <v>48</v>
      </c>
      <c r="M236" s="33" t="n">
        <f>97170</f>
        <v>97170.0</v>
      </c>
      <c r="N236" s="34" t="s">
        <v>282</v>
      </c>
      <c r="O236" s="33" t="n">
        <f>89810</f>
        <v>89810.0</v>
      </c>
      <c r="P236" s="34" t="s">
        <v>50</v>
      </c>
      <c r="Q236" s="33" t="n">
        <f>96460</f>
        <v>96460.0</v>
      </c>
      <c r="R236" s="34" t="s">
        <v>51</v>
      </c>
      <c r="S236" s="35" t="n">
        <f>94331.5</f>
        <v>94331.5</v>
      </c>
      <c r="T236" s="32" t="n">
        <f>19393</f>
        <v>19393.0</v>
      </c>
      <c r="U236" s="32" t="n">
        <f>6</f>
        <v>6.0</v>
      </c>
      <c r="V236" s="32" t="n">
        <f>1829727626</f>
        <v>1.829727626E9</v>
      </c>
      <c r="W236" s="32" t="n">
        <f>563466</f>
        <v>563466.0</v>
      </c>
      <c r="X236" s="36" t="n">
        <f>20</f>
        <v>20.0</v>
      </c>
    </row>
    <row r="237">
      <c r="A237" s="27" t="s">
        <v>42</v>
      </c>
      <c r="B237" s="27" t="s">
        <v>756</v>
      </c>
      <c r="C237" s="27" t="s">
        <v>757</v>
      </c>
      <c r="D237" s="27" t="s">
        <v>758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6243</f>
        <v>6243.0</v>
      </c>
      <c r="L237" s="34" t="s">
        <v>48</v>
      </c>
      <c r="M237" s="33" t="n">
        <f>6332</f>
        <v>6332.0</v>
      </c>
      <c r="N237" s="34" t="s">
        <v>50</v>
      </c>
      <c r="O237" s="33" t="n">
        <f>6083</f>
        <v>6083.0</v>
      </c>
      <c r="P237" s="34" t="s">
        <v>51</v>
      </c>
      <c r="Q237" s="33" t="n">
        <f>6199</f>
        <v>6199.0</v>
      </c>
      <c r="R237" s="34" t="s">
        <v>51</v>
      </c>
      <c r="S237" s="35" t="n">
        <f>6193.05</f>
        <v>6193.05</v>
      </c>
      <c r="T237" s="32" t="n">
        <f>58572</f>
        <v>58572.0</v>
      </c>
      <c r="U237" s="32" t="n">
        <f>70</f>
        <v>70.0</v>
      </c>
      <c r="V237" s="32" t="n">
        <f>361839858</f>
        <v>3.61839858E8</v>
      </c>
      <c r="W237" s="32" t="n">
        <f>436590</f>
        <v>436590.0</v>
      </c>
      <c r="X237" s="36" t="n">
        <f>20</f>
        <v>20.0</v>
      </c>
    </row>
    <row r="238">
      <c r="A238" s="27" t="s">
        <v>42</v>
      </c>
      <c r="B238" s="27" t="s">
        <v>759</v>
      </c>
      <c r="C238" s="27" t="s">
        <v>760</v>
      </c>
      <c r="D238" s="27" t="s">
        <v>761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20170</f>
        <v>20170.0</v>
      </c>
      <c r="L238" s="34" t="s">
        <v>48</v>
      </c>
      <c r="M238" s="33" t="n">
        <f>21765</f>
        <v>21765.0</v>
      </c>
      <c r="N238" s="34" t="s">
        <v>49</v>
      </c>
      <c r="O238" s="33" t="n">
        <f>19435</f>
        <v>19435.0</v>
      </c>
      <c r="P238" s="34" t="s">
        <v>50</v>
      </c>
      <c r="Q238" s="33" t="n">
        <f>20935</f>
        <v>20935.0</v>
      </c>
      <c r="R238" s="34" t="s">
        <v>51</v>
      </c>
      <c r="S238" s="35" t="n">
        <f>20419.75</f>
        <v>20419.75</v>
      </c>
      <c r="T238" s="32" t="n">
        <f>44116</f>
        <v>44116.0</v>
      </c>
      <c r="U238" s="32" t="n">
        <f>101</f>
        <v>101.0</v>
      </c>
      <c r="V238" s="32" t="n">
        <f>899491983</f>
        <v>8.99491983E8</v>
      </c>
      <c r="W238" s="32" t="n">
        <f>1993593</f>
        <v>1993593.0</v>
      </c>
      <c r="X238" s="36" t="n">
        <f>20</f>
        <v>20.0</v>
      </c>
    </row>
    <row r="239">
      <c r="A239" s="27" t="s">
        <v>42</v>
      </c>
      <c r="B239" s="27" t="s">
        <v>762</v>
      </c>
      <c r="C239" s="27" t="s">
        <v>763</v>
      </c>
      <c r="D239" s="27" t="s">
        <v>764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1209</f>
        <v>1209.0</v>
      </c>
      <c r="L239" s="34" t="s">
        <v>48</v>
      </c>
      <c r="M239" s="33" t="n">
        <f>1210</f>
        <v>1210.0</v>
      </c>
      <c r="N239" s="34" t="s">
        <v>51</v>
      </c>
      <c r="O239" s="33" t="n">
        <f>1148</f>
        <v>1148.0</v>
      </c>
      <c r="P239" s="34" t="s">
        <v>50</v>
      </c>
      <c r="Q239" s="33" t="n">
        <f>1200</f>
        <v>1200.0</v>
      </c>
      <c r="R239" s="34" t="s">
        <v>51</v>
      </c>
      <c r="S239" s="35" t="n">
        <f>1184.6</f>
        <v>1184.6</v>
      </c>
      <c r="T239" s="32" t="n">
        <f>468910</f>
        <v>468910.0</v>
      </c>
      <c r="U239" s="32" t="n">
        <f>43060</f>
        <v>43060.0</v>
      </c>
      <c r="V239" s="32" t="n">
        <f>552045245</f>
        <v>5.52045245E8</v>
      </c>
      <c r="W239" s="32" t="n">
        <f>50304600</f>
        <v>5.03046E7</v>
      </c>
      <c r="X239" s="36" t="n">
        <f>20</f>
        <v>20.0</v>
      </c>
    </row>
    <row r="240">
      <c r="A240" s="27" t="s">
        <v>42</v>
      </c>
      <c r="B240" s="27" t="s">
        <v>765</v>
      </c>
      <c r="C240" s="27" t="s">
        <v>766</v>
      </c>
      <c r="D240" s="27" t="s">
        <v>767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6337</f>
        <v>6337.0</v>
      </c>
      <c r="L240" s="34" t="s">
        <v>48</v>
      </c>
      <c r="M240" s="33" t="n">
        <f>6428</f>
        <v>6428.0</v>
      </c>
      <c r="N240" s="34" t="s">
        <v>50</v>
      </c>
      <c r="O240" s="33" t="n">
        <f>6156</f>
        <v>6156.0</v>
      </c>
      <c r="P240" s="34" t="s">
        <v>49</v>
      </c>
      <c r="Q240" s="33" t="n">
        <f>6173</f>
        <v>6173.0</v>
      </c>
      <c r="R240" s="34" t="s">
        <v>51</v>
      </c>
      <c r="S240" s="35" t="n">
        <f>6257.6</f>
        <v>6257.6</v>
      </c>
      <c r="T240" s="32" t="n">
        <f>25981</f>
        <v>25981.0</v>
      </c>
      <c r="U240" s="32" t="n">
        <f>12580</f>
        <v>12580.0</v>
      </c>
      <c r="V240" s="32" t="n">
        <f>162416101</f>
        <v>1.62416101E8</v>
      </c>
      <c r="W240" s="32" t="n">
        <f>78209725</f>
        <v>7.8209725E7</v>
      </c>
      <c r="X240" s="36" t="n">
        <f>20</f>
        <v>20.0</v>
      </c>
    </row>
    <row r="241">
      <c r="A241" s="27" t="s">
        <v>42</v>
      </c>
      <c r="B241" s="27" t="s">
        <v>768</v>
      </c>
      <c r="C241" s="27" t="s">
        <v>769</v>
      </c>
      <c r="D241" s="27" t="s">
        <v>770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746.7</f>
        <v>746.7</v>
      </c>
      <c r="L241" s="34" t="s">
        <v>48</v>
      </c>
      <c r="M241" s="33" t="n">
        <f>753</f>
        <v>753.0</v>
      </c>
      <c r="N241" s="34" t="s">
        <v>81</v>
      </c>
      <c r="O241" s="33" t="n">
        <f>716.8</f>
        <v>716.8</v>
      </c>
      <c r="P241" s="34" t="s">
        <v>50</v>
      </c>
      <c r="Q241" s="33" t="n">
        <f>749.2</f>
        <v>749.2</v>
      </c>
      <c r="R241" s="34" t="s">
        <v>51</v>
      </c>
      <c r="S241" s="35" t="n">
        <f>738.33</f>
        <v>738.33</v>
      </c>
      <c r="T241" s="32" t="n">
        <f>483470</f>
        <v>483470.0</v>
      </c>
      <c r="U241" s="32" t="n">
        <f>2730</f>
        <v>2730.0</v>
      </c>
      <c r="V241" s="32" t="n">
        <f>355912622</f>
        <v>3.55912622E8</v>
      </c>
      <c r="W241" s="32" t="n">
        <f>2012991</f>
        <v>2012991.0</v>
      </c>
      <c r="X241" s="36" t="n">
        <f>20</f>
        <v>20.0</v>
      </c>
    </row>
    <row r="242">
      <c r="A242" s="27" t="s">
        <v>42</v>
      </c>
      <c r="B242" s="27" t="s">
        <v>771</v>
      </c>
      <c r="C242" s="27" t="s">
        <v>772</v>
      </c>
      <c r="D242" s="27" t="s">
        <v>773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591.8</f>
        <v>591.8</v>
      </c>
      <c r="L242" s="34" t="s">
        <v>48</v>
      </c>
      <c r="M242" s="33" t="n">
        <f>610</f>
        <v>610.0</v>
      </c>
      <c r="N242" s="34" t="s">
        <v>51</v>
      </c>
      <c r="O242" s="33" t="n">
        <f>580</f>
        <v>580.0</v>
      </c>
      <c r="P242" s="34" t="s">
        <v>50</v>
      </c>
      <c r="Q242" s="33" t="n">
        <f>604.9</f>
        <v>604.9</v>
      </c>
      <c r="R242" s="34" t="s">
        <v>51</v>
      </c>
      <c r="S242" s="35" t="n">
        <f>594.65</f>
        <v>594.65</v>
      </c>
      <c r="T242" s="32" t="n">
        <f>179890</f>
        <v>179890.0</v>
      </c>
      <c r="U242" s="32" t="n">
        <f>70000</f>
        <v>70000.0</v>
      </c>
      <c r="V242" s="32" t="n">
        <f>106311474</f>
        <v>1.06311474E8</v>
      </c>
      <c r="W242" s="32" t="n">
        <f>40971000</f>
        <v>4.0971E7</v>
      </c>
      <c r="X242" s="36" t="n">
        <f>20</f>
        <v>20.0</v>
      </c>
    </row>
    <row r="243">
      <c r="A243" s="27" t="s">
        <v>42</v>
      </c>
      <c r="B243" s="27" t="s">
        <v>774</v>
      </c>
      <c r="C243" s="27" t="s">
        <v>775</v>
      </c>
      <c r="D243" s="27" t="s">
        <v>776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2006</f>
        <v>2006.0</v>
      </c>
      <c r="L243" s="34" t="s">
        <v>48</v>
      </c>
      <c r="M243" s="33" t="n">
        <f>2070</f>
        <v>2070.0</v>
      </c>
      <c r="N243" s="34" t="s">
        <v>100</v>
      </c>
      <c r="O243" s="33" t="n">
        <f>1945</f>
        <v>1945.0</v>
      </c>
      <c r="P243" s="34" t="s">
        <v>116</v>
      </c>
      <c r="Q243" s="33" t="n">
        <f>2037</f>
        <v>2037.0</v>
      </c>
      <c r="R243" s="34" t="s">
        <v>51</v>
      </c>
      <c r="S243" s="35" t="n">
        <f>2010.75</f>
        <v>2010.75</v>
      </c>
      <c r="T243" s="32" t="n">
        <f>2460114</f>
        <v>2460114.0</v>
      </c>
      <c r="U243" s="32" t="n">
        <f>5600</f>
        <v>5600.0</v>
      </c>
      <c r="V243" s="32" t="n">
        <f>4956318055</f>
        <v>4.956318055E9</v>
      </c>
      <c r="W243" s="32" t="n">
        <f>11149992</f>
        <v>1.1149992E7</v>
      </c>
      <c r="X243" s="36" t="n">
        <f>20</f>
        <v>20.0</v>
      </c>
    </row>
    <row r="244">
      <c r="A244" s="27" t="s">
        <v>42</v>
      </c>
      <c r="B244" s="27" t="s">
        <v>777</v>
      </c>
      <c r="C244" s="27" t="s">
        <v>778</v>
      </c>
      <c r="D244" s="27" t="s">
        <v>779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2692</f>
        <v>2692.0</v>
      </c>
      <c r="L244" s="34" t="s">
        <v>48</v>
      </c>
      <c r="M244" s="33" t="n">
        <f>2759</f>
        <v>2759.0</v>
      </c>
      <c r="N244" s="34" t="s">
        <v>221</v>
      </c>
      <c r="O244" s="33" t="n">
        <f>2585</f>
        <v>2585.0</v>
      </c>
      <c r="P244" s="34" t="s">
        <v>50</v>
      </c>
      <c r="Q244" s="33" t="n">
        <f>2692</f>
        <v>2692.0</v>
      </c>
      <c r="R244" s="34" t="s">
        <v>51</v>
      </c>
      <c r="S244" s="35" t="n">
        <f>2681</f>
        <v>2681.0</v>
      </c>
      <c r="T244" s="32" t="n">
        <f>3252586</f>
        <v>3252586.0</v>
      </c>
      <c r="U244" s="32" t="n">
        <f>2265</f>
        <v>2265.0</v>
      </c>
      <c r="V244" s="32" t="n">
        <f>8712576457</f>
        <v>8.712576457E9</v>
      </c>
      <c r="W244" s="32" t="n">
        <f>6064200</f>
        <v>6064200.0</v>
      </c>
      <c r="X244" s="36" t="n">
        <f>20</f>
        <v>20.0</v>
      </c>
    </row>
    <row r="245">
      <c r="A245" s="27" t="s">
        <v>42</v>
      </c>
      <c r="B245" s="27" t="s">
        <v>780</v>
      </c>
      <c r="C245" s="27" t="s">
        <v>781</v>
      </c>
      <c r="D245" s="27" t="s">
        <v>782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739</f>
        <v>739.0</v>
      </c>
      <c r="L245" s="34" t="s">
        <v>48</v>
      </c>
      <c r="M245" s="33" t="n">
        <f>764.1</f>
        <v>764.1</v>
      </c>
      <c r="N245" s="34" t="s">
        <v>302</v>
      </c>
      <c r="O245" s="33" t="n">
        <f>734.4</f>
        <v>734.4</v>
      </c>
      <c r="P245" s="34" t="s">
        <v>49</v>
      </c>
      <c r="Q245" s="33" t="n">
        <f>739.9</f>
        <v>739.9</v>
      </c>
      <c r="R245" s="34" t="s">
        <v>81</v>
      </c>
      <c r="S245" s="35" t="n">
        <f>738.1</f>
        <v>738.1</v>
      </c>
      <c r="T245" s="32" t="n">
        <f>25580</f>
        <v>25580.0</v>
      </c>
      <c r="U245" s="32" t="str">
        <f>"－"</f>
        <v>－</v>
      </c>
      <c r="V245" s="32" t="n">
        <f>18897821</f>
        <v>1.8897821E7</v>
      </c>
      <c r="W245" s="32" t="str">
        <f>"－"</f>
        <v>－</v>
      </c>
      <c r="X245" s="36" t="n">
        <f>15</f>
        <v>15.0</v>
      </c>
    </row>
    <row r="246">
      <c r="A246" s="27" t="s">
        <v>42</v>
      </c>
      <c r="B246" s="27" t="s">
        <v>783</v>
      </c>
      <c r="C246" s="27" t="s">
        <v>784</v>
      </c>
      <c r="D246" s="27" t="s">
        <v>785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766</f>
        <v>766.0</v>
      </c>
      <c r="L246" s="34" t="s">
        <v>50</v>
      </c>
      <c r="M246" s="33" t="n">
        <f>766</f>
        <v>766.0</v>
      </c>
      <c r="N246" s="34" t="s">
        <v>50</v>
      </c>
      <c r="O246" s="33" t="n">
        <f>733.1</f>
        <v>733.1</v>
      </c>
      <c r="P246" s="34" t="s">
        <v>156</v>
      </c>
      <c r="Q246" s="33" t="n">
        <f>737.8</f>
        <v>737.8</v>
      </c>
      <c r="R246" s="34" t="s">
        <v>51</v>
      </c>
      <c r="S246" s="35" t="n">
        <f>741.19</f>
        <v>741.19</v>
      </c>
      <c r="T246" s="32" t="n">
        <f>568430</f>
        <v>568430.0</v>
      </c>
      <c r="U246" s="32" t="str">
        <f>"－"</f>
        <v>－</v>
      </c>
      <c r="V246" s="32" t="n">
        <f>418563600</f>
        <v>4.185636E8</v>
      </c>
      <c r="W246" s="32" t="str">
        <f>"－"</f>
        <v>－</v>
      </c>
      <c r="X246" s="36" t="n">
        <f>15</f>
        <v>15.0</v>
      </c>
    </row>
    <row r="247">
      <c r="A247" s="27" t="s">
        <v>42</v>
      </c>
      <c r="B247" s="27" t="s">
        <v>786</v>
      </c>
      <c r="C247" s="27" t="s">
        <v>787</v>
      </c>
      <c r="D247" s="27" t="s">
        <v>788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1796</f>
        <v>1796.0</v>
      </c>
      <c r="L247" s="34" t="s">
        <v>48</v>
      </c>
      <c r="M247" s="33" t="n">
        <f>1803</f>
        <v>1803.0</v>
      </c>
      <c r="N247" s="34" t="s">
        <v>77</v>
      </c>
      <c r="O247" s="33" t="n">
        <f>1731</f>
        <v>1731.0</v>
      </c>
      <c r="P247" s="34" t="s">
        <v>50</v>
      </c>
      <c r="Q247" s="33" t="n">
        <f>1800</f>
        <v>1800.0</v>
      </c>
      <c r="R247" s="34" t="s">
        <v>51</v>
      </c>
      <c r="S247" s="35" t="n">
        <f>1780.75</f>
        <v>1780.75</v>
      </c>
      <c r="T247" s="32" t="n">
        <f>989668</f>
        <v>989668.0</v>
      </c>
      <c r="U247" s="32" t="n">
        <f>558420</f>
        <v>558420.0</v>
      </c>
      <c r="V247" s="32" t="n">
        <f>1768092921</f>
        <v>1.768092921E9</v>
      </c>
      <c r="W247" s="32" t="n">
        <f>1000958086</f>
        <v>1.000958086E9</v>
      </c>
      <c r="X247" s="36" t="n">
        <f>20</f>
        <v>20.0</v>
      </c>
    </row>
    <row r="248">
      <c r="A248" s="27" t="s">
        <v>42</v>
      </c>
      <c r="B248" s="27" t="s">
        <v>789</v>
      </c>
      <c r="C248" s="27" t="s">
        <v>790</v>
      </c>
      <c r="D248" s="27" t="s">
        <v>791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2369</f>
        <v>2369.0</v>
      </c>
      <c r="L248" s="34" t="s">
        <v>48</v>
      </c>
      <c r="M248" s="33" t="n">
        <f>2430</f>
        <v>2430.0</v>
      </c>
      <c r="N248" s="34" t="s">
        <v>49</v>
      </c>
      <c r="O248" s="33" t="n">
        <f>2331</f>
        <v>2331.0</v>
      </c>
      <c r="P248" s="34" t="s">
        <v>50</v>
      </c>
      <c r="Q248" s="33" t="n">
        <f>2422</f>
        <v>2422.0</v>
      </c>
      <c r="R248" s="34" t="s">
        <v>51</v>
      </c>
      <c r="S248" s="35" t="n">
        <f>2390.8</f>
        <v>2390.8</v>
      </c>
      <c r="T248" s="32" t="n">
        <f>1158926</f>
        <v>1158926.0</v>
      </c>
      <c r="U248" s="32" t="n">
        <f>164400</f>
        <v>164400.0</v>
      </c>
      <c r="V248" s="32" t="n">
        <f>2772075064</f>
        <v>2.772075064E9</v>
      </c>
      <c r="W248" s="32" t="n">
        <f>394491295</f>
        <v>3.94491295E8</v>
      </c>
      <c r="X248" s="36" t="n">
        <f>20</f>
        <v>20.0</v>
      </c>
    </row>
    <row r="249">
      <c r="A249" s="27" t="s">
        <v>42</v>
      </c>
      <c r="B249" s="27" t="s">
        <v>792</v>
      </c>
      <c r="C249" s="27" t="s">
        <v>793</v>
      </c>
      <c r="D249" s="27" t="s">
        <v>794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13655</f>
        <v>13655.0</v>
      </c>
      <c r="L249" s="34" t="s">
        <v>48</v>
      </c>
      <c r="M249" s="33" t="n">
        <f>14035</f>
        <v>14035.0</v>
      </c>
      <c r="N249" s="34" t="s">
        <v>50</v>
      </c>
      <c r="O249" s="33" t="n">
        <f>12960</f>
        <v>12960.0</v>
      </c>
      <c r="P249" s="34" t="s">
        <v>51</v>
      </c>
      <c r="Q249" s="33" t="n">
        <f>12985</f>
        <v>12985.0</v>
      </c>
      <c r="R249" s="34" t="s">
        <v>51</v>
      </c>
      <c r="S249" s="35" t="n">
        <f>13346</f>
        <v>13346.0</v>
      </c>
      <c r="T249" s="32" t="n">
        <f>186339</f>
        <v>186339.0</v>
      </c>
      <c r="U249" s="32" t="n">
        <f>741</f>
        <v>741.0</v>
      </c>
      <c r="V249" s="32" t="n">
        <f>2519431493</f>
        <v>2.519431493E9</v>
      </c>
      <c r="W249" s="32" t="n">
        <f>9879968</f>
        <v>9879968.0</v>
      </c>
      <c r="X249" s="36" t="n">
        <f>20</f>
        <v>20.0</v>
      </c>
    </row>
    <row r="250">
      <c r="A250" s="27" t="s">
        <v>42</v>
      </c>
      <c r="B250" s="27" t="s">
        <v>795</v>
      </c>
      <c r="C250" s="27" t="s">
        <v>796</v>
      </c>
      <c r="D250" s="27" t="s">
        <v>797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1350</f>
        <v>1350.0</v>
      </c>
      <c r="L250" s="34" t="s">
        <v>48</v>
      </c>
      <c r="M250" s="33" t="n">
        <f>1393</f>
        <v>1393.0</v>
      </c>
      <c r="N250" s="34" t="s">
        <v>454</v>
      </c>
      <c r="O250" s="33" t="n">
        <f>1219</f>
        <v>1219.0</v>
      </c>
      <c r="P250" s="34" t="s">
        <v>86</v>
      </c>
      <c r="Q250" s="33" t="n">
        <f>1366</f>
        <v>1366.0</v>
      </c>
      <c r="R250" s="34" t="s">
        <v>51</v>
      </c>
      <c r="S250" s="35" t="n">
        <f>1314.25</f>
        <v>1314.25</v>
      </c>
      <c r="T250" s="32" t="n">
        <f>226252</f>
        <v>226252.0</v>
      </c>
      <c r="U250" s="32" t="str">
        <f>"－"</f>
        <v>－</v>
      </c>
      <c r="V250" s="32" t="n">
        <f>296965124</f>
        <v>2.96965124E8</v>
      </c>
      <c r="W250" s="32" t="str">
        <f>"－"</f>
        <v>－</v>
      </c>
      <c r="X250" s="36" t="n">
        <f>20</f>
        <v>20.0</v>
      </c>
    </row>
    <row r="251">
      <c r="A251" s="27" t="s">
        <v>42</v>
      </c>
      <c r="B251" s="27" t="s">
        <v>798</v>
      </c>
      <c r="C251" s="27" t="s">
        <v>799</v>
      </c>
      <c r="D251" s="27" t="s">
        <v>800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260.9</f>
        <v>260.9</v>
      </c>
      <c r="L251" s="34" t="s">
        <v>48</v>
      </c>
      <c r="M251" s="33" t="n">
        <f>285.5</f>
        <v>285.5</v>
      </c>
      <c r="N251" s="34" t="s">
        <v>49</v>
      </c>
      <c r="O251" s="33" t="n">
        <f>251</f>
        <v>251.0</v>
      </c>
      <c r="P251" s="34" t="s">
        <v>454</v>
      </c>
      <c r="Q251" s="33" t="n">
        <f>272.7</f>
        <v>272.7</v>
      </c>
      <c r="R251" s="34" t="s">
        <v>51</v>
      </c>
      <c r="S251" s="35" t="n">
        <f>270.07</f>
        <v>270.07</v>
      </c>
      <c r="T251" s="32" t="n">
        <f>2219970</f>
        <v>2219970.0</v>
      </c>
      <c r="U251" s="32" t="n">
        <f>2100000</f>
        <v>2100000.0</v>
      </c>
      <c r="V251" s="32" t="n">
        <f>580598332</f>
        <v>5.80598332E8</v>
      </c>
      <c r="W251" s="32" t="n">
        <f>548100000</f>
        <v>5.481E8</v>
      </c>
      <c r="X251" s="36" t="n">
        <f>20</f>
        <v>20.0</v>
      </c>
    </row>
    <row r="252">
      <c r="A252" s="27" t="s">
        <v>42</v>
      </c>
      <c r="B252" s="27" t="s">
        <v>801</v>
      </c>
      <c r="C252" s="27" t="s">
        <v>802</v>
      </c>
      <c r="D252" s="27" t="s">
        <v>803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798</f>
        <v>798.0</v>
      </c>
      <c r="L252" s="34" t="s">
        <v>48</v>
      </c>
      <c r="M252" s="33" t="n">
        <f>809.9</f>
        <v>809.9</v>
      </c>
      <c r="N252" s="34" t="s">
        <v>77</v>
      </c>
      <c r="O252" s="33" t="n">
        <f>786.9</f>
        <v>786.9</v>
      </c>
      <c r="P252" s="34" t="s">
        <v>50</v>
      </c>
      <c r="Q252" s="33" t="n">
        <f>803.7</f>
        <v>803.7</v>
      </c>
      <c r="R252" s="34" t="s">
        <v>51</v>
      </c>
      <c r="S252" s="35" t="n">
        <f>799.15</f>
        <v>799.15</v>
      </c>
      <c r="T252" s="32" t="n">
        <f>1889000</f>
        <v>1889000.0</v>
      </c>
      <c r="U252" s="32" t="n">
        <f>70</f>
        <v>70.0</v>
      </c>
      <c r="V252" s="32" t="n">
        <f>1504286039</f>
        <v>1.504286039E9</v>
      </c>
      <c r="W252" s="32" t="n">
        <f>56399</f>
        <v>56399.0</v>
      </c>
      <c r="X252" s="36" t="n">
        <f>20</f>
        <v>20.0</v>
      </c>
    </row>
    <row r="253">
      <c r="A253" s="27" t="s">
        <v>42</v>
      </c>
      <c r="B253" s="27" t="s">
        <v>804</v>
      </c>
      <c r="C253" s="27" t="s">
        <v>805</v>
      </c>
      <c r="D253" s="27" t="s">
        <v>806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1223</f>
        <v>1223.0</v>
      </c>
      <c r="L253" s="34" t="s">
        <v>48</v>
      </c>
      <c r="M253" s="33" t="n">
        <f>1244</f>
        <v>1244.0</v>
      </c>
      <c r="N253" s="34" t="s">
        <v>81</v>
      </c>
      <c r="O253" s="33" t="n">
        <f>1175</f>
        <v>1175.0</v>
      </c>
      <c r="P253" s="34" t="s">
        <v>50</v>
      </c>
      <c r="Q253" s="33" t="n">
        <f>1229</f>
        <v>1229.0</v>
      </c>
      <c r="R253" s="34" t="s">
        <v>51</v>
      </c>
      <c r="S253" s="35" t="n">
        <f>1205.25</f>
        <v>1205.25</v>
      </c>
      <c r="T253" s="32" t="n">
        <f>75733</f>
        <v>75733.0</v>
      </c>
      <c r="U253" s="32" t="str">
        <f>"－"</f>
        <v>－</v>
      </c>
      <c r="V253" s="32" t="n">
        <f>90916487</f>
        <v>9.0916487E7</v>
      </c>
      <c r="W253" s="32" t="str">
        <f>"－"</f>
        <v>－</v>
      </c>
      <c r="X253" s="36" t="n">
        <f>20</f>
        <v>20.0</v>
      </c>
    </row>
    <row r="254">
      <c r="A254" s="27" t="s">
        <v>42</v>
      </c>
      <c r="B254" s="27" t="s">
        <v>807</v>
      </c>
      <c r="C254" s="27" t="s">
        <v>808</v>
      </c>
      <c r="D254" s="27" t="s">
        <v>809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1132</f>
        <v>1132.0</v>
      </c>
      <c r="L254" s="34" t="s">
        <v>48</v>
      </c>
      <c r="M254" s="33" t="n">
        <f>1139</f>
        <v>1139.0</v>
      </c>
      <c r="N254" s="34" t="s">
        <v>199</v>
      </c>
      <c r="O254" s="33" t="n">
        <f>1096</f>
        <v>1096.0</v>
      </c>
      <c r="P254" s="34" t="s">
        <v>82</v>
      </c>
      <c r="Q254" s="33" t="n">
        <f>1127</f>
        <v>1127.0</v>
      </c>
      <c r="R254" s="34" t="s">
        <v>51</v>
      </c>
      <c r="S254" s="35" t="n">
        <f>1115.95</f>
        <v>1115.95</v>
      </c>
      <c r="T254" s="32" t="n">
        <f>615505</f>
        <v>615505.0</v>
      </c>
      <c r="U254" s="32" t="str">
        <f>"－"</f>
        <v>－</v>
      </c>
      <c r="V254" s="32" t="n">
        <f>688056986</f>
        <v>6.88056986E8</v>
      </c>
      <c r="W254" s="32" t="str">
        <f>"－"</f>
        <v>－</v>
      </c>
      <c r="X254" s="36" t="n">
        <f>20</f>
        <v>20.0</v>
      </c>
    </row>
    <row r="255">
      <c r="A255" s="27" t="s">
        <v>42</v>
      </c>
      <c r="B255" s="27" t="s">
        <v>810</v>
      </c>
      <c r="C255" s="27" t="s">
        <v>811</v>
      </c>
      <c r="D255" s="27" t="s">
        <v>812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914</f>
        <v>914.0</v>
      </c>
      <c r="L255" s="34" t="s">
        <v>48</v>
      </c>
      <c r="M255" s="33" t="n">
        <f>1030</f>
        <v>1030.0</v>
      </c>
      <c r="N255" s="34" t="s">
        <v>51</v>
      </c>
      <c r="O255" s="33" t="n">
        <f>891</f>
        <v>891.0</v>
      </c>
      <c r="P255" s="34" t="s">
        <v>50</v>
      </c>
      <c r="Q255" s="33" t="n">
        <f>1024</f>
        <v>1024.0</v>
      </c>
      <c r="R255" s="34" t="s">
        <v>51</v>
      </c>
      <c r="S255" s="35" t="n">
        <f>943.15</f>
        <v>943.15</v>
      </c>
      <c r="T255" s="32" t="n">
        <f>1943754</f>
        <v>1943754.0</v>
      </c>
      <c r="U255" s="32" t="str">
        <f>"－"</f>
        <v>－</v>
      </c>
      <c r="V255" s="32" t="n">
        <f>1855620107</f>
        <v>1.855620107E9</v>
      </c>
      <c r="W255" s="32" t="str">
        <f>"－"</f>
        <v>－</v>
      </c>
      <c r="X255" s="36" t="n">
        <f>20</f>
        <v>20.0</v>
      </c>
    </row>
    <row r="256">
      <c r="A256" s="27" t="s">
        <v>42</v>
      </c>
      <c r="B256" s="27" t="s">
        <v>813</v>
      </c>
      <c r="C256" s="27" t="s">
        <v>814</v>
      </c>
      <c r="D256" s="27" t="s">
        <v>815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198.7</f>
        <v>198.7</v>
      </c>
      <c r="L256" s="34" t="s">
        <v>48</v>
      </c>
      <c r="M256" s="33" t="n">
        <f>198.7</f>
        <v>198.7</v>
      </c>
      <c r="N256" s="34" t="s">
        <v>48</v>
      </c>
      <c r="O256" s="33" t="n">
        <f>193.4</f>
        <v>193.4</v>
      </c>
      <c r="P256" s="34" t="s">
        <v>156</v>
      </c>
      <c r="Q256" s="33" t="n">
        <f>195.6</f>
        <v>195.6</v>
      </c>
      <c r="R256" s="34" t="s">
        <v>51</v>
      </c>
      <c r="S256" s="35" t="n">
        <f>195.67</f>
        <v>195.67</v>
      </c>
      <c r="T256" s="32" t="n">
        <f>3357360</f>
        <v>3357360.0</v>
      </c>
      <c r="U256" s="32" t="n">
        <f>54500</f>
        <v>54500.0</v>
      </c>
      <c r="V256" s="32" t="n">
        <f>656823742</f>
        <v>6.56823742E8</v>
      </c>
      <c r="W256" s="32" t="n">
        <f>10665729</f>
        <v>1.0665729E7</v>
      </c>
      <c r="X256" s="36" t="n">
        <f>20</f>
        <v>20.0</v>
      </c>
    </row>
    <row r="257">
      <c r="A257" s="27" t="s">
        <v>42</v>
      </c>
      <c r="B257" s="27" t="s">
        <v>816</v>
      </c>
      <c r="C257" s="27" t="s">
        <v>817</v>
      </c>
      <c r="D257" s="27" t="s">
        <v>818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210.1</f>
        <v>210.1</v>
      </c>
      <c r="L257" s="34" t="s">
        <v>48</v>
      </c>
      <c r="M257" s="33" t="n">
        <f>210.1</f>
        <v>210.1</v>
      </c>
      <c r="N257" s="34" t="s">
        <v>48</v>
      </c>
      <c r="O257" s="33" t="n">
        <f>206.4</f>
        <v>206.4</v>
      </c>
      <c r="P257" s="34" t="s">
        <v>82</v>
      </c>
      <c r="Q257" s="33" t="n">
        <f>208.1</f>
        <v>208.1</v>
      </c>
      <c r="R257" s="34" t="s">
        <v>51</v>
      </c>
      <c r="S257" s="35" t="n">
        <f>207.8</f>
        <v>207.8</v>
      </c>
      <c r="T257" s="32" t="n">
        <f>799410</f>
        <v>799410.0</v>
      </c>
      <c r="U257" s="32" t="n">
        <f>8500</f>
        <v>8500.0</v>
      </c>
      <c r="V257" s="32" t="n">
        <f>166135862</f>
        <v>1.66135862E8</v>
      </c>
      <c r="W257" s="32" t="n">
        <f>1765599</f>
        <v>1765599.0</v>
      </c>
      <c r="X257" s="36" t="n">
        <f>20</f>
        <v>20.0</v>
      </c>
    </row>
    <row r="258">
      <c r="A258" s="27" t="s">
        <v>42</v>
      </c>
      <c r="B258" s="27" t="s">
        <v>819</v>
      </c>
      <c r="C258" s="27" t="s">
        <v>820</v>
      </c>
      <c r="D258" s="27" t="s">
        <v>821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214.5</f>
        <v>214.5</v>
      </c>
      <c r="L258" s="34" t="s">
        <v>48</v>
      </c>
      <c r="M258" s="33" t="n">
        <f>214.5</f>
        <v>214.5</v>
      </c>
      <c r="N258" s="34" t="s">
        <v>48</v>
      </c>
      <c r="O258" s="33" t="n">
        <f>209</f>
        <v>209.0</v>
      </c>
      <c r="P258" s="34" t="s">
        <v>100</v>
      </c>
      <c r="Q258" s="33" t="n">
        <f>210.4</f>
        <v>210.4</v>
      </c>
      <c r="R258" s="34" t="s">
        <v>51</v>
      </c>
      <c r="S258" s="35" t="n">
        <f>210.21</f>
        <v>210.21</v>
      </c>
      <c r="T258" s="32" t="n">
        <f>276080</f>
        <v>276080.0</v>
      </c>
      <c r="U258" s="32" t="n">
        <f>10180</f>
        <v>10180.0</v>
      </c>
      <c r="V258" s="32" t="n">
        <f>58055814</f>
        <v>5.8055814E7</v>
      </c>
      <c r="W258" s="32" t="n">
        <f>2136989</f>
        <v>2136989.0</v>
      </c>
      <c r="X258" s="36" t="n">
        <f>20</f>
        <v>20.0</v>
      </c>
    </row>
    <row r="259">
      <c r="A259" s="27" t="s">
        <v>42</v>
      </c>
      <c r="B259" s="27" t="s">
        <v>822</v>
      </c>
      <c r="C259" s="27" t="s">
        <v>823</v>
      </c>
      <c r="D259" s="27" t="s">
        <v>824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214.6</f>
        <v>214.6</v>
      </c>
      <c r="L259" s="34" t="s">
        <v>48</v>
      </c>
      <c r="M259" s="33" t="n">
        <f>215.5</f>
        <v>215.5</v>
      </c>
      <c r="N259" s="34" t="s">
        <v>48</v>
      </c>
      <c r="O259" s="33" t="n">
        <f>210.7</f>
        <v>210.7</v>
      </c>
      <c r="P259" s="34" t="s">
        <v>50</v>
      </c>
      <c r="Q259" s="33" t="n">
        <f>213.6</f>
        <v>213.6</v>
      </c>
      <c r="R259" s="34" t="s">
        <v>51</v>
      </c>
      <c r="S259" s="35" t="n">
        <f>212.79</f>
        <v>212.79</v>
      </c>
      <c r="T259" s="32" t="n">
        <f>898120</f>
        <v>898120.0</v>
      </c>
      <c r="U259" s="32" t="n">
        <f>11700</f>
        <v>11700.0</v>
      </c>
      <c r="V259" s="32" t="n">
        <f>191182899</f>
        <v>1.91182899E8</v>
      </c>
      <c r="W259" s="32" t="n">
        <f>2487316</f>
        <v>2487316.0</v>
      </c>
      <c r="X259" s="36" t="n">
        <f>20</f>
        <v>20.0</v>
      </c>
    </row>
    <row r="260">
      <c r="A260" s="27" t="s">
        <v>42</v>
      </c>
      <c r="B260" s="27" t="s">
        <v>825</v>
      </c>
      <c r="C260" s="27" t="s">
        <v>826</v>
      </c>
      <c r="D260" s="27" t="s">
        <v>827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10.0</v>
      </c>
      <c r="K260" s="33" t="n">
        <f>191.3</f>
        <v>191.3</v>
      </c>
      <c r="L260" s="34" t="s">
        <v>48</v>
      </c>
      <c r="M260" s="33" t="n">
        <f>192.6</f>
        <v>192.6</v>
      </c>
      <c r="N260" s="34" t="s">
        <v>156</v>
      </c>
      <c r="O260" s="33" t="n">
        <f>189.1</f>
        <v>189.1</v>
      </c>
      <c r="P260" s="34" t="s">
        <v>156</v>
      </c>
      <c r="Q260" s="33" t="n">
        <f>189.6</f>
        <v>189.6</v>
      </c>
      <c r="R260" s="34" t="s">
        <v>51</v>
      </c>
      <c r="S260" s="35" t="n">
        <f>190.67</f>
        <v>190.67</v>
      </c>
      <c r="T260" s="32" t="n">
        <f>3932310</f>
        <v>3932310.0</v>
      </c>
      <c r="U260" s="32" t="n">
        <f>20</f>
        <v>20.0</v>
      </c>
      <c r="V260" s="32" t="n">
        <f>744021798</f>
        <v>7.44021798E8</v>
      </c>
      <c r="W260" s="32" t="n">
        <f>3798</f>
        <v>3798.0</v>
      </c>
      <c r="X260" s="36" t="n">
        <f>20</f>
        <v>20.0</v>
      </c>
    </row>
    <row r="261">
      <c r="A261" s="27" t="s">
        <v>42</v>
      </c>
      <c r="B261" s="27" t="s">
        <v>828</v>
      </c>
      <c r="C261" s="27" t="s">
        <v>829</v>
      </c>
      <c r="D261" s="27" t="s">
        <v>830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1990</f>
        <v>1990.0</v>
      </c>
      <c r="L261" s="34" t="s">
        <v>48</v>
      </c>
      <c r="M261" s="33" t="n">
        <f>2015</f>
        <v>2015.0</v>
      </c>
      <c r="N261" s="34" t="s">
        <v>292</v>
      </c>
      <c r="O261" s="33" t="n">
        <f>1918</f>
        <v>1918.0</v>
      </c>
      <c r="P261" s="34" t="s">
        <v>81</v>
      </c>
      <c r="Q261" s="33" t="n">
        <f>1928</f>
        <v>1928.0</v>
      </c>
      <c r="R261" s="34" t="s">
        <v>51</v>
      </c>
      <c r="S261" s="35" t="n">
        <f>1958.7</f>
        <v>1958.7</v>
      </c>
      <c r="T261" s="32" t="n">
        <f>741559</f>
        <v>741559.0</v>
      </c>
      <c r="U261" s="32" t="n">
        <f>30000</f>
        <v>30000.0</v>
      </c>
      <c r="V261" s="32" t="n">
        <f>1454241876</f>
        <v>1.454241876E9</v>
      </c>
      <c r="W261" s="32" t="n">
        <f>59931000</f>
        <v>5.9931E7</v>
      </c>
      <c r="X261" s="36" t="n">
        <f>20</f>
        <v>20.0</v>
      </c>
    </row>
    <row r="262">
      <c r="A262" s="27" t="s">
        <v>42</v>
      </c>
      <c r="B262" s="27" t="s">
        <v>831</v>
      </c>
      <c r="C262" s="27" t="s">
        <v>832</v>
      </c>
      <c r="D262" s="27" t="s">
        <v>833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1085</f>
        <v>1085.0</v>
      </c>
      <c r="L262" s="34" t="s">
        <v>48</v>
      </c>
      <c r="M262" s="33" t="n">
        <f>1222</f>
        <v>1222.0</v>
      </c>
      <c r="N262" s="34" t="s">
        <v>86</v>
      </c>
      <c r="O262" s="33" t="n">
        <f>1067</f>
        <v>1067.0</v>
      </c>
      <c r="P262" s="34" t="s">
        <v>50</v>
      </c>
      <c r="Q262" s="33" t="n">
        <f>1160</f>
        <v>1160.0</v>
      </c>
      <c r="R262" s="34" t="s">
        <v>51</v>
      </c>
      <c r="S262" s="35" t="n">
        <f>1140.5</f>
        <v>1140.5</v>
      </c>
      <c r="T262" s="32" t="n">
        <f>100956</f>
        <v>100956.0</v>
      </c>
      <c r="U262" s="32" t="n">
        <f>6032</f>
        <v>6032.0</v>
      </c>
      <c r="V262" s="32" t="n">
        <f>112926627</f>
        <v>1.12926627E8</v>
      </c>
      <c r="W262" s="32" t="n">
        <f>6574483</f>
        <v>6574483.0</v>
      </c>
      <c r="X262" s="36" t="n">
        <f>20</f>
        <v>20.0</v>
      </c>
    </row>
    <row r="263">
      <c r="A263" s="27" t="s">
        <v>42</v>
      </c>
      <c r="B263" s="27" t="s">
        <v>834</v>
      </c>
      <c r="C263" s="27" t="s">
        <v>835</v>
      </c>
      <c r="D263" s="27" t="s">
        <v>836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1075</f>
        <v>1075.0</v>
      </c>
      <c r="L263" s="34" t="s">
        <v>48</v>
      </c>
      <c r="M263" s="33" t="n">
        <f>1148</f>
        <v>1148.0</v>
      </c>
      <c r="N263" s="34" t="s">
        <v>199</v>
      </c>
      <c r="O263" s="33" t="n">
        <f>1060</f>
        <v>1060.0</v>
      </c>
      <c r="P263" s="34" t="s">
        <v>50</v>
      </c>
      <c r="Q263" s="33" t="n">
        <f>1127</f>
        <v>1127.0</v>
      </c>
      <c r="R263" s="34" t="s">
        <v>51</v>
      </c>
      <c r="S263" s="35" t="n">
        <f>1118.35</f>
        <v>1118.35</v>
      </c>
      <c r="T263" s="32" t="n">
        <f>970102</f>
        <v>970102.0</v>
      </c>
      <c r="U263" s="32" t="n">
        <f>495009</f>
        <v>495009.0</v>
      </c>
      <c r="V263" s="32" t="n">
        <f>1086116347</f>
        <v>1.086116347E9</v>
      </c>
      <c r="W263" s="32" t="n">
        <f>557469401</f>
        <v>5.57469401E8</v>
      </c>
      <c r="X263" s="36" t="n">
        <f>20</f>
        <v>20.0</v>
      </c>
    </row>
    <row r="264">
      <c r="A264" s="27" t="s">
        <v>42</v>
      </c>
      <c r="B264" s="27" t="s">
        <v>837</v>
      </c>
      <c r="C264" s="27" t="s">
        <v>838</v>
      </c>
      <c r="D264" s="27" t="s">
        <v>839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477.9</f>
        <v>477.9</v>
      </c>
      <c r="L264" s="34" t="s">
        <v>48</v>
      </c>
      <c r="M264" s="33" t="n">
        <f>481.8</f>
        <v>481.8</v>
      </c>
      <c r="N264" s="34" t="s">
        <v>50</v>
      </c>
      <c r="O264" s="33" t="n">
        <f>475</f>
        <v>475.0</v>
      </c>
      <c r="P264" s="34" t="s">
        <v>77</v>
      </c>
      <c r="Q264" s="33" t="n">
        <f>475.8</f>
        <v>475.8</v>
      </c>
      <c r="R264" s="34" t="s">
        <v>51</v>
      </c>
      <c r="S264" s="35" t="n">
        <f>477.86</f>
        <v>477.86</v>
      </c>
      <c r="T264" s="32" t="n">
        <f>3392550</f>
        <v>3392550.0</v>
      </c>
      <c r="U264" s="32" t="n">
        <f>3252080</f>
        <v>3252080.0</v>
      </c>
      <c r="V264" s="32" t="n">
        <f>1615125711</f>
        <v>1.615125711E9</v>
      </c>
      <c r="W264" s="32" t="n">
        <f>1547735397</f>
        <v>1.547735397E9</v>
      </c>
      <c r="X264" s="36" t="n">
        <f>20</f>
        <v>20.0</v>
      </c>
    </row>
    <row r="265">
      <c r="A265" s="27" t="s">
        <v>42</v>
      </c>
      <c r="B265" s="27" t="s">
        <v>840</v>
      </c>
      <c r="C265" s="27" t="s">
        <v>841</v>
      </c>
      <c r="D265" s="27" t="s">
        <v>842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159.2</f>
        <v>159.2</v>
      </c>
      <c r="L265" s="34" t="s">
        <v>48</v>
      </c>
      <c r="M265" s="33" t="n">
        <f>160.4</f>
        <v>160.4</v>
      </c>
      <c r="N265" s="34" t="s">
        <v>116</v>
      </c>
      <c r="O265" s="33" t="n">
        <f>153.6</f>
        <v>153.6</v>
      </c>
      <c r="P265" s="34" t="s">
        <v>156</v>
      </c>
      <c r="Q265" s="33" t="n">
        <f>154.7</f>
        <v>154.7</v>
      </c>
      <c r="R265" s="34" t="s">
        <v>51</v>
      </c>
      <c r="S265" s="35" t="n">
        <f>156.64</f>
        <v>156.64</v>
      </c>
      <c r="T265" s="32" t="n">
        <f>5127470</f>
        <v>5127470.0</v>
      </c>
      <c r="U265" s="32" t="n">
        <f>1930</f>
        <v>1930.0</v>
      </c>
      <c r="V265" s="32" t="n">
        <f>801607373</f>
        <v>8.01607373E8</v>
      </c>
      <c r="W265" s="32" t="n">
        <f>296848</f>
        <v>296848.0</v>
      </c>
      <c r="X265" s="36" t="n">
        <f>20</f>
        <v>20.0</v>
      </c>
    </row>
    <row r="266">
      <c r="A266" s="27" t="s">
        <v>42</v>
      </c>
      <c r="B266" s="27" t="s">
        <v>843</v>
      </c>
      <c r="C266" s="27" t="s">
        <v>844</v>
      </c>
      <c r="D266" s="27" t="s">
        <v>845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144</f>
        <v>144.0</v>
      </c>
      <c r="L266" s="34" t="s">
        <v>48</v>
      </c>
      <c r="M266" s="33" t="n">
        <f>148.1</f>
        <v>148.1</v>
      </c>
      <c r="N266" s="34" t="s">
        <v>116</v>
      </c>
      <c r="O266" s="33" t="n">
        <f>141.6</f>
        <v>141.6</v>
      </c>
      <c r="P266" s="34" t="s">
        <v>64</v>
      </c>
      <c r="Q266" s="33" t="n">
        <f>143.1</f>
        <v>143.1</v>
      </c>
      <c r="R266" s="34" t="s">
        <v>51</v>
      </c>
      <c r="S266" s="35" t="n">
        <f>144.22</f>
        <v>144.22</v>
      </c>
      <c r="T266" s="32" t="n">
        <f>8397590</f>
        <v>8397590.0</v>
      </c>
      <c r="U266" s="32" t="n">
        <f>100</f>
        <v>100.0</v>
      </c>
      <c r="V266" s="32" t="n">
        <f>1210762559</f>
        <v>1.210762559E9</v>
      </c>
      <c r="W266" s="32" t="n">
        <f>14580</f>
        <v>14580.0</v>
      </c>
      <c r="X266" s="36" t="n">
        <f>20</f>
        <v>20.0</v>
      </c>
    </row>
    <row r="267">
      <c r="A267" s="27" t="s">
        <v>42</v>
      </c>
      <c r="B267" s="27" t="s">
        <v>846</v>
      </c>
      <c r="C267" s="27" t="s">
        <v>847</v>
      </c>
      <c r="D267" s="27" t="s">
        <v>848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10.0</v>
      </c>
      <c r="K267" s="33" t="n">
        <f>866.3</f>
        <v>866.3</v>
      </c>
      <c r="L267" s="34" t="s">
        <v>48</v>
      </c>
      <c r="M267" s="33" t="n">
        <f>871.4</f>
        <v>871.4</v>
      </c>
      <c r="N267" s="34" t="s">
        <v>50</v>
      </c>
      <c r="O267" s="33" t="n">
        <f>860</f>
        <v>860.0</v>
      </c>
      <c r="P267" s="34" t="s">
        <v>199</v>
      </c>
      <c r="Q267" s="33" t="n">
        <f>863.3</f>
        <v>863.3</v>
      </c>
      <c r="R267" s="34" t="s">
        <v>51</v>
      </c>
      <c r="S267" s="35" t="n">
        <f>865.05</f>
        <v>865.05</v>
      </c>
      <c r="T267" s="32" t="n">
        <f>15064610</f>
        <v>1.506461E7</v>
      </c>
      <c r="U267" s="32" t="n">
        <f>13936800</f>
        <v>1.39368E7</v>
      </c>
      <c r="V267" s="32" t="n">
        <f>13048817013</f>
        <v>1.3048817013E10</v>
      </c>
      <c r="W267" s="32" t="n">
        <f>12071725290</f>
        <v>1.207172529E10</v>
      </c>
      <c r="X267" s="36" t="n">
        <f>20</f>
        <v>20.0</v>
      </c>
    </row>
    <row r="268">
      <c r="A268" s="27" t="s">
        <v>42</v>
      </c>
      <c r="B268" s="27" t="s">
        <v>849</v>
      </c>
      <c r="C268" s="27" t="s">
        <v>850</v>
      </c>
      <c r="D268" s="27" t="s">
        <v>851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10.0</v>
      </c>
      <c r="K268" s="33" t="n">
        <f>1113.5</f>
        <v>1113.5</v>
      </c>
      <c r="L268" s="34" t="s">
        <v>48</v>
      </c>
      <c r="M268" s="33" t="n">
        <f>1121</f>
        <v>1121.0</v>
      </c>
      <c r="N268" s="34" t="s">
        <v>199</v>
      </c>
      <c r="O268" s="33" t="n">
        <f>1101</f>
        <v>1101.0</v>
      </c>
      <c r="P268" s="34" t="s">
        <v>82</v>
      </c>
      <c r="Q268" s="33" t="n">
        <f>1121</f>
        <v>1121.0</v>
      </c>
      <c r="R268" s="34" t="s">
        <v>51</v>
      </c>
      <c r="S268" s="35" t="n">
        <f>1108.53</f>
        <v>1108.53</v>
      </c>
      <c r="T268" s="32" t="n">
        <f>1642150</f>
        <v>1642150.0</v>
      </c>
      <c r="U268" s="32" t="n">
        <f>525890</f>
        <v>525890.0</v>
      </c>
      <c r="V268" s="32" t="n">
        <f>1817242156</f>
        <v>1.817242156E9</v>
      </c>
      <c r="W268" s="32" t="n">
        <f>582026601</f>
        <v>5.82026601E8</v>
      </c>
      <c r="X268" s="36" t="n">
        <f>20</f>
        <v>20.0</v>
      </c>
    </row>
    <row r="269">
      <c r="A269" s="27" t="s">
        <v>42</v>
      </c>
      <c r="B269" s="27" t="s">
        <v>852</v>
      </c>
      <c r="C269" s="27" t="s">
        <v>853</v>
      </c>
      <c r="D269" s="27" t="s">
        <v>854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10.0</v>
      </c>
      <c r="K269" s="33" t="n">
        <f>760</f>
        <v>760.0</v>
      </c>
      <c r="L269" s="34" t="s">
        <v>48</v>
      </c>
      <c r="M269" s="33" t="n">
        <f>764.1</f>
        <v>764.1</v>
      </c>
      <c r="N269" s="34" t="s">
        <v>50</v>
      </c>
      <c r="O269" s="33" t="n">
        <f>757.5</f>
        <v>757.5</v>
      </c>
      <c r="P269" s="34" t="s">
        <v>49</v>
      </c>
      <c r="Q269" s="33" t="n">
        <f>762</f>
        <v>762.0</v>
      </c>
      <c r="R269" s="34" t="s">
        <v>51</v>
      </c>
      <c r="S269" s="35" t="n">
        <f>760.97</f>
        <v>760.97</v>
      </c>
      <c r="T269" s="32" t="n">
        <f>21844140</f>
        <v>2.184414E7</v>
      </c>
      <c r="U269" s="32" t="n">
        <f>21473570</f>
        <v>2.147357E7</v>
      </c>
      <c r="V269" s="32" t="n">
        <f>16644677691</f>
        <v>1.6644677691E10</v>
      </c>
      <c r="W269" s="32" t="n">
        <f>16362498236</f>
        <v>1.6362498236E10</v>
      </c>
      <c r="X269" s="36" t="n">
        <f>20</f>
        <v>20.0</v>
      </c>
    </row>
    <row r="270">
      <c r="A270" s="27" t="s">
        <v>42</v>
      </c>
      <c r="B270" s="27" t="s">
        <v>855</v>
      </c>
      <c r="C270" s="27" t="s">
        <v>856</v>
      </c>
      <c r="D270" s="27" t="s">
        <v>857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10.0</v>
      </c>
      <c r="K270" s="33" t="n">
        <f>2832.5</f>
        <v>2832.5</v>
      </c>
      <c r="L270" s="34" t="s">
        <v>48</v>
      </c>
      <c r="M270" s="33" t="n">
        <f>2850.5</f>
        <v>2850.5</v>
      </c>
      <c r="N270" s="34" t="s">
        <v>77</v>
      </c>
      <c r="O270" s="33" t="n">
        <f>2730.5</f>
        <v>2730.5</v>
      </c>
      <c r="P270" s="34" t="s">
        <v>50</v>
      </c>
      <c r="Q270" s="33" t="n">
        <f>2845</f>
        <v>2845.0</v>
      </c>
      <c r="R270" s="34" t="s">
        <v>51</v>
      </c>
      <c r="S270" s="35" t="n">
        <f>2815</f>
        <v>2815.0</v>
      </c>
      <c r="T270" s="32" t="n">
        <f>558730</f>
        <v>558730.0</v>
      </c>
      <c r="U270" s="32" t="n">
        <f>32520</f>
        <v>32520.0</v>
      </c>
      <c r="V270" s="32" t="n">
        <f>1563858328</f>
        <v>1.563858328E9</v>
      </c>
      <c r="W270" s="32" t="n">
        <f>90432943</f>
        <v>9.0432943E7</v>
      </c>
      <c r="X270" s="36" t="n">
        <f>20</f>
        <v>20.0</v>
      </c>
    </row>
    <row r="271">
      <c r="A271" s="27" t="s">
        <v>42</v>
      </c>
      <c r="B271" s="27" t="s">
        <v>858</v>
      </c>
      <c r="C271" s="27" t="s">
        <v>859</v>
      </c>
      <c r="D271" s="27" t="s">
        <v>860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10.0</v>
      </c>
      <c r="K271" s="33" t="n">
        <f>1755.5</f>
        <v>1755.5</v>
      </c>
      <c r="L271" s="34" t="s">
        <v>48</v>
      </c>
      <c r="M271" s="33" t="n">
        <f>1797.5</f>
        <v>1797.5</v>
      </c>
      <c r="N271" s="34" t="s">
        <v>199</v>
      </c>
      <c r="O271" s="33" t="n">
        <f>1725.5</f>
        <v>1725.5</v>
      </c>
      <c r="P271" s="34" t="s">
        <v>50</v>
      </c>
      <c r="Q271" s="33" t="n">
        <f>1788</f>
        <v>1788.0</v>
      </c>
      <c r="R271" s="34" t="s">
        <v>51</v>
      </c>
      <c r="S271" s="35" t="n">
        <f>1769.1</f>
        <v>1769.1</v>
      </c>
      <c r="T271" s="32" t="n">
        <f>419810</f>
        <v>419810.0</v>
      </c>
      <c r="U271" s="32" t="n">
        <f>230</f>
        <v>230.0</v>
      </c>
      <c r="V271" s="32" t="n">
        <f>741973827</f>
        <v>7.41973827E8</v>
      </c>
      <c r="W271" s="32" t="n">
        <f>405822</f>
        <v>405822.0</v>
      </c>
      <c r="X271" s="36" t="n">
        <f>20</f>
        <v>20.0</v>
      </c>
    </row>
    <row r="272">
      <c r="A272" s="27" t="s">
        <v>42</v>
      </c>
      <c r="B272" s="27" t="s">
        <v>861</v>
      </c>
      <c r="C272" s="27" t="s">
        <v>862</v>
      </c>
      <c r="D272" s="27" t="s">
        <v>863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10.0</v>
      </c>
      <c r="K272" s="33" t="n">
        <f>1392</f>
        <v>1392.0</v>
      </c>
      <c r="L272" s="34" t="s">
        <v>48</v>
      </c>
      <c r="M272" s="33" t="n">
        <f>1416.5</f>
        <v>1416.5</v>
      </c>
      <c r="N272" s="34" t="s">
        <v>81</v>
      </c>
      <c r="O272" s="33" t="n">
        <f>1352</f>
        <v>1352.0</v>
      </c>
      <c r="P272" s="34" t="s">
        <v>50</v>
      </c>
      <c r="Q272" s="33" t="n">
        <f>1410.5</f>
        <v>1410.5</v>
      </c>
      <c r="R272" s="34" t="s">
        <v>51</v>
      </c>
      <c r="S272" s="35" t="n">
        <f>1385.93</f>
        <v>1385.93</v>
      </c>
      <c r="T272" s="32" t="n">
        <f>611590</f>
        <v>611590.0</v>
      </c>
      <c r="U272" s="32" t="n">
        <f>159790</f>
        <v>159790.0</v>
      </c>
      <c r="V272" s="32" t="n">
        <f>847844351</f>
        <v>8.47844351E8</v>
      </c>
      <c r="W272" s="32" t="n">
        <f>221632101</f>
        <v>2.21632101E8</v>
      </c>
      <c r="X272" s="36" t="n">
        <f>20</f>
        <v>20.0</v>
      </c>
    </row>
    <row r="273">
      <c r="A273" s="27" t="s">
        <v>42</v>
      </c>
      <c r="B273" s="27" t="s">
        <v>864</v>
      </c>
      <c r="C273" s="27" t="s">
        <v>865</v>
      </c>
      <c r="D273" s="27" t="s">
        <v>866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10.0</v>
      </c>
      <c r="K273" s="33" t="n">
        <f>596.3</f>
        <v>596.3</v>
      </c>
      <c r="L273" s="34" t="s">
        <v>48</v>
      </c>
      <c r="M273" s="33" t="n">
        <f>632</f>
        <v>632.0</v>
      </c>
      <c r="N273" s="34" t="s">
        <v>64</v>
      </c>
      <c r="O273" s="33" t="n">
        <f>587.3</f>
        <v>587.3</v>
      </c>
      <c r="P273" s="34" t="s">
        <v>50</v>
      </c>
      <c r="Q273" s="33" t="n">
        <f>612.8</f>
        <v>612.8</v>
      </c>
      <c r="R273" s="34" t="s">
        <v>51</v>
      </c>
      <c r="S273" s="35" t="n">
        <f>612.84</f>
        <v>612.84</v>
      </c>
      <c r="T273" s="32" t="n">
        <f>12669780</f>
        <v>1.266978E7</v>
      </c>
      <c r="U273" s="32" t="n">
        <f>584950</f>
        <v>584950.0</v>
      </c>
      <c r="V273" s="32" t="n">
        <f>7789815217</f>
        <v>7.789815217E9</v>
      </c>
      <c r="W273" s="32" t="n">
        <f>368391042</f>
        <v>3.68391042E8</v>
      </c>
      <c r="X273" s="36" t="n">
        <f>20</f>
        <v>20.0</v>
      </c>
    </row>
    <row r="274">
      <c r="A274" s="27" t="s">
        <v>42</v>
      </c>
      <c r="B274" s="27" t="s">
        <v>867</v>
      </c>
      <c r="C274" s="27" t="s">
        <v>868</v>
      </c>
      <c r="D274" s="27" t="s">
        <v>869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10.0</v>
      </c>
      <c r="K274" s="33" t="n">
        <f>1124</f>
        <v>1124.0</v>
      </c>
      <c r="L274" s="34" t="s">
        <v>48</v>
      </c>
      <c r="M274" s="33" t="n">
        <f>1162</f>
        <v>1162.0</v>
      </c>
      <c r="N274" s="34" t="s">
        <v>81</v>
      </c>
      <c r="O274" s="33" t="n">
        <f>1119</f>
        <v>1119.0</v>
      </c>
      <c r="P274" s="34" t="s">
        <v>48</v>
      </c>
      <c r="Q274" s="33" t="n">
        <f>1154.5</f>
        <v>1154.5</v>
      </c>
      <c r="R274" s="34" t="s">
        <v>51</v>
      </c>
      <c r="S274" s="35" t="n">
        <f>1141.5</f>
        <v>1141.5</v>
      </c>
      <c r="T274" s="32" t="n">
        <f>2918440</f>
        <v>2918440.0</v>
      </c>
      <c r="U274" s="32" t="n">
        <f>2505910</f>
        <v>2505910.0</v>
      </c>
      <c r="V274" s="32" t="n">
        <f>3321430275</f>
        <v>3.321430275E9</v>
      </c>
      <c r="W274" s="32" t="n">
        <f>2852279990</f>
        <v>2.85227999E9</v>
      </c>
      <c r="X274" s="36" t="n">
        <f>20</f>
        <v>20.0</v>
      </c>
    </row>
    <row r="275">
      <c r="A275" s="27" t="s">
        <v>42</v>
      </c>
      <c r="B275" s="27" t="s">
        <v>870</v>
      </c>
      <c r="C275" s="27" t="s">
        <v>871</v>
      </c>
      <c r="D275" s="27" t="s">
        <v>872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1695</f>
        <v>1695.0</v>
      </c>
      <c r="L275" s="34" t="s">
        <v>48</v>
      </c>
      <c r="M275" s="33" t="n">
        <f>1796</f>
        <v>1796.0</v>
      </c>
      <c r="N275" s="34" t="s">
        <v>49</v>
      </c>
      <c r="O275" s="33" t="n">
        <f>1660</f>
        <v>1660.0</v>
      </c>
      <c r="P275" s="34" t="s">
        <v>82</v>
      </c>
      <c r="Q275" s="33" t="n">
        <f>1757</f>
        <v>1757.0</v>
      </c>
      <c r="R275" s="34" t="s">
        <v>51</v>
      </c>
      <c r="S275" s="35" t="n">
        <f>1745.8</f>
        <v>1745.8</v>
      </c>
      <c r="T275" s="32" t="n">
        <f>31414</f>
        <v>31414.0</v>
      </c>
      <c r="U275" s="32" t="str">
        <f>"－"</f>
        <v>－</v>
      </c>
      <c r="V275" s="32" t="n">
        <f>54656297</f>
        <v>5.4656297E7</v>
      </c>
      <c r="W275" s="32" t="str">
        <f>"－"</f>
        <v>－</v>
      </c>
      <c r="X275" s="36" t="n">
        <f>20</f>
        <v>20.0</v>
      </c>
    </row>
    <row r="276">
      <c r="A276" s="27" t="s">
        <v>42</v>
      </c>
      <c r="B276" s="27" t="s">
        <v>873</v>
      </c>
      <c r="C276" s="27" t="s">
        <v>874</v>
      </c>
      <c r="D276" s="27" t="s">
        <v>875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10.0</v>
      </c>
      <c r="K276" s="33" t="n">
        <f>1092</f>
        <v>1092.0</v>
      </c>
      <c r="L276" s="34" t="s">
        <v>48</v>
      </c>
      <c r="M276" s="33" t="n">
        <f>1117</f>
        <v>1117.0</v>
      </c>
      <c r="N276" s="34" t="s">
        <v>64</v>
      </c>
      <c r="O276" s="33" t="n">
        <f>1085</f>
        <v>1085.0</v>
      </c>
      <c r="P276" s="34" t="s">
        <v>48</v>
      </c>
      <c r="Q276" s="33" t="n">
        <f>1111.5</f>
        <v>1111.5</v>
      </c>
      <c r="R276" s="34" t="s">
        <v>51</v>
      </c>
      <c r="S276" s="35" t="n">
        <f>1105.7</f>
        <v>1105.7</v>
      </c>
      <c r="T276" s="32" t="n">
        <f>56630</f>
        <v>56630.0</v>
      </c>
      <c r="U276" s="32" t="n">
        <f>3180</f>
        <v>3180.0</v>
      </c>
      <c r="V276" s="32" t="n">
        <f>62570156</f>
        <v>6.2570156E7</v>
      </c>
      <c r="W276" s="32" t="n">
        <f>3527531</f>
        <v>3527531.0</v>
      </c>
      <c r="X276" s="36" t="n">
        <f>20</f>
        <v>20.0</v>
      </c>
    </row>
    <row r="277">
      <c r="A277" s="27" t="s">
        <v>42</v>
      </c>
      <c r="B277" s="27" t="s">
        <v>876</v>
      </c>
      <c r="C277" s="27" t="s">
        <v>877</v>
      </c>
      <c r="D277" s="27" t="s">
        <v>878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10.0</v>
      </c>
      <c r="K277" s="33" t="n">
        <f>1632.5</f>
        <v>1632.5</v>
      </c>
      <c r="L277" s="34" t="s">
        <v>48</v>
      </c>
      <c r="M277" s="33" t="n">
        <f>1673</f>
        <v>1673.0</v>
      </c>
      <c r="N277" s="34" t="s">
        <v>199</v>
      </c>
      <c r="O277" s="33" t="n">
        <f>1590</f>
        <v>1590.0</v>
      </c>
      <c r="P277" s="34" t="s">
        <v>50</v>
      </c>
      <c r="Q277" s="33" t="n">
        <f>1648.5</f>
        <v>1648.5</v>
      </c>
      <c r="R277" s="34" t="s">
        <v>51</v>
      </c>
      <c r="S277" s="35" t="n">
        <f>1641.6</f>
        <v>1641.6</v>
      </c>
      <c r="T277" s="32" t="n">
        <f>201570</f>
        <v>201570.0</v>
      </c>
      <c r="U277" s="32" t="n">
        <f>95640</f>
        <v>95640.0</v>
      </c>
      <c r="V277" s="32" t="n">
        <f>332214316</f>
        <v>3.32214316E8</v>
      </c>
      <c r="W277" s="32" t="n">
        <f>158150276</f>
        <v>1.58150276E8</v>
      </c>
      <c r="X277" s="36" t="n">
        <f>20</f>
        <v>20.0</v>
      </c>
    </row>
    <row r="278">
      <c r="A278" s="27" t="s">
        <v>42</v>
      </c>
      <c r="B278" s="27" t="s">
        <v>879</v>
      </c>
      <c r="C278" s="27" t="s">
        <v>880</v>
      </c>
      <c r="D278" s="27" t="s">
        <v>881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1861</f>
        <v>1861.0</v>
      </c>
      <c r="L278" s="34" t="s">
        <v>48</v>
      </c>
      <c r="M278" s="33" t="n">
        <f>1904</f>
        <v>1904.0</v>
      </c>
      <c r="N278" s="34" t="s">
        <v>51</v>
      </c>
      <c r="O278" s="33" t="n">
        <f>1833</f>
        <v>1833.0</v>
      </c>
      <c r="P278" s="34" t="s">
        <v>50</v>
      </c>
      <c r="Q278" s="33" t="n">
        <f>1902</f>
        <v>1902.0</v>
      </c>
      <c r="R278" s="34" t="s">
        <v>51</v>
      </c>
      <c r="S278" s="35" t="n">
        <f>1877.4</f>
        <v>1877.4</v>
      </c>
      <c r="T278" s="32" t="n">
        <f>2745084</f>
        <v>2745084.0</v>
      </c>
      <c r="U278" s="32" t="n">
        <f>2255088</f>
        <v>2255088.0</v>
      </c>
      <c r="V278" s="32" t="n">
        <f>5146435537</f>
        <v>5.146435537E9</v>
      </c>
      <c r="W278" s="32" t="n">
        <f>4229676524</f>
        <v>4.229676524E9</v>
      </c>
      <c r="X278" s="36" t="n">
        <f>20</f>
        <v>20.0</v>
      </c>
    </row>
    <row r="279">
      <c r="A279" s="27" t="s">
        <v>42</v>
      </c>
      <c r="B279" s="27" t="s">
        <v>882</v>
      </c>
      <c r="C279" s="27" t="s">
        <v>883</v>
      </c>
      <c r="D279" s="27" t="s">
        <v>884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6020</f>
        <v>6020.0</v>
      </c>
      <c r="L279" s="34" t="s">
        <v>48</v>
      </c>
      <c r="M279" s="33" t="n">
        <f>6062</f>
        <v>6062.0</v>
      </c>
      <c r="N279" s="34" t="s">
        <v>48</v>
      </c>
      <c r="O279" s="33" t="n">
        <f>5784</f>
        <v>5784.0</v>
      </c>
      <c r="P279" s="34" t="s">
        <v>292</v>
      </c>
      <c r="Q279" s="33" t="n">
        <f>5980</f>
        <v>5980.0</v>
      </c>
      <c r="R279" s="34" t="s">
        <v>51</v>
      </c>
      <c r="S279" s="35" t="n">
        <f>5883.75</f>
        <v>5883.75</v>
      </c>
      <c r="T279" s="32" t="n">
        <f>97288</f>
        <v>97288.0</v>
      </c>
      <c r="U279" s="32" t="str">
        <f>"－"</f>
        <v>－</v>
      </c>
      <c r="V279" s="32" t="n">
        <f>572570873</f>
        <v>5.72570873E8</v>
      </c>
      <c r="W279" s="32" t="str">
        <f>"－"</f>
        <v>－</v>
      </c>
      <c r="X279" s="36" t="n">
        <f>20</f>
        <v>20.0</v>
      </c>
    </row>
    <row r="280">
      <c r="A280" s="27" t="s">
        <v>42</v>
      </c>
      <c r="B280" s="27" t="s">
        <v>885</v>
      </c>
      <c r="C280" s="27" t="s">
        <v>886</v>
      </c>
      <c r="D280" s="27" t="s">
        <v>887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10.0</v>
      </c>
      <c r="K280" s="33" t="n">
        <f>2424.5</f>
        <v>2424.5</v>
      </c>
      <c r="L280" s="34" t="s">
        <v>50</v>
      </c>
      <c r="M280" s="33" t="n">
        <f>2545</f>
        <v>2545.0</v>
      </c>
      <c r="N280" s="34" t="s">
        <v>90</v>
      </c>
      <c r="O280" s="33" t="n">
        <f>2424.5</f>
        <v>2424.5</v>
      </c>
      <c r="P280" s="34" t="s">
        <v>50</v>
      </c>
      <c r="Q280" s="33" t="n">
        <f>2541</f>
        <v>2541.0</v>
      </c>
      <c r="R280" s="34" t="s">
        <v>156</v>
      </c>
      <c r="S280" s="35" t="n">
        <f>2503.5</f>
        <v>2503.5</v>
      </c>
      <c r="T280" s="32" t="n">
        <f>80940</f>
        <v>80940.0</v>
      </c>
      <c r="U280" s="32" t="n">
        <f>80860</f>
        <v>80860.0</v>
      </c>
      <c r="V280" s="32" t="n">
        <f>208097210</f>
        <v>2.0809721E8</v>
      </c>
      <c r="W280" s="32" t="n">
        <f>207896640</f>
        <v>2.0789664E8</v>
      </c>
      <c r="X280" s="36" t="n">
        <f>6</f>
        <v>6.0</v>
      </c>
    </row>
    <row r="281">
      <c r="A281" s="27" t="s">
        <v>42</v>
      </c>
      <c r="B281" s="27" t="s">
        <v>888</v>
      </c>
      <c r="C281" s="27" t="s">
        <v>889</v>
      </c>
      <c r="D281" s="27" t="s">
        <v>890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10.0</v>
      </c>
      <c r="K281" s="33" t="n">
        <f>3025</f>
        <v>3025.0</v>
      </c>
      <c r="L281" s="34" t="s">
        <v>48</v>
      </c>
      <c r="M281" s="33" t="n">
        <f>3195</f>
        <v>3195.0</v>
      </c>
      <c r="N281" s="34" t="s">
        <v>221</v>
      </c>
      <c r="O281" s="33" t="n">
        <f>2973</f>
        <v>2973.0</v>
      </c>
      <c r="P281" s="34" t="s">
        <v>50</v>
      </c>
      <c r="Q281" s="33" t="n">
        <f>3139</f>
        <v>3139.0</v>
      </c>
      <c r="R281" s="34" t="s">
        <v>81</v>
      </c>
      <c r="S281" s="35" t="n">
        <f>3118.44</f>
        <v>3118.44</v>
      </c>
      <c r="T281" s="32" t="n">
        <f>1708850</f>
        <v>1708850.0</v>
      </c>
      <c r="U281" s="32" t="n">
        <f>1336610</f>
        <v>1336610.0</v>
      </c>
      <c r="V281" s="32" t="n">
        <f>5164388846</f>
        <v>5.164388846E9</v>
      </c>
      <c r="W281" s="32" t="n">
        <f>4018438056</f>
        <v>4.018438056E9</v>
      </c>
      <c r="X281" s="36" t="n">
        <f>18</f>
        <v>18.0</v>
      </c>
    </row>
    <row r="282">
      <c r="A282" s="27" t="s">
        <v>42</v>
      </c>
      <c r="B282" s="27" t="s">
        <v>891</v>
      </c>
      <c r="C282" s="27" t="s">
        <v>892</v>
      </c>
      <c r="D282" s="27" t="s">
        <v>893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41260</f>
        <v>41260.0</v>
      </c>
      <c r="L282" s="34" t="s">
        <v>48</v>
      </c>
      <c r="M282" s="33" t="n">
        <f>44050</f>
        <v>44050.0</v>
      </c>
      <c r="N282" s="34" t="s">
        <v>64</v>
      </c>
      <c r="O282" s="33" t="n">
        <f>40270</f>
        <v>40270.0</v>
      </c>
      <c r="P282" s="34" t="s">
        <v>50</v>
      </c>
      <c r="Q282" s="33" t="n">
        <f>42860</f>
        <v>42860.0</v>
      </c>
      <c r="R282" s="34" t="s">
        <v>51</v>
      </c>
      <c r="S282" s="35" t="n">
        <f>42581.5</f>
        <v>42581.5</v>
      </c>
      <c r="T282" s="32" t="n">
        <f>185155</f>
        <v>185155.0</v>
      </c>
      <c r="U282" s="32" t="n">
        <f>114500</f>
        <v>114500.0</v>
      </c>
      <c r="V282" s="32" t="n">
        <f>7846402880</f>
        <v>7.84640288E9</v>
      </c>
      <c r="W282" s="32" t="n">
        <f>4878768680</f>
        <v>4.87876868E9</v>
      </c>
      <c r="X282" s="36" t="n">
        <f>20</f>
        <v>20.0</v>
      </c>
    </row>
    <row r="283">
      <c r="A283" s="27" t="s">
        <v>42</v>
      </c>
      <c r="B283" s="27" t="s">
        <v>894</v>
      </c>
      <c r="C283" s="27" t="s">
        <v>895</v>
      </c>
      <c r="D283" s="27" t="s">
        <v>896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27145</f>
        <v>27145.0</v>
      </c>
      <c r="L283" s="34" t="s">
        <v>48</v>
      </c>
      <c r="M283" s="33" t="n">
        <f>28600</f>
        <v>28600.0</v>
      </c>
      <c r="N283" s="34" t="s">
        <v>221</v>
      </c>
      <c r="O283" s="33" t="n">
        <f>26855</f>
        <v>26855.0</v>
      </c>
      <c r="P283" s="34" t="s">
        <v>50</v>
      </c>
      <c r="Q283" s="33" t="n">
        <f>28065</f>
        <v>28065.0</v>
      </c>
      <c r="R283" s="34" t="s">
        <v>81</v>
      </c>
      <c r="S283" s="35" t="n">
        <f>27974.71</f>
        <v>27974.71</v>
      </c>
      <c r="T283" s="32" t="n">
        <f>50103</f>
        <v>50103.0</v>
      </c>
      <c r="U283" s="32" t="n">
        <f>34631</f>
        <v>34631.0</v>
      </c>
      <c r="V283" s="32" t="n">
        <f>1407201835</f>
        <v>1.407201835E9</v>
      </c>
      <c r="W283" s="32" t="n">
        <f>974762220</f>
        <v>9.7476222E8</v>
      </c>
      <c r="X283" s="36" t="n">
        <f>17</f>
        <v>17.0</v>
      </c>
    </row>
    <row r="284">
      <c r="A284" s="27" t="s">
        <v>42</v>
      </c>
      <c r="B284" s="27" t="s">
        <v>897</v>
      </c>
      <c r="C284" s="27" t="s">
        <v>898</v>
      </c>
      <c r="D284" s="27" t="s">
        <v>899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10.0</v>
      </c>
      <c r="K284" s="33" t="n">
        <f>1124</f>
        <v>1124.0</v>
      </c>
      <c r="L284" s="34" t="s">
        <v>50</v>
      </c>
      <c r="M284" s="33" t="n">
        <f>1167.5</f>
        <v>1167.5</v>
      </c>
      <c r="N284" s="34" t="s">
        <v>81</v>
      </c>
      <c r="O284" s="33" t="n">
        <f>1124</f>
        <v>1124.0</v>
      </c>
      <c r="P284" s="34" t="s">
        <v>50</v>
      </c>
      <c r="Q284" s="33" t="n">
        <f>1163.5</f>
        <v>1163.5</v>
      </c>
      <c r="R284" s="34" t="s">
        <v>81</v>
      </c>
      <c r="S284" s="35" t="n">
        <f>1148.43</f>
        <v>1148.43</v>
      </c>
      <c r="T284" s="32" t="n">
        <f>2802250</f>
        <v>2802250.0</v>
      </c>
      <c r="U284" s="32" t="n">
        <f>2657500</f>
        <v>2657500.0</v>
      </c>
      <c r="V284" s="32" t="n">
        <f>3266956763</f>
        <v>3.266956763E9</v>
      </c>
      <c r="W284" s="32" t="n">
        <f>3101503933</f>
        <v>3.101503933E9</v>
      </c>
      <c r="X284" s="36" t="n">
        <f>15</f>
        <v>15.0</v>
      </c>
    </row>
    <row r="285">
      <c r="A285" s="27" t="s">
        <v>42</v>
      </c>
      <c r="B285" s="27" t="s">
        <v>900</v>
      </c>
      <c r="C285" s="27" t="s">
        <v>901</v>
      </c>
      <c r="D285" s="27" t="s">
        <v>902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1120</f>
        <v>1120.0</v>
      </c>
      <c r="L285" s="34" t="s">
        <v>48</v>
      </c>
      <c r="M285" s="33" t="n">
        <f>1170</f>
        <v>1170.0</v>
      </c>
      <c r="N285" s="34" t="s">
        <v>81</v>
      </c>
      <c r="O285" s="33" t="n">
        <f>1114</f>
        <v>1114.0</v>
      </c>
      <c r="P285" s="34" t="s">
        <v>48</v>
      </c>
      <c r="Q285" s="33" t="n">
        <f>1163</f>
        <v>1163.0</v>
      </c>
      <c r="R285" s="34" t="s">
        <v>51</v>
      </c>
      <c r="S285" s="35" t="n">
        <f>1148.1</f>
        <v>1148.1</v>
      </c>
      <c r="T285" s="32" t="n">
        <f>1592380</f>
        <v>1592380.0</v>
      </c>
      <c r="U285" s="32" t="n">
        <f>1470242</f>
        <v>1470242.0</v>
      </c>
      <c r="V285" s="32" t="n">
        <f>1807857486</f>
        <v>1.807857486E9</v>
      </c>
      <c r="W285" s="32" t="n">
        <f>1667410368</f>
        <v>1.667410368E9</v>
      </c>
      <c r="X285" s="36" t="n">
        <f>20</f>
        <v>20.0</v>
      </c>
    </row>
    <row r="286">
      <c r="A286" s="27" t="s">
        <v>42</v>
      </c>
      <c r="B286" s="27" t="s">
        <v>903</v>
      </c>
      <c r="C286" s="27" t="s">
        <v>904</v>
      </c>
      <c r="D286" s="27" t="s">
        <v>905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1696</f>
        <v>1696.0</v>
      </c>
      <c r="L286" s="34" t="s">
        <v>48</v>
      </c>
      <c r="M286" s="33" t="n">
        <f>1825</f>
        <v>1825.0</v>
      </c>
      <c r="N286" s="34" t="s">
        <v>199</v>
      </c>
      <c r="O286" s="33" t="n">
        <f>1677</f>
        <v>1677.0</v>
      </c>
      <c r="P286" s="34" t="s">
        <v>50</v>
      </c>
      <c r="Q286" s="33" t="n">
        <f>1797</f>
        <v>1797.0</v>
      </c>
      <c r="R286" s="34" t="s">
        <v>51</v>
      </c>
      <c r="S286" s="35" t="n">
        <f>1770.15</f>
        <v>1770.15</v>
      </c>
      <c r="T286" s="32" t="n">
        <f>1137081</f>
        <v>1137081.0</v>
      </c>
      <c r="U286" s="32" t="n">
        <f>925188</f>
        <v>925188.0</v>
      </c>
      <c r="V286" s="32" t="n">
        <f>2030419578</f>
        <v>2.030419578E9</v>
      </c>
      <c r="W286" s="32" t="n">
        <f>1653967550</f>
        <v>1.65396755E9</v>
      </c>
      <c r="X286" s="36" t="n">
        <f>20</f>
        <v>20.0</v>
      </c>
    </row>
    <row r="287">
      <c r="A287" s="27" t="s">
        <v>42</v>
      </c>
      <c r="B287" s="27" t="s">
        <v>906</v>
      </c>
      <c r="C287" s="27" t="s">
        <v>907</v>
      </c>
      <c r="D287" s="27" t="s">
        <v>908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14940</f>
        <v>14940.0</v>
      </c>
      <c r="L287" s="34" t="s">
        <v>48</v>
      </c>
      <c r="M287" s="33" t="n">
        <f>16370</f>
        <v>16370.0</v>
      </c>
      <c r="N287" s="34" t="s">
        <v>156</v>
      </c>
      <c r="O287" s="33" t="n">
        <f>14450</f>
        <v>14450.0</v>
      </c>
      <c r="P287" s="34" t="s">
        <v>50</v>
      </c>
      <c r="Q287" s="33" t="n">
        <f>16080</f>
        <v>16080.0</v>
      </c>
      <c r="R287" s="34" t="s">
        <v>51</v>
      </c>
      <c r="S287" s="35" t="n">
        <f>15144.75</f>
        <v>15144.75</v>
      </c>
      <c r="T287" s="32" t="n">
        <f>4148</f>
        <v>4148.0</v>
      </c>
      <c r="U287" s="32" t="str">
        <f>"－"</f>
        <v>－</v>
      </c>
      <c r="V287" s="32" t="n">
        <f>63786205</f>
        <v>6.3786205E7</v>
      </c>
      <c r="W287" s="32" t="str">
        <f>"－"</f>
        <v>－</v>
      </c>
      <c r="X287" s="36" t="n">
        <f>20</f>
        <v>20.0</v>
      </c>
    </row>
    <row r="288">
      <c r="A288" s="27" t="s">
        <v>42</v>
      </c>
      <c r="B288" s="27" t="s">
        <v>909</v>
      </c>
      <c r="C288" s="27" t="s">
        <v>910</v>
      </c>
      <c r="D288" s="27" t="s">
        <v>911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2017</f>
        <v>2017.0</v>
      </c>
      <c r="L288" s="34" t="s">
        <v>48</v>
      </c>
      <c r="M288" s="33" t="n">
        <f>2089</f>
        <v>2089.0</v>
      </c>
      <c r="N288" s="34" t="s">
        <v>81</v>
      </c>
      <c r="O288" s="33" t="n">
        <f>2003</f>
        <v>2003.0</v>
      </c>
      <c r="P288" s="34" t="s">
        <v>48</v>
      </c>
      <c r="Q288" s="33" t="n">
        <f>2081</f>
        <v>2081.0</v>
      </c>
      <c r="R288" s="34" t="s">
        <v>51</v>
      </c>
      <c r="S288" s="35" t="n">
        <f>2051.55</f>
        <v>2051.55</v>
      </c>
      <c r="T288" s="32" t="n">
        <f>842605</f>
        <v>842605.0</v>
      </c>
      <c r="U288" s="32" t="n">
        <f>784070</f>
        <v>784070.0</v>
      </c>
      <c r="V288" s="32" t="n">
        <f>1723137042</f>
        <v>1.723137042E9</v>
      </c>
      <c r="W288" s="32" t="n">
        <f>1603273060</f>
        <v>1.60327306E9</v>
      </c>
      <c r="X288" s="36" t="n">
        <f>20</f>
        <v>20.0</v>
      </c>
    </row>
    <row r="289">
      <c r="A289" s="27" t="s">
        <v>42</v>
      </c>
      <c r="B289" s="27" t="s">
        <v>912</v>
      </c>
      <c r="C289" s="27" t="s">
        <v>913</v>
      </c>
      <c r="D289" s="27" t="s">
        <v>914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1750</f>
        <v>1750.0</v>
      </c>
      <c r="L289" s="34" t="s">
        <v>48</v>
      </c>
      <c r="M289" s="33" t="n">
        <f>2050</f>
        <v>2050.0</v>
      </c>
      <c r="N289" s="34" t="s">
        <v>199</v>
      </c>
      <c r="O289" s="33" t="n">
        <f>1702.5</f>
        <v>1702.5</v>
      </c>
      <c r="P289" s="34" t="s">
        <v>50</v>
      </c>
      <c r="Q289" s="33" t="n">
        <f>1974.5</f>
        <v>1974.5</v>
      </c>
      <c r="R289" s="34" t="s">
        <v>51</v>
      </c>
      <c r="S289" s="35" t="n">
        <f>1852.5</f>
        <v>1852.5</v>
      </c>
      <c r="T289" s="32" t="n">
        <f>624170</f>
        <v>624170.0</v>
      </c>
      <c r="U289" s="32" t="n">
        <f>7720</f>
        <v>7720.0</v>
      </c>
      <c r="V289" s="32" t="n">
        <f>1175262995</f>
        <v>1.175262995E9</v>
      </c>
      <c r="W289" s="32" t="n">
        <f>13896000</f>
        <v>1.3896E7</v>
      </c>
      <c r="X289" s="36" t="n">
        <f>20</f>
        <v>20.0</v>
      </c>
    </row>
    <row r="290">
      <c r="A290" s="27" t="s">
        <v>42</v>
      </c>
      <c r="B290" s="27" t="s">
        <v>915</v>
      </c>
      <c r="C290" s="27" t="s">
        <v>916</v>
      </c>
      <c r="D290" s="27" t="s">
        <v>917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786</f>
        <v>786.0</v>
      </c>
      <c r="L290" s="34" t="s">
        <v>48</v>
      </c>
      <c r="M290" s="33" t="n">
        <f>792</f>
        <v>792.0</v>
      </c>
      <c r="N290" s="34" t="s">
        <v>51</v>
      </c>
      <c r="O290" s="33" t="n">
        <f>783</f>
        <v>783.0</v>
      </c>
      <c r="P290" s="34" t="s">
        <v>48</v>
      </c>
      <c r="Q290" s="33" t="n">
        <f>792</f>
        <v>792.0</v>
      </c>
      <c r="R290" s="34" t="s">
        <v>51</v>
      </c>
      <c r="S290" s="35" t="n">
        <f>788.54</f>
        <v>788.54</v>
      </c>
      <c r="T290" s="32" t="n">
        <f>312700</f>
        <v>312700.0</v>
      </c>
      <c r="U290" s="32" t="n">
        <f>233000</f>
        <v>233000.0</v>
      </c>
      <c r="V290" s="32" t="n">
        <f>246996222</f>
        <v>2.46996222E8</v>
      </c>
      <c r="W290" s="32" t="n">
        <f>184115155</f>
        <v>1.84115155E8</v>
      </c>
      <c r="X290" s="36" t="n">
        <f>20</f>
        <v>20.0</v>
      </c>
    </row>
    <row r="291">
      <c r="A291" s="27" t="s">
        <v>42</v>
      </c>
      <c r="B291" s="27" t="s">
        <v>918</v>
      </c>
      <c r="C291" s="27" t="s">
        <v>919</v>
      </c>
      <c r="D291" s="27" t="s">
        <v>920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10.0</v>
      </c>
      <c r="K291" s="33" t="n">
        <f>1903</f>
        <v>1903.0</v>
      </c>
      <c r="L291" s="34" t="s">
        <v>48</v>
      </c>
      <c r="M291" s="33" t="n">
        <f>2002.5</f>
        <v>2002.5</v>
      </c>
      <c r="N291" s="34" t="s">
        <v>81</v>
      </c>
      <c r="O291" s="33" t="n">
        <f>1903</f>
        <v>1903.0</v>
      </c>
      <c r="P291" s="34" t="s">
        <v>48</v>
      </c>
      <c r="Q291" s="33" t="n">
        <f>1985</f>
        <v>1985.0</v>
      </c>
      <c r="R291" s="34" t="s">
        <v>51</v>
      </c>
      <c r="S291" s="35" t="n">
        <f>1965.85</f>
        <v>1965.85</v>
      </c>
      <c r="T291" s="32" t="n">
        <f>884900</f>
        <v>884900.0</v>
      </c>
      <c r="U291" s="32" t="n">
        <f>431340</f>
        <v>431340.0</v>
      </c>
      <c r="V291" s="32" t="n">
        <f>1722777677</f>
        <v>1.722777677E9</v>
      </c>
      <c r="W291" s="32" t="n">
        <f>834905222</f>
        <v>8.34905222E8</v>
      </c>
      <c r="X291" s="36" t="n">
        <f>20</f>
        <v>20.0</v>
      </c>
    </row>
    <row r="292">
      <c r="A292" s="27" t="s">
        <v>42</v>
      </c>
      <c r="B292" s="27" t="s">
        <v>921</v>
      </c>
      <c r="C292" s="27" t="s">
        <v>922</v>
      </c>
      <c r="D292" s="27" t="s">
        <v>923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10.0</v>
      </c>
      <c r="K292" s="33" t="n">
        <f>1912</f>
        <v>1912.0</v>
      </c>
      <c r="L292" s="34" t="s">
        <v>48</v>
      </c>
      <c r="M292" s="33" t="n">
        <f>1998</f>
        <v>1998.0</v>
      </c>
      <c r="N292" s="34" t="s">
        <v>81</v>
      </c>
      <c r="O292" s="33" t="n">
        <f>1903</f>
        <v>1903.0</v>
      </c>
      <c r="P292" s="34" t="s">
        <v>48</v>
      </c>
      <c r="Q292" s="33" t="n">
        <f>1990</f>
        <v>1990.0</v>
      </c>
      <c r="R292" s="34" t="s">
        <v>51</v>
      </c>
      <c r="S292" s="35" t="n">
        <f>1959.88</f>
        <v>1959.88</v>
      </c>
      <c r="T292" s="32" t="n">
        <f>2767120</f>
        <v>2767120.0</v>
      </c>
      <c r="U292" s="32" t="n">
        <f>1489080</f>
        <v>1489080.0</v>
      </c>
      <c r="V292" s="32" t="n">
        <f>5427016287</f>
        <v>5.427016287E9</v>
      </c>
      <c r="W292" s="32" t="n">
        <f>2907261102</f>
        <v>2.907261102E9</v>
      </c>
      <c r="X292" s="36" t="n">
        <f>20</f>
        <v>20.0</v>
      </c>
    </row>
    <row r="293">
      <c r="A293" s="27" t="s">
        <v>42</v>
      </c>
      <c r="B293" s="27" t="s">
        <v>924</v>
      </c>
      <c r="C293" s="27" t="s">
        <v>925</v>
      </c>
      <c r="D293" s="27" t="s">
        <v>926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10.0</v>
      </c>
      <c r="K293" s="33" t="n">
        <f>2970</f>
        <v>2970.0</v>
      </c>
      <c r="L293" s="34" t="s">
        <v>48</v>
      </c>
      <c r="M293" s="33" t="n">
        <f>3162</f>
        <v>3162.0</v>
      </c>
      <c r="N293" s="34" t="s">
        <v>64</v>
      </c>
      <c r="O293" s="33" t="n">
        <f>2911.5</f>
        <v>2911.5</v>
      </c>
      <c r="P293" s="34" t="s">
        <v>50</v>
      </c>
      <c r="Q293" s="33" t="n">
        <f>3110</f>
        <v>3110.0</v>
      </c>
      <c r="R293" s="34" t="s">
        <v>51</v>
      </c>
      <c r="S293" s="35" t="n">
        <f>3084.43</f>
        <v>3084.43</v>
      </c>
      <c r="T293" s="32" t="n">
        <f>2318850</f>
        <v>2318850.0</v>
      </c>
      <c r="U293" s="32" t="n">
        <f>2088030</f>
        <v>2088030.0</v>
      </c>
      <c r="V293" s="32" t="n">
        <f>7222219516</f>
        <v>7.222219516E9</v>
      </c>
      <c r="W293" s="32" t="n">
        <f>6508500251</f>
        <v>6.508500251E9</v>
      </c>
      <c r="X293" s="36" t="n">
        <f>20</f>
        <v>20.0</v>
      </c>
    </row>
    <row r="294">
      <c r="A294" s="27" t="s">
        <v>42</v>
      </c>
      <c r="B294" s="27" t="s">
        <v>927</v>
      </c>
      <c r="C294" s="27" t="s">
        <v>928</v>
      </c>
      <c r="D294" s="27" t="s">
        <v>929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27435</f>
        <v>27435.0</v>
      </c>
      <c r="L294" s="34" t="s">
        <v>48</v>
      </c>
      <c r="M294" s="33" t="n">
        <f>27525</f>
        <v>27525.0</v>
      </c>
      <c r="N294" s="34" t="s">
        <v>77</v>
      </c>
      <c r="O294" s="33" t="n">
        <f>26415</f>
        <v>26415.0</v>
      </c>
      <c r="P294" s="34" t="s">
        <v>50</v>
      </c>
      <c r="Q294" s="33" t="n">
        <f>27445</f>
        <v>27445.0</v>
      </c>
      <c r="R294" s="34" t="s">
        <v>51</v>
      </c>
      <c r="S294" s="35" t="n">
        <f>27173.75</f>
        <v>27173.75</v>
      </c>
      <c r="T294" s="32" t="n">
        <f>478404</f>
        <v>478404.0</v>
      </c>
      <c r="U294" s="32" t="n">
        <f>68060</f>
        <v>68060.0</v>
      </c>
      <c r="V294" s="32" t="n">
        <f>13000745168</f>
        <v>1.3000745168E10</v>
      </c>
      <c r="W294" s="32" t="n">
        <f>1851121863</f>
        <v>1.851121863E9</v>
      </c>
      <c r="X294" s="36" t="n">
        <f>20</f>
        <v>20.0</v>
      </c>
    </row>
    <row r="295">
      <c r="A295" s="27" t="s">
        <v>42</v>
      </c>
      <c r="B295" s="27" t="s">
        <v>930</v>
      </c>
      <c r="C295" s="27" t="s">
        <v>931</v>
      </c>
      <c r="D295" s="27" t="s">
        <v>932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22985</f>
        <v>22985.0</v>
      </c>
      <c r="L295" s="34" t="s">
        <v>48</v>
      </c>
      <c r="M295" s="33" t="n">
        <f>23150</f>
        <v>23150.0</v>
      </c>
      <c r="N295" s="34" t="s">
        <v>64</v>
      </c>
      <c r="O295" s="33" t="n">
        <f>22185</f>
        <v>22185.0</v>
      </c>
      <c r="P295" s="34" t="s">
        <v>50</v>
      </c>
      <c r="Q295" s="33" t="n">
        <f>23080</f>
        <v>23080.0</v>
      </c>
      <c r="R295" s="34" t="s">
        <v>51</v>
      </c>
      <c r="S295" s="35" t="n">
        <f>22884.5</f>
        <v>22884.5</v>
      </c>
      <c r="T295" s="32" t="n">
        <f>247112</f>
        <v>247112.0</v>
      </c>
      <c r="U295" s="32" t="n">
        <f>5156</f>
        <v>5156.0</v>
      </c>
      <c r="V295" s="32" t="n">
        <f>5646464704</f>
        <v>5.646464704E9</v>
      </c>
      <c r="W295" s="32" t="n">
        <f>117930829</f>
        <v>1.17930829E8</v>
      </c>
      <c r="X295" s="36" t="n">
        <f>20</f>
        <v>20.0</v>
      </c>
    </row>
    <row r="296">
      <c r="A296" s="27" t="s">
        <v>42</v>
      </c>
      <c r="B296" s="27" t="s">
        <v>933</v>
      </c>
      <c r="C296" s="27" t="s">
        <v>934</v>
      </c>
      <c r="D296" s="27" t="s">
        <v>935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39170</f>
        <v>39170.0</v>
      </c>
      <c r="L296" s="34" t="s">
        <v>48</v>
      </c>
      <c r="M296" s="33" t="n">
        <f>41100</f>
        <v>41100.0</v>
      </c>
      <c r="N296" s="34" t="s">
        <v>221</v>
      </c>
      <c r="O296" s="33" t="n">
        <f>38490</f>
        <v>38490.0</v>
      </c>
      <c r="P296" s="34" t="s">
        <v>116</v>
      </c>
      <c r="Q296" s="33" t="n">
        <f>41100</f>
        <v>41100.0</v>
      </c>
      <c r="R296" s="34" t="s">
        <v>221</v>
      </c>
      <c r="S296" s="35" t="n">
        <f>39943.33</f>
        <v>39943.33</v>
      </c>
      <c r="T296" s="32" t="n">
        <f>22</f>
        <v>22.0</v>
      </c>
      <c r="U296" s="32" t="str">
        <f>"－"</f>
        <v>－</v>
      </c>
      <c r="V296" s="32" t="n">
        <f>877610</f>
        <v>877610.0</v>
      </c>
      <c r="W296" s="32" t="str">
        <f>"－"</f>
        <v>－</v>
      </c>
      <c r="X296" s="36" t="n">
        <f>6</f>
        <v>6.0</v>
      </c>
    </row>
    <row r="297">
      <c r="A297" s="27" t="s">
        <v>42</v>
      </c>
      <c r="B297" s="27" t="s">
        <v>936</v>
      </c>
      <c r="C297" s="27" t="s">
        <v>937</v>
      </c>
      <c r="D297" s="27" t="s">
        <v>938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2189</f>
        <v>2189.0</v>
      </c>
      <c r="L297" s="34" t="s">
        <v>48</v>
      </c>
      <c r="M297" s="33" t="n">
        <f>2210</f>
        <v>2210.0</v>
      </c>
      <c r="N297" s="34" t="s">
        <v>50</v>
      </c>
      <c r="O297" s="33" t="n">
        <f>2167</f>
        <v>2167.0</v>
      </c>
      <c r="P297" s="34" t="s">
        <v>156</v>
      </c>
      <c r="Q297" s="33" t="n">
        <f>2178</f>
        <v>2178.0</v>
      </c>
      <c r="R297" s="34" t="s">
        <v>51</v>
      </c>
      <c r="S297" s="35" t="n">
        <f>2188.6</f>
        <v>2188.6</v>
      </c>
      <c r="T297" s="32" t="n">
        <f>2011952</f>
        <v>2011952.0</v>
      </c>
      <c r="U297" s="32" t="n">
        <f>1833255</f>
        <v>1833255.0</v>
      </c>
      <c r="V297" s="32" t="n">
        <f>4386586787</f>
        <v>4.386586787E9</v>
      </c>
      <c r="W297" s="32" t="n">
        <f>3994773736</f>
        <v>3.994773736E9</v>
      </c>
      <c r="X297" s="36" t="n">
        <f>20</f>
        <v>20.0</v>
      </c>
    </row>
    <row r="298">
      <c r="A298" s="27" t="s">
        <v>42</v>
      </c>
      <c r="B298" s="27" t="s">
        <v>939</v>
      </c>
      <c r="C298" s="27" t="s">
        <v>940</v>
      </c>
      <c r="D298" s="27" t="s">
        <v>941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3180</f>
        <v>3180.0</v>
      </c>
      <c r="L298" s="34" t="s">
        <v>48</v>
      </c>
      <c r="M298" s="33" t="n">
        <f>3281</f>
        <v>3281.0</v>
      </c>
      <c r="N298" s="34" t="s">
        <v>81</v>
      </c>
      <c r="O298" s="33" t="n">
        <f>3140</f>
        <v>3140.0</v>
      </c>
      <c r="P298" s="34" t="s">
        <v>50</v>
      </c>
      <c r="Q298" s="33" t="n">
        <f>3260</f>
        <v>3260.0</v>
      </c>
      <c r="R298" s="34" t="s">
        <v>51</v>
      </c>
      <c r="S298" s="35" t="n">
        <f>3219.95</f>
        <v>3219.95</v>
      </c>
      <c r="T298" s="32" t="n">
        <f>979612</f>
        <v>979612.0</v>
      </c>
      <c r="U298" s="32" t="n">
        <f>499308</f>
        <v>499308.0</v>
      </c>
      <c r="V298" s="32" t="n">
        <f>3147120379</f>
        <v>3.147120379E9</v>
      </c>
      <c r="W298" s="32" t="n">
        <f>1599820088</f>
        <v>1.599820088E9</v>
      </c>
      <c r="X298" s="36" t="n">
        <f>20</f>
        <v>20.0</v>
      </c>
    </row>
    <row r="299">
      <c r="A299" s="27" t="s">
        <v>42</v>
      </c>
      <c r="B299" s="27" t="s">
        <v>942</v>
      </c>
      <c r="C299" s="27" t="s">
        <v>943</v>
      </c>
      <c r="D299" s="27" t="s">
        <v>944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10.0</v>
      </c>
      <c r="K299" s="33" t="n">
        <f>348.6</f>
        <v>348.6</v>
      </c>
      <c r="L299" s="34" t="s">
        <v>48</v>
      </c>
      <c r="M299" s="33" t="n">
        <f>355.3</f>
        <v>355.3</v>
      </c>
      <c r="N299" s="34" t="s">
        <v>51</v>
      </c>
      <c r="O299" s="33" t="n">
        <f>343.7</f>
        <v>343.7</v>
      </c>
      <c r="P299" s="34" t="s">
        <v>50</v>
      </c>
      <c r="Q299" s="33" t="n">
        <f>355.3</f>
        <v>355.3</v>
      </c>
      <c r="R299" s="34" t="s">
        <v>51</v>
      </c>
      <c r="S299" s="35" t="n">
        <f>350.87</f>
        <v>350.87</v>
      </c>
      <c r="T299" s="32" t="n">
        <f>54004090</f>
        <v>5.400409E7</v>
      </c>
      <c r="U299" s="32" t="n">
        <f>41916220</f>
        <v>4.191622E7</v>
      </c>
      <c r="V299" s="32" t="n">
        <f>19015814626</f>
        <v>1.9015814626E10</v>
      </c>
      <c r="W299" s="32" t="n">
        <f>14770552507</f>
        <v>1.4770552507E10</v>
      </c>
      <c r="X299" s="36" t="n">
        <f>20</f>
        <v>20.0</v>
      </c>
    </row>
    <row r="300">
      <c r="A300" s="27" t="s">
        <v>42</v>
      </c>
      <c r="B300" s="27" t="s">
        <v>945</v>
      </c>
      <c r="C300" s="27" t="s">
        <v>946</v>
      </c>
      <c r="D300" s="27" t="s">
        <v>947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2939</f>
        <v>2939.0</v>
      </c>
      <c r="L300" s="34" t="s">
        <v>48</v>
      </c>
      <c r="M300" s="33" t="n">
        <f>3229</f>
        <v>3229.0</v>
      </c>
      <c r="N300" s="34" t="s">
        <v>199</v>
      </c>
      <c r="O300" s="33" t="n">
        <f>2901</f>
        <v>2901.0</v>
      </c>
      <c r="P300" s="34" t="s">
        <v>50</v>
      </c>
      <c r="Q300" s="33" t="n">
        <f>3127</f>
        <v>3127.0</v>
      </c>
      <c r="R300" s="34" t="s">
        <v>51</v>
      </c>
      <c r="S300" s="35" t="n">
        <f>3058.55</f>
        <v>3058.55</v>
      </c>
      <c r="T300" s="32" t="n">
        <f>790628</f>
        <v>790628.0</v>
      </c>
      <c r="U300" s="32" t="n">
        <f>363090</f>
        <v>363090.0</v>
      </c>
      <c r="V300" s="32" t="n">
        <f>2425611683</f>
        <v>2.425611683E9</v>
      </c>
      <c r="W300" s="32" t="n">
        <f>1116115961</f>
        <v>1.116115961E9</v>
      </c>
      <c r="X300" s="36" t="n">
        <f>20</f>
        <v>20.0</v>
      </c>
    </row>
    <row r="301">
      <c r="A301" s="27" t="s">
        <v>42</v>
      </c>
      <c r="B301" s="27" t="s">
        <v>948</v>
      </c>
      <c r="C301" s="27" t="s">
        <v>949</v>
      </c>
      <c r="D301" s="27" t="s">
        <v>950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879</f>
        <v>879.0</v>
      </c>
      <c r="L301" s="34" t="s">
        <v>48</v>
      </c>
      <c r="M301" s="33" t="n">
        <f>917</f>
        <v>917.0</v>
      </c>
      <c r="N301" s="34" t="s">
        <v>86</v>
      </c>
      <c r="O301" s="33" t="n">
        <f>878</f>
        <v>878.0</v>
      </c>
      <c r="P301" s="34" t="s">
        <v>48</v>
      </c>
      <c r="Q301" s="33" t="n">
        <f>916</f>
        <v>916.0</v>
      </c>
      <c r="R301" s="34" t="s">
        <v>51</v>
      </c>
      <c r="S301" s="35" t="n">
        <f>904.1</f>
        <v>904.1</v>
      </c>
      <c r="T301" s="32" t="n">
        <f>442755</f>
        <v>442755.0</v>
      </c>
      <c r="U301" s="32" t="n">
        <f>80631</f>
        <v>80631.0</v>
      </c>
      <c r="V301" s="32" t="n">
        <f>400195245</f>
        <v>4.00195245E8</v>
      </c>
      <c r="W301" s="32" t="n">
        <f>72876055</f>
        <v>7.2876055E7</v>
      </c>
      <c r="X301" s="36" t="n">
        <f>20</f>
        <v>20.0</v>
      </c>
    </row>
    <row r="302">
      <c r="A302" s="27" t="s">
        <v>42</v>
      </c>
      <c r="B302" s="27" t="s">
        <v>951</v>
      </c>
      <c r="C302" s="27" t="s">
        <v>952</v>
      </c>
      <c r="D302" s="27" t="s">
        <v>953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1050</f>
        <v>1050.0</v>
      </c>
      <c r="L302" s="34" t="s">
        <v>48</v>
      </c>
      <c r="M302" s="33" t="n">
        <f>1095</f>
        <v>1095.0</v>
      </c>
      <c r="N302" s="34" t="s">
        <v>81</v>
      </c>
      <c r="O302" s="33" t="n">
        <f>1043</f>
        <v>1043.0</v>
      </c>
      <c r="P302" s="34" t="s">
        <v>48</v>
      </c>
      <c r="Q302" s="33" t="n">
        <f>1095</f>
        <v>1095.0</v>
      </c>
      <c r="R302" s="34" t="s">
        <v>51</v>
      </c>
      <c r="S302" s="35" t="n">
        <f>1076.65</f>
        <v>1076.65</v>
      </c>
      <c r="T302" s="32" t="n">
        <f>621998</f>
        <v>621998.0</v>
      </c>
      <c r="U302" s="32" t="n">
        <f>533651</f>
        <v>533651.0</v>
      </c>
      <c r="V302" s="32" t="n">
        <f>660030047</f>
        <v>6.60030047E8</v>
      </c>
      <c r="W302" s="32" t="n">
        <f>564988263</f>
        <v>5.64988263E8</v>
      </c>
      <c r="X302" s="36" t="n">
        <f>20</f>
        <v>20.0</v>
      </c>
    </row>
    <row r="303">
      <c r="A303" s="27" t="s">
        <v>42</v>
      </c>
      <c r="B303" s="27" t="s">
        <v>954</v>
      </c>
      <c r="C303" s="27" t="s">
        <v>955</v>
      </c>
      <c r="D303" s="27" t="s">
        <v>956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10.0</v>
      </c>
      <c r="K303" s="33" t="n">
        <f>374</f>
        <v>374.0</v>
      </c>
      <c r="L303" s="34" t="s">
        <v>48</v>
      </c>
      <c r="M303" s="33" t="n">
        <f>416.3</f>
        <v>416.3</v>
      </c>
      <c r="N303" s="34" t="s">
        <v>221</v>
      </c>
      <c r="O303" s="33" t="n">
        <f>360</f>
        <v>360.0</v>
      </c>
      <c r="P303" s="34" t="s">
        <v>50</v>
      </c>
      <c r="Q303" s="33" t="n">
        <f>409.3</f>
        <v>409.3</v>
      </c>
      <c r="R303" s="34" t="s">
        <v>81</v>
      </c>
      <c r="S303" s="35" t="n">
        <f>405.28</f>
        <v>405.28</v>
      </c>
      <c r="T303" s="32" t="n">
        <f>4550</f>
        <v>4550.0</v>
      </c>
      <c r="U303" s="32" t="n">
        <f>10</f>
        <v>10.0</v>
      </c>
      <c r="V303" s="32" t="n">
        <f>1827406</f>
        <v>1827406.0</v>
      </c>
      <c r="W303" s="32" t="n">
        <f>4112</f>
        <v>4112.0</v>
      </c>
      <c r="X303" s="36" t="n">
        <f>13</f>
        <v>13.0</v>
      </c>
    </row>
    <row r="304">
      <c r="A304" s="27" t="s">
        <v>42</v>
      </c>
      <c r="B304" s="27" t="s">
        <v>957</v>
      </c>
      <c r="C304" s="27" t="s">
        <v>958</v>
      </c>
      <c r="D304" s="27" t="s">
        <v>959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5996</f>
        <v>5996.0</v>
      </c>
      <c r="L304" s="34" t="s">
        <v>48</v>
      </c>
      <c r="M304" s="33" t="n">
        <f>6066</f>
        <v>6066.0</v>
      </c>
      <c r="N304" s="34" t="s">
        <v>282</v>
      </c>
      <c r="O304" s="33" t="n">
        <f>5765</f>
        <v>5765.0</v>
      </c>
      <c r="P304" s="34" t="s">
        <v>50</v>
      </c>
      <c r="Q304" s="33" t="n">
        <f>5975</f>
        <v>5975.0</v>
      </c>
      <c r="R304" s="34" t="s">
        <v>51</v>
      </c>
      <c r="S304" s="35" t="n">
        <f>5932.4</f>
        <v>5932.4</v>
      </c>
      <c r="T304" s="32" t="n">
        <f>289184</f>
        <v>289184.0</v>
      </c>
      <c r="U304" s="32" t="n">
        <f>40</f>
        <v>40.0</v>
      </c>
      <c r="V304" s="32" t="n">
        <f>1715145660</f>
        <v>1.71514566E9</v>
      </c>
      <c r="W304" s="32" t="n">
        <f>237364</f>
        <v>237364.0</v>
      </c>
      <c r="X304" s="36" t="n">
        <f>20</f>
        <v>20.0</v>
      </c>
    </row>
    <row r="305">
      <c r="A305" s="27" t="s">
        <v>42</v>
      </c>
      <c r="B305" s="27" t="s">
        <v>960</v>
      </c>
      <c r="C305" s="27" t="s">
        <v>961</v>
      </c>
      <c r="D305" s="27" t="s">
        <v>962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3503</f>
        <v>3503.0</v>
      </c>
      <c r="L305" s="34" t="s">
        <v>48</v>
      </c>
      <c r="M305" s="33" t="n">
        <f>3598</f>
        <v>3598.0</v>
      </c>
      <c r="N305" s="34" t="s">
        <v>221</v>
      </c>
      <c r="O305" s="33" t="n">
        <f>3447</f>
        <v>3447.0</v>
      </c>
      <c r="P305" s="34" t="s">
        <v>50</v>
      </c>
      <c r="Q305" s="33" t="n">
        <f>3550</f>
        <v>3550.0</v>
      </c>
      <c r="R305" s="34" t="s">
        <v>51</v>
      </c>
      <c r="S305" s="35" t="n">
        <f>3534.75</f>
        <v>3534.75</v>
      </c>
      <c r="T305" s="32" t="n">
        <f>2170988</f>
        <v>2170988.0</v>
      </c>
      <c r="U305" s="32" t="n">
        <f>995500</f>
        <v>995500.0</v>
      </c>
      <c r="V305" s="32" t="n">
        <f>7668670408</f>
        <v>7.668670408E9</v>
      </c>
      <c r="W305" s="32" t="n">
        <f>3503476123</f>
        <v>3.503476123E9</v>
      </c>
      <c r="X305" s="36" t="n">
        <f>20</f>
        <v>20.0</v>
      </c>
    </row>
    <row r="306">
      <c r="A306" s="27" t="s">
        <v>42</v>
      </c>
      <c r="B306" s="27" t="s">
        <v>963</v>
      </c>
      <c r="C306" s="27" t="s">
        <v>964</v>
      </c>
      <c r="D306" s="27" t="s">
        <v>965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2390</f>
        <v>2390.0</v>
      </c>
      <c r="L306" s="34" t="s">
        <v>48</v>
      </c>
      <c r="M306" s="33" t="n">
        <f>2549</f>
        <v>2549.0</v>
      </c>
      <c r="N306" s="34" t="s">
        <v>282</v>
      </c>
      <c r="O306" s="33" t="n">
        <f>2285</f>
        <v>2285.0</v>
      </c>
      <c r="P306" s="34" t="s">
        <v>50</v>
      </c>
      <c r="Q306" s="33" t="n">
        <f>2404</f>
        <v>2404.0</v>
      </c>
      <c r="R306" s="34" t="s">
        <v>51</v>
      </c>
      <c r="S306" s="35" t="n">
        <f>2396.72</f>
        <v>2396.72</v>
      </c>
      <c r="T306" s="32" t="n">
        <f>5348</f>
        <v>5348.0</v>
      </c>
      <c r="U306" s="32" t="str">
        <f>"－"</f>
        <v>－</v>
      </c>
      <c r="V306" s="32" t="n">
        <f>12982159</f>
        <v>1.2982159E7</v>
      </c>
      <c r="W306" s="32" t="str">
        <f>"－"</f>
        <v>－</v>
      </c>
      <c r="X306" s="36" t="n">
        <f>18</f>
        <v>18.0</v>
      </c>
    </row>
    <row r="307">
      <c r="A307" s="27" t="s">
        <v>42</v>
      </c>
      <c r="B307" s="27" t="s">
        <v>966</v>
      </c>
      <c r="C307" s="27" t="s">
        <v>967</v>
      </c>
      <c r="D307" s="27" t="s">
        <v>968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2120</f>
        <v>2120.0</v>
      </c>
      <c r="L307" s="34" t="s">
        <v>48</v>
      </c>
      <c r="M307" s="33" t="n">
        <f>2249</f>
        <v>2249.0</v>
      </c>
      <c r="N307" s="34" t="s">
        <v>458</v>
      </c>
      <c r="O307" s="33" t="n">
        <f>2116</f>
        <v>2116.0</v>
      </c>
      <c r="P307" s="34" t="s">
        <v>48</v>
      </c>
      <c r="Q307" s="33" t="n">
        <f>2205</f>
        <v>2205.0</v>
      </c>
      <c r="R307" s="34" t="s">
        <v>51</v>
      </c>
      <c r="S307" s="35" t="n">
        <f>2172.35</f>
        <v>2172.35</v>
      </c>
      <c r="T307" s="32" t="n">
        <f>10390</f>
        <v>10390.0</v>
      </c>
      <c r="U307" s="32" t="str">
        <f>"－"</f>
        <v>－</v>
      </c>
      <c r="V307" s="32" t="n">
        <f>22716759</f>
        <v>2.2716759E7</v>
      </c>
      <c r="W307" s="32" t="str">
        <f>"－"</f>
        <v>－</v>
      </c>
      <c r="X307" s="36" t="n">
        <f>20</f>
        <v>20.0</v>
      </c>
    </row>
    <row r="308">
      <c r="A308" s="27" t="s">
        <v>42</v>
      </c>
      <c r="B308" s="27" t="s">
        <v>969</v>
      </c>
      <c r="C308" s="27" t="s">
        <v>970</v>
      </c>
      <c r="D308" s="27" t="s">
        <v>971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10.0</v>
      </c>
      <c r="K308" s="33" t="n">
        <f>347.7</f>
        <v>347.7</v>
      </c>
      <c r="L308" s="34" t="s">
        <v>48</v>
      </c>
      <c r="M308" s="33" t="n">
        <f>348</f>
        <v>348.0</v>
      </c>
      <c r="N308" s="34" t="s">
        <v>48</v>
      </c>
      <c r="O308" s="33" t="n">
        <f>339.6</f>
        <v>339.6</v>
      </c>
      <c r="P308" s="34" t="s">
        <v>100</v>
      </c>
      <c r="Q308" s="33" t="n">
        <f>341.8</f>
        <v>341.8</v>
      </c>
      <c r="R308" s="34" t="s">
        <v>51</v>
      </c>
      <c r="S308" s="35" t="n">
        <f>342.34</f>
        <v>342.34</v>
      </c>
      <c r="T308" s="32" t="n">
        <f>5605250</f>
        <v>5605250.0</v>
      </c>
      <c r="U308" s="32" t="n">
        <f>4500780</f>
        <v>4500780.0</v>
      </c>
      <c r="V308" s="32" t="n">
        <f>1937487833</f>
        <v>1.937487833E9</v>
      </c>
      <c r="W308" s="32" t="n">
        <f>1559385037</f>
        <v>1.559385037E9</v>
      </c>
      <c r="X308" s="36" t="n">
        <f>20</f>
        <v>20.0</v>
      </c>
    </row>
    <row r="309">
      <c r="A309" s="27" t="s">
        <v>42</v>
      </c>
      <c r="B309" s="27" t="s">
        <v>972</v>
      </c>
      <c r="C309" s="27" t="s">
        <v>973</v>
      </c>
      <c r="D309" s="27" t="s">
        <v>974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1085</f>
        <v>1085.0</v>
      </c>
      <c r="L309" s="34" t="s">
        <v>48</v>
      </c>
      <c r="M309" s="33" t="n">
        <f>1106</f>
        <v>1106.0</v>
      </c>
      <c r="N309" s="34" t="s">
        <v>82</v>
      </c>
      <c r="O309" s="33" t="n">
        <f>1078</f>
        <v>1078.0</v>
      </c>
      <c r="P309" s="34" t="s">
        <v>64</v>
      </c>
      <c r="Q309" s="33" t="n">
        <f>1088</f>
        <v>1088.0</v>
      </c>
      <c r="R309" s="34" t="s">
        <v>51</v>
      </c>
      <c r="S309" s="35" t="n">
        <f>1089.4</f>
        <v>1089.4</v>
      </c>
      <c r="T309" s="32" t="n">
        <f>9849184</f>
        <v>9849184.0</v>
      </c>
      <c r="U309" s="32" t="n">
        <f>37295</f>
        <v>37295.0</v>
      </c>
      <c r="V309" s="32" t="n">
        <f>10745328262</f>
        <v>1.0745328262E10</v>
      </c>
      <c r="W309" s="32" t="n">
        <f>40980399</f>
        <v>4.0980399E7</v>
      </c>
      <c r="X309" s="36" t="n">
        <f>20</f>
        <v>20.0</v>
      </c>
    </row>
    <row r="310">
      <c r="A310" s="27" t="s">
        <v>42</v>
      </c>
      <c r="B310" s="27" t="s">
        <v>975</v>
      </c>
      <c r="C310" s="27" t="s">
        <v>976</v>
      </c>
      <c r="D310" s="27" t="s">
        <v>977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1712</f>
        <v>1712.0</v>
      </c>
      <c r="L310" s="34" t="s">
        <v>48</v>
      </c>
      <c r="M310" s="33" t="n">
        <f>1778</f>
        <v>1778.0</v>
      </c>
      <c r="N310" s="34" t="s">
        <v>100</v>
      </c>
      <c r="O310" s="33" t="n">
        <f>1712</f>
        <v>1712.0</v>
      </c>
      <c r="P310" s="34" t="s">
        <v>48</v>
      </c>
      <c r="Q310" s="33" t="n">
        <f>1747</f>
        <v>1747.0</v>
      </c>
      <c r="R310" s="34" t="s">
        <v>51</v>
      </c>
      <c r="S310" s="35" t="n">
        <f>1738.15</f>
        <v>1738.15</v>
      </c>
      <c r="T310" s="32" t="n">
        <f>39143</f>
        <v>39143.0</v>
      </c>
      <c r="U310" s="32" t="str">
        <f>"－"</f>
        <v>－</v>
      </c>
      <c r="V310" s="32" t="n">
        <f>68142929</f>
        <v>6.8142929E7</v>
      </c>
      <c r="W310" s="32" t="str">
        <f>"－"</f>
        <v>－</v>
      </c>
      <c r="X310" s="36" t="n">
        <f>20</f>
        <v>20.0</v>
      </c>
    </row>
    <row r="311">
      <c r="A311" s="27" t="s">
        <v>42</v>
      </c>
      <c r="B311" s="27" t="s">
        <v>978</v>
      </c>
      <c r="C311" s="27" t="s">
        <v>979</v>
      </c>
      <c r="D311" s="27" t="s">
        <v>980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2053</f>
        <v>2053.0</v>
      </c>
      <c r="L311" s="34" t="s">
        <v>48</v>
      </c>
      <c r="M311" s="33" t="n">
        <f>2099</f>
        <v>2099.0</v>
      </c>
      <c r="N311" s="34" t="s">
        <v>199</v>
      </c>
      <c r="O311" s="33" t="n">
        <f>2030</f>
        <v>2030.0</v>
      </c>
      <c r="P311" s="34" t="s">
        <v>458</v>
      </c>
      <c r="Q311" s="33" t="n">
        <f>2051</f>
        <v>2051.0</v>
      </c>
      <c r="R311" s="34" t="s">
        <v>51</v>
      </c>
      <c r="S311" s="35" t="n">
        <f>2051.25</f>
        <v>2051.25</v>
      </c>
      <c r="T311" s="32" t="n">
        <f>657410</f>
        <v>657410.0</v>
      </c>
      <c r="U311" s="32" t="n">
        <f>632000</f>
        <v>632000.0</v>
      </c>
      <c r="V311" s="32" t="n">
        <f>1342446565</f>
        <v>1.342446565E9</v>
      </c>
      <c r="W311" s="32" t="n">
        <f>1290544000</f>
        <v>1.290544E9</v>
      </c>
      <c r="X311" s="36" t="n">
        <f>20</f>
        <v>20.0</v>
      </c>
    </row>
    <row r="312">
      <c r="A312" s="27" t="s">
        <v>42</v>
      </c>
      <c r="B312" s="27" t="s">
        <v>981</v>
      </c>
      <c r="C312" s="27" t="s">
        <v>982</v>
      </c>
      <c r="D312" s="27" t="s">
        <v>983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4091</f>
        <v>4091.0</v>
      </c>
      <c r="L312" s="34" t="s">
        <v>48</v>
      </c>
      <c r="M312" s="33" t="n">
        <f>4406</f>
        <v>4406.0</v>
      </c>
      <c r="N312" s="34" t="s">
        <v>64</v>
      </c>
      <c r="O312" s="33" t="n">
        <f>3998</f>
        <v>3998.0</v>
      </c>
      <c r="P312" s="34" t="s">
        <v>50</v>
      </c>
      <c r="Q312" s="33" t="n">
        <f>4300</f>
        <v>4300.0</v>
      </c>
      <c r="R312" s="34" t="s">
        <v>51</v>
      </c>
      <c r="S312" s="35" t="n">
        <f>4253.4</f>
        <v>4253.4</v>
      </c>
      <c r="T312" s="32" t="n">
        <f>881066</f>
        <v>881066.0</v>
      </c>
      <c r="U312" s="32" t="n">
        <f>601817</f>
        <v>601817.0</v>
      </c>
      <c r="V312" s="32" t="n">
        <f>3745938526</f>
        <v>3.745938526E9</v>
      </c>
      <c r="W312" s="32" t="n">
        <f>2570611076</f>
        <v>2.570611076E9</v>
      </c>
      <c r="X312" s="36" t="n">
        <f>20</f>
        <v>20.0</v>
      </c>
    </row>
    <row r="313">
      <c r="A313" s="27" t="s">
        <v>42</v>
      </c>
      <c r="B313" s="27" t="s">
        <v>984</v>
      </c>
      <c r="C313" s="27" t="s">
        <v>985</v>
      </c>
      <c r="D313" s="27" t="s">
        <v>986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2944</f>
        <v>2944.0</v>
      </c>
      <c r="L313" s="34" t="s">
        <v>48</v>
      </c>
      <c r="M313" s="33" t="n">
        <f>3136</f>
        <v>3136.0</v>
      </c>
      <c r="N313" s="34" t="s">
        <v>64</v>
      </c>
      <c r="O313" s="33" t="n">
        <f>2885</f>
        <v>2885.0</v>
      </c>
      <c r="P313" s="34" t="s">
        <v>50</v>
      </c>
      <c r="Q313" s="33" t="n">
        <f>3079</f>
        <v>3079.0</v>
      </c>
      <c r="R313" s="34" t="s">
        <v>51</v>
      </c>
      <c r="S313" s="35" t="n">
        <f>3054.95</f>
        <v>3054.95</v>
      </c>
      <c r="T313" s="32" t="n">
        <f>1735546</f>
        <v>1735546.0</v>
      </c>
      <c r="U313" s="32" t="n">
        <f>946699</f>
        <v>946699.0</v>
      </c>
      <c r="V313" s="32" t="n">
        <f>5251790315</f>
        <v>5.251790315E9</v>
      </c>
      <c r="W313" s="32" t="n">
        <f>2841836163</f>
        <v>2.841836163E9</v>
      </c>
      <c r="X313" s="36" t="n">
        <f>20</f>
        <v>20.0</v>
      </c>
    </row>
    <row r="314">
      <c r="A314" s="27" t="s">
        <v>42</v>
      </c>
      <c r="B314" s="27" t="s">
        <v>987</v>
      </c>
      <c r="C314" s="27" t="s">
        <v>988</v>
      </c>
      <c r="D314" s="27" t="s">
        <v>989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2822</f>
        <v>2822.0</v>
      </c>
      <c r="L314" s="34" t="s">
        <v>48</v>
      </c>
      <c r="M314" s="33" t="n">
        <f>3158</f>
        <v>3158.0</v>
      </c>
      <c r="N314" s="34" t="s">
        <v>49</v>
      </c>
      <c r="O314" s="33" t="n">
        <f>2820</f>
        <v>2820.0</v>
      </c>
      <c r="P314" s="34" t="s">
        <v>50</v>
      </c>
      <c r="Q314" s="33" t="n">
        <f>3009</f>
        <v>3009.0</v>
      </c>
      <c r="R314" s="34" t="s">
        <v>51</v>
      </c>
      <c r="S314" s="35" t="n">
        <f>3011.65</f>
        <v>3011.65</v>
      </c>
      <c r="T314" s="32" t="n">
        <f>61822</f>
        <v>61822.0</v>
      </c>
      <c r="U314" s="32" t="str">
        <f>"－"</f>
        <v>－</v>
      </c>
      <c r="V314" s="32" t="n">
        <f>180786671</f>
        <v>1.80786671E8</v>
      </c>
      <c r="W314" s="32" t="str">
        <f>"－"</f>
        <v>－</v>
      </c>
      <c r="X314" s="36" t="n">
        <f>20</f>
        <v>20.0</v>
      </c>
    </row>
    <row r="315">
      <c r="A315" s="27" t="s">
        <v>42</v>
      </c>
      <c r="B315" s="27" t="s">
        <v>990</v>
      </c>
      <c r="C315" s="27" t="s">
        <v>991</v>
      </c>
      <c r="D315" s="27" t="s">
        <v>992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1544</f>
        <v>1544.0</v>
      </c>
      <c r="L315" s="34" t="s">
        <v>48</v>
      </c>
      <c r="M315" s="33" t="n">
        <f>1587</f>
        <v>1587.0</v>
      </c>
      <c r="N315" s="34" t="s">
        <v>64</v>
      </c>
      <c r="O315" s="33" t="n">
        <f>1470</f>
        <v>1470.0</v>
      </c>
      <c r="P315" s="34" t="s">
        <v>116</v>
      </c>
      <c r="Q315" s="33" t="n">
        <f>1548</f>
        <v>1548.0</v>
      </c>
      <c r="R315" s="34" t="s">
        <v>51</v>
      </c>
      <c r="S315" s="35" t="n">
        <f>1543.35</f>
        <v>1543.35</v>
      </c>
      <c r="T315" s="32" t="n">
        <f>86700</f>
        <v>86700.0</v>
      </c>
      <c r="U315" s="32" t="str">
        <f>"－"</f>
        <v>－</v>
      </c>
      <c r="V315" s="32" t="n">
        <f>131924335</f>
        <v>1.31924335E8</v>
      </c>
      <c r="W315" s="32" t="str">
        <f>"－"</f>
        <v>－</v>
      </c>
      <c r="X315" s="36" t="n">
        <f>20</f>
        <v>20.0</v>
      </c>
    </row>
    <row r="316">
      <c r="A316" s="27" t="s">
        <v>42</v>
      </c>
      <c r="B316" s="27" t="s">
        <v>993</v>
      </c>
      <c r="C316" s="27" t="s">
        <v>994</v>
      </c>
      <c r="D316" s="27" t="s">
        <v>995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2105</f>
        <v>2105.0</v>
      </c>
      <c r="L316" s="34" t="s">
        <v>48</v>
      </c>
      <c r="M316" s="33" t="n">
        <f>2734</f>
        <v>2734.0</v>
      </c>
      <c r="N316" s="34" t="s">
        <v>51</v>
      </c>
      <c r="O316" s="33" t="n">
        <f>2050</f>
        <v>2050.0</v>
      </c>
      <c r="P316" s="34" t="s">
        <v>50</v>
      </c>
      <c r="Q316" s="33" t="n">
        <f>2657</f>
        <v>2657.0</v>
      </c>
      <c r="R316" s="34" t="s">
        <v>51</v>
      </c>
      <c r="S316" s="35" t="n">
        <f>2282.3</f>
        <v>2282.3</v>
      </c>
      <c r="T316" s="32" t="n">
        <f>417269</f>
        <v>417269.0</v>
      </c>
      <c r="U316" s="32" t="str">
        <f>"－"</f>
        <v>－</v>
      </c>
      <c r="V316" s="32" t="n">
        <f>987784382</f>
        <v>9.87784382E8</v>
      </c>
      <c r="W316" s="32" t="str">
        <f>"－"</f>
        <v>－</v>
      </c>
      <c r="X316" s="36" t="n">
        <f>20</f>
        <v>20.0</v>
      </c>
    </row>
    <row r="317">
      <c r="A317" s="27" t="s">
        <v>42</v>
      </c>
      <c r="B317" s="27" t="s">
        <v>996</v>
      </c>
      <c r="C317" s="27" t="s">
        <v>997</v>
      </c>
      <c r="D317" s="27" t="s">
        <v>998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3154</f>
        <v>3154.0</v>
      </c>
      <c r="L317" s="34" t="s">
        <v>48</v>
      </c>
      <c r="M317" s="33" t="n">
        <f>3430</f>
        <v>3430.0</v>
      </c>
      <c r="N317" s="34" t="s">
        <v>156</v>
      </c>
      <c r="O317" s="33" t="n">
        <f>3041</f>
        <v>3041.0</v>
      </c>
      <c r="P317" s="34" t="s">
        <v>50</v>
      </c>
      <c r="Q317" s="33" t="n">
        <f>3399</f>
        <v>3399.0</v>
      </c>
      <c r="R317" s="34" t="s">
        <v>51</v>
      </c>
      <c r="S317" s="35" t="n">
        <f>3243.45</f>
        <v>3243.45</v>
      </c>
      <c r="T317" s="32" t="n">
        <f>41376</f>
        <v>41376.0</v>
      </c>
      <c r="U317" s="32" t="str">
        <f>"－"</f>
        <v>－</v>
      </c>
      <c r="V317" s="32" t="n">
        <f>133504145</f>
        <v>1.33504145E8</v>
      </c>
      <c r="W317" s="32" t="str">
        <f>"－"</f>
        <v>－</v>
      </c>
      <c r="X317" s="36" t="n">
        <f>20</f>
        <v>20.0</v>
      </c>
    </row>
    <row r="318">
      <c r="A318" s="27" t="s">
        <v>42</v>
      </c>
      <c r="B318" s="27" t="s">
        <v>999</v>
      </c>
      <c r="C318" s="27" t="s">
        <v>1000</v>
      </c>
      <c r="D318" s="27" t="s">
        <v>1001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13785</f>
        <v>13785.0</v>
      </c>
      <c r="L318" s="34" t="s">
        <v>48</v>
      </c>
      <c r="M318" s="33" t="n">
        <f>14085</f>
        <v>14085.0</v>
      </c>
      <c r="N318" s="34" t="s">
        <v>51</v>
      </c>
      <c r="O318" s="33" t="n">
        <f>13550</f>
        <v>13550.0</v>
      </c>
      <c r="P318" s="34" t="s">
        <v>50</v>
      </c>
      <c r="Q318" s="33" t="n">
        <f>14075</f>
        <v>14075.0</v>
      </c>
      <c r="R318" s="34" t="s">
        <v>51</v>
      </c>
      <c r="S318" s="35" t="n">
        <f>13881</f>
        <v>13881.0</v>
      </c>
      <c r="T318" s="32" t="n">
        <f>727586</f>
        <v>727586.0</v>
      </c>
      <c r="U318" s="32" t="n">
        <f>563232</f>
        <v>563232.0</v>
      </c>
      <c r="V318" s="32" t="n">
        <f>10118548691</f>
        <v>1.0118548691E10</v>
      </c>
      <c r="W318" s="32" t="n">
        <f>7848953706</f>
        <v>7.848953706E9</v>
      </c>
      <c r="X318" s="36" t="n">
        <f>20</f>
        <v>20.0</v>
      </c>
    </row>
    <row r="319">
      <c r="A319" s="27" t="s">
        <v>42</v>
      </c>
      <c r="B319" s="27" t="s">
        <v>1002</v>
      </c>
      <c r="C319" s="27" t="s">
        <v>1003</v>
      </c>
      <c r="D319" s="27" t="s">
        <v>1004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25020</f>
        <v>25020.0</v>
      </c>
      <c r="L319" s="34" t="s">
        <v>48</v>
      </c>
      <c r="M319" s="33" t="n">
        <f>25290</f>
        <v>25290.0</v>
      </c>
      <c r="N319" s="34" t="s">
        <v>221</v>
      </c>
      <c r="O319" s="33" t="n">
        <f>24050</f>
        <v>24050.0</v>
      </c>
      <c r="P319" s="34" t="s">
        <v>50</v>
      </c>
      <c r="Q319" s="33" t="n">
        <f>24930</f>
        <v>24930.0</v>
      </c>
      <c r="R319" s="34" t="s">
        <v>51</v>
      </c>
      <c r="S319" s="35" t="n">
        <f>24782</f>
        <v>24782.0</v>
      </c>
      <c r="T319" s="32" t="n">
        <f>164405</f>
        <v>164405.0</v>
      </c>
      <c r="U319" s="32" t="n">
        <f>390</f>
        <v>390.0</v>
      </c>
      <c r="V319" s="32" t="n">
        <f>4067840359</f>
        <v>4.067840359E9</v>
      </c>
      <c r="W319" s="32" t="n">
        <f>9585239</f>
        <v>9585239.0</v>
      </c>
      <c r="X319" s="36" t="n">
        <f>20</f>
        <v>20.0</v>
      </c>
    </row>
    <row r="320">
      <c r="A320" s="27" t="s">
        <v>42</v>
      </c>
      <c r="B320" s="27" t="s">
        <v>1005</v>
      </c>
      <c r="C320" s="27" t="s">
        <v>1006</v>
      </c>
      <c r="D320" s="27" t="s">
        <v>1007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14720</f>
        <v>14720.0</v>
      </c>
      <c r="L320" s="34" t="s">
        <v>48</v>
      </c>
      <c r="M320" s="33" t="n">
        <f>15100</f>
        <v>15100.0</v>
      </c>
      <c r="N320" s="34" t="s">
        <v>282</v>
      </c>
      <c r="O320" s="33" t="n">
        <f>14390</f>
        <v>14390.0</v>
      </c>
      <c r="P320" s="34" t="s">
        <v>50</v>
      </c>
      <c r="Q320" s="33" t="n">
        <f>14900</f>
        <v>14900.0</v>
      </c>
      <c r="R320" s="34" t="s">
        <v>51</v>
      </c>
      <c r="S320" s="35" t="n">
        <f>14779</f>
        <v>14779.0</v>
      </c>
      <c r="T320" s="32" t="n">
        <f>311601</f>
        <v>311601.0</v>
      </c>
      <c r="U320" s="32" t="n">
        <f>155709</f>
        <v>155709.0</v>
      </c>
      <c r="V320" s="32" t="n">
        <f>4574836078</f>
        <v>4.574836078E9</v>
      </c>
      <c r="W320" s="32" t="n">
        <f>2270556548</f>
        <v>2.270556548E9</v>
      </c>
      <c r="X320" s="36" t="n">
        <f>20</f>
        <v>20.0</v>
      </c>
    </row>
    <row r="321">
      <c r="A321" s="27" t="s">
        <v>42</v>
      </c>
      <c r="B321" s="27" t="s">
        <v>1008</v>
      </c>
      <c r="C321" s="27" t="s">
        <v>1009</v>
      </c>
      <c r="D321" s="27" t="s">
        <v>1010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10.0</v>
      </c>
      <c r="K321" s="33" t="n">
        <f>441.5</f>
        <v>441.5</v>
      </c>
      <c r="L321" s="34" t="s">
        <v>48</v>
      </c>
      <c r="M321" s="33" t="n">
        <f>444.8</f>
        <v>444.8</v>
      </c>
      <c r="N321" s="34" t="s">
        <v>51</v>
      </c>
      <c r="O321" s="33" t="n">
        <f>425.1</f>
        <v>425.1</v>
      </c>
      <c r="P321" s="34" t="s">
        <v>50</v>
      </c>
      <c r="Q321" s="33" t="n">
        <f>442.4</f>
        <v>442.4</v>
      </c>
      <c r="R321" s="34" t="s">
        <v>51</v>
      </c>
      <c r="S321" s="35" t="n">
        <f>437.46</f>
        <v>437.46</v>
      </c>
      <c r="T321" s="32" t="n">
        <f>4561780</f>
        <v>4561780.0</v>
      </c>
      <c r="U321" s="32" t="n">
        <f>1186050</f>
        <v>1186050.0</v>
      </c>
      <c r="V321" s="32" t="n">
        <f>1990951439</f>
        <v>1.990951439E9</v>
      </c>
      <c r="W321" s="32" t="n">
        <f>513794966</f>
        <v>5.13794966E8</v>
      </c>
      <c r="X321" s="36" t="n">
        <f>20</f>
        <v>20.0</v>
      </c>
    </row>
    <row r="322">
      <c r="A322" s="27" t="s">
        <v>42</v>
      </c>
      <c r="B322" s="27" t="s">
        <v>1011</v>
      </c>
      <c r="C322" s="27" t="s">
        <v>1012</v>
      </c>
      <c r="D322" s="27" t="s">
        <v>1013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10.0</v>
      </c>
      <c r="K322" s="33" t="n">
        <f>2717.5</f>
        <v>2717.5</v>
      </c>
      <c r="L322" s="34" t="s">
        <v>48</v>
      </c>
      <c r="M322" s="33" t="n">
        <f>2786</f>
        <v>2786.0</v>
      </c>
      <c r="N322" s="34" t="s">
        <v>51</v>
      </c>
      <c r="O322" s="33" t="n">
        <f>2679</f>
        <v>2679.0</v>
      </c>
      <c r="P322" s="34" t="s">
        <v>50</v>
      </c>
      <c r="Q322" s="33" t="n">
        <f>2784</f>
        <v>2784.0</v>
      </c>
      <c r="R322" s="34" t="s">
        <v>51</v>
      </c>
      <c r="S322" s="35" t="n">
        <f>2744.75</f>
        <v>2744.75</v>
      </c>
      <c r="T322" s="32" t="n">
        <f>1482700</f>
        <v>1482700.0</v>
      </c>
      <c r="U322" s="32" t="n">
        <f>668560</f>
        <v>668560.0</v>
      </c>
      <c r="V322" s="32" t="n">
        <f>4088025100</f>
        <v>4.0880251E9</v>
      </c>
      <c r="W322" s="32" t="n">
        <f>1850421655</f>
        <v>1.850421655E9</v>
      </c>
      <c r="X322" s="36" t="n">
        <f>20</f>
        <v>20.0</v>
      </c>
    </row>
    <row r="323">
      <c r="A323" s="27" t="s">
        <v>42</v>
      </c>
      <c r="B323" s="27" t="s">
        <v>1014</v>
      </c>
      <c r="C323" s="27" t="s">
        <v>1015</v>
      </c>
      <c r="D323" s="27" t="s">
        <v>1016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10.0</v>
      </c>
      <c r="K323" s="33" t="n">
        <f>4484</f>
        <v>4484.0</v>
      </c>
      <c r="L323" s="34" t="s">
        <v>48</v>
      </c>
      <c r="M323" s="33" t="n">
        <f>4500</f>
        <v>4500.0</v>
      </c>
      <c r="N323" s="34" t="s">
        <v>77</v>
      </c>
      <c r="O323" s="33" t="n">
        <f>4320</f>
        <v>4320.0</v>
      </c>
      <c r="P323" s="34" t="s">
        <v>50</v>
      </c>
      <c r="Q323" s="33" t="n">
        <f>4482</f>
        <v>4482.0</v>
      </c>
      <c r="R323" s="34" t="s">
        <v>51</v>
      </c>
      <c r="S323" s="35" t="n">
        <f>4442.75</f>
        <v>4442.75</v>
      </c>
      <c r="T323" s="32" t="n">
        <f>307630</f>
        <v>307630.0</v>
      </c>
      <c r="U323" s="32" t="n">
        <f>50</f>
        <v>50.0</v>
      </c>
      <c r="V323" s="32" t="n">
        <f>1371435750</f>
        <v>1.37143575E9</v>
      </c>
      <c r="W323" s="32" t="n">
        <f>224080</f>
        <v>224080.0</v>
      </c>
      <c r="X323" s="36" t="n">
        <f>20</f>
        <v>20.0</v>
      </c>
    </row>
    <row r="324">
      <c r="A324" s="27" t="s">
        <v>42</v>
      </c>
      <c r="B324" s="27" t="s">
        <v>1017</v>
      </c>
      <c r="C324" s="27" t="s">
        <v>1018</v>
      </c>
      <c r="D324" s="27" t="s">
        <v>1019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3497</f>
        <v>3497.0</v>
      </c>
      <c r="L324" s="34" t="s">
        <v>48</v>
      </c>
      <c r="M324" s="33" t="n">
        <f>3670</f>
        <v>3670.0</v>
      </c>
      <c r="N324" s="34" t="s">
        <v>64</v>
      </c>
      <c r="O324" s="33" t="n">
        <f>3415</f>
        <v>3415.0</v>
      </c>
      <c r="P324" s="34" t="s">
        <v>50</v>
      </c>
      <c r="Q324" s="33" t="n">
        <f>3564</f>
        <v>3564.0</v>
      </c>
      <c r="R324" s="34" t="s">
        <v>51</v>
      </c>
      <c r="S324" s="35" t="n">
        <f>3567.75</f>
        <v>3567.75</v>
      </c>
      <c r="T324" s="32" t="n">
        <f>28809</f>
        <v>28809.0</v>
      </c>
      <c r="U324" s="32" t="n">
        <f>120</f>
        <v>120.0</v>
      </c>
      <c r="V324" s="32" t="n">
        <f>101360932</f>
        <v>1.01360932E8</v>
      </c>
      <c r="W324" s="32" t="n">
        <f>427950</f>
        <v>427950.0</v>
      </c>
      <c r="X324" s="36" t="n">
        <f>20</f>
        <v>20.0</v>
      </c>
    </row>
    <row r="325">
      <c r="A325" s="27" t="s">
        <v>42</v>
      </c>
      <c r="B325" s="27" t="s">
        <v>1020</v>
      </c>
      <c r="C325" s="27" t="s">
        <v>1021</v>
      </c>
      <c r="D325" s="27" t="s">
        <v>1022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1558</f>
        <v>1558.0</v>
      </c>
      <c r="L325" s="34" t="s">
        <v>48</v>
      </c>
      <c r="M325" s="33" t="n">
        <f>1650</f>
        <v>1650.0</v>
      </c>
      <c r="N325" s="34" t="s">
        <v>49</v>
      </c>
      <c r="O325" s="33" t="n">
        <f>1530</f>
        <v>1530.0</v>
      </c>
      <c r="P325" s="34" t="s">
        <v>50</v>
      </c>
      <c r="Q325" s="33" t="n">
        <f>1633</f>
        <v>1633.0</v>
      </c>
      <c r="R325" s="34" t="s">
        <v>51</v>
      </c>
      <c r="S325" s="35" t="n">
        <f>1616.3</f>
        <v>1616.3</v>
      </c>
      <c r="T325" s="32" t="n">
        <f>23298</f>
        <v>23298.0</v>
      </c>
      <c r="U325" s="32" t="n">
        <f>150</f>
        <v>150.0</v>
      </c>
      <c r="V325" s="32" t="n">
        <f>37586402</f>
        <v>3.7586402E7</v>
      </c>
      <c r="W325" s="32" t="n">
        <f>242876</f>
        <v>242876.0</v>
      </c>
      <c r="X325" s="36" t="n">
        <f>20</f>
        <v>20.0</v>
      </c>
    </row>
    <row r="326">
      <c r="A326" s="27" t="s">
        <v>42</v>
      </c>
      <c r="B326" s="27" t="s">
        <v>1023</v>
      </c>
      <c r="C326" s="27" t="s">
        <v>1024</v>
      </c>
      <c r="D326" s="27" t="s">
        <v>1025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2178</f>
        <v>2178.0</v>
      </c>
      <c r="L326" s="34" t="s">
        <v>48</v>
      </c>
      <c r="M326" s="33" t="n">
        <f>2266</f>
        <v>2266.0</v>
      </c>
      <c r="N326" s="34" t="s">
        <v>64</v>
      </c>
      <c r="O326" s="33" t="n">
        <f>2154</f>
        <v>2154.0</v>
      </c>
      <c r="P326" s="34" t="s">
        <v>50</v>
      </c>
      <c r="Q326" s="33" t="n">
        <f>2213</f>
        <v>2213.0</v>
      </c>
      <c r="R326" s="34" t="s">
        <v>51</v>
      </c>
      <c r="S326" s="35" t="n">
        <f>2217.35</f>
        <v>2217.35</v>
      </c>
      <c r="T326" s="32" t="n">
        <f>199367</f>
        <v>199367.0</v>
      </c>
      <c r="U326" s="32" t="n">
        <f>816</f>
        <v>816.0</v>
      </c>
      <c r="V326" s="32" t="n">
        <f>442105110</f>
        <v>4.4210511E8</v>
      </c>
      <c r="W326" s="32" t="n">
        <f>1805878</f>
        <v>1805878.0</v>
      </c>
      <c r="X326" s="36" t="n">
        <f>20</f>
        <v>20.0</v>
      </c>
    </row>
    <row r="327">
      <c r="A327" s="27" t="s">
        <v>42</v>
      </c>
      <c r="B327" s="27" t="s">
        <v>1026</v>
      </c>
      <c r="C327" s="27" t="s">
        <v>1027</v>
      </c>
      <c r="D327" s="27" t="s">
        <v>1028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1593</f>
        <v>1593.0</v>
      </c>
      <c r="L327" s="34" t="s">
        <v>48</v>
      </c>
      <c r="M327" s="33" t="n">
        <f>1650</f>
        <v>1650.0</v>
      </c>
      <c r="N327" s="34" t="s">
        <v>199</v>
      </c>
      <c r="O327" s="33" t="n">
        <f>1561</f>
        <v>1561.0</v>
      </c>
      <c r="P327" s="34" t="s">
        <v>50</v>
      </c>
      <c r="Q327" s="33" t="n">
        <f>1590</f>
        <v>1590.0</v>
      </c>
      <c r="R327" s="34" t="s">
        <v>51</v>
      </c>
      <c r="S327" s="35" t="n">
        <f>1603.8</f>
        <v>1603.8</v>
      </c>
      <c r="T327" s="32" t="n">
        <f>18543</f>
        <v>18543.0</v>
      </c>
      <c r="U327" s="32" t="str">
        <f>"－"</f>
        <v>－</v>
      </c>
      <c r="V327" s="32" t="n">
        <f>29359489</f>
        <v>2.9359489E7</v>
      </c>
      <c r="W327" s="32" t="str">
        <f>"－"</f>
        <v>－</v>
      </c>
      <c r="X327" s="36" t="n">
        <f>20</f>
        <v>20.0</v>
      </c>
    </row>
    <row r="328">
      <c r="A328" s="27" t="s">
        <v>42</v>
      </c>
      <c r="B328" s="27" t="s">
        <v>1029</v>
      </c>
      <c r="C328" s="27" t="s">
        <v>1030</v>
      </c>
      <c r="D328" s="27" t="s">
        <v>1031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4377</f>
        <v>4377.0</v>
      </c>
      <c r="L328" s="34" t="s">
        <v>48</v>
      </c>
      <c r="M328" s="33" t="n">
        <f>4958</f>
        <v>4958.0</v>
      </c>
      <c r="N328" s="34" t="s">
        <v>49</v>
      </c>
      <c r="O328" s="33" t="n">
        <f>4240</f>
        <v>4240.0</v>
      </c>
      <c r="P328" s="34" t="s">
        <v>50</v>
      </c>
      <c r="Q328" s="33" t="n">
        <f>4649</f>
        <v>4649.0</v>
      </c>
      <c r="R328" s="34" t="s">
        <v>51</v>
      </c>
      <c r="S328" s="35" t="n">
        <f>4699.65</f>
        <v>4699.65</v>
      </c>
      <c r="T328" s="32" t="n">
        <f>453481</f>
        <v>453481.0</v>
      </c>
      <c r="U328" s="32" t="n">
        <f>1850</f>
        <v>1850.0</v>
      </c>
      <c r="V328" s="32" t="n">
        <f>2129562914</f>
        <v>2.129562914E9</v>
      </c>
      <c r="W328" s="32" t="n">
        <f>8846525</f>
        <v>8846525.0</v>
      </c>
      <c r="X328" s="36" t="n">
        <f>20</f>
        <v>20.0</v>
      </c>
    </row>
    <row r="329">
      <c r="A329" s="27" t="s">
        <v>42</v>
      </c>
      <c r="B329" s="27" t="s">
        <v>1032</v>
      </c>
      <c r="C329" s="27" t="s">
        <v>1033</v>
      </c>
      <c r="D329" s="27" t="s">
        <v>1034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3390</f>
        <v>3390.0</v>
      </c>
      <c r="L329" s="34" t="s">
        <v>48</v>
      </c>
      <c r="M329" s="33" t="n">
        <f>3680</f>
        <v>3680.0</v>
      </c>
      <c r="N329" s="34" t="s">
        <v>199</v>
      </c>
      <c r="O329" s="33" t="n">
        <f>3320</f>
        <v>3320.0</v>
      </c>
      <c r="P329" s="34" t="s">
        <v>50</v>
      </c>
      <c r="Q329" s="33" t="n">
        <f>3569</f>
        <v>3569.0</v>
      </c>
      <c r="R329" s="34" t="s">
        <v>51</v>
      </c>
      <c r="S329" s="35" t="n">
        <f>3545.5</f>
        <v>3545.5</v>
      </c>
      <c r="T329" s="32" t="n">
        <f>472542</f>
        <v>472542.0</v>
      </c>
      <c r="U329" s="32" t="n">
        <f>257889</f>
        <v>257889.0</v>
      </c>
      <c r="V329" s="32" t="n">
        <f>1688215029</f>
        <v>1.688215029E9</v>
      </c>
      <c r="W329" s="32" t="n">
        <f>928797771</f>
        <v>9.28797771E8</v>
      </c>
      <c r="X329" s="36" t="n">
        <f>20</f>
        <v>20.0</v>
      </c>
    </row>
    <row r="330">
      <c r="A330" s="27" t="s">
        <v>42</v>
      </c>
      <c r="B330" s="27" t="s">
        <v>1035</v>
      </c>
      <c r="C330" s="27" t="s">
        <v>1036</v>
      </c>
      <c r="D330" s="27" t="s">
        <v>1037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38950</f>
        <v>38950.0</v>
      </c>
      <c r="L330" s="34" t="s">
        <v>48</v>
      </c>
      <c r="M330" s="33" t="n">
        <f>41700</f>
        <v>41700.0</v>
      </c>
      <c r="N330" s="34" t="s">
        <v>49</v>
      </c>
      <c r="O330" s="33" t="n">
        <f>38520</f>
        <v>38520.0</v>
      </c>
      <c r="P330" s="34" t="s">
        <v>50</v>
      </c>
      <c r="Q330" s="33" t="n">
        <f>40750</f>
        <v>40750.0</v>
      </c>
      <c r="R330" s="34" t="s">
        <v>302</v>
      </c>
      <c r="S330" s="35" t="n">
        <f>40005</f>
        <v>40005.0</v>
      </c>
      <c r="T330" s="32" t="n">
        <f>32</f>
        <v>32.0</v>
      </c>
      <c r="U330" s="32" t="str">
        <f>"－"</f>
        <v>－</v>
      </c>
      <c r="V330" s="32" t="n">
        <f>1276530</f>
        <v>1276530.0</v>
      </c>
      <c r="W330" s="32" t="str">
        <f>"－"</f>
        <v>－</v>
      </c>
      <c r="X330" s="36" t="n">
        <f>12</f>
        <v>12.0</v>
      </c>
    </row>
    <row r="331">
      <c r="A331" s="27" t="s">
        <v>42</v>
      </c>
      <c r="B331" s="27" t="s">
        <v>1038</v>
      </c>
      <c r="C331" s="27" t="s">
        <v>1039</v>
      </c>
      <c r="D331" s="27" t="s">
        <v>1040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2971</f>
        <v>2971.0</v>
      </c>
      <c r="L331" s="34" t="s">
        <v>50</v>
      </c>
      <c r="M331" s="33" t="n">
        <f>3260</f>
        <v>3260.0</v>
      </c>
      <c r="N331" s="34" t="s">
        <v>64</v>
      </c>
      <c r="O331" s="33" t="n">
        <f>2971</f>
        <v>2971.0</v>
      </c>
      <c r="P331" s="34" t="s">
        <v>50</v>
      </c>
      <c r="Q331" s="33" t="n">
        <f>3178</f>
        <v>3178.0</v>
      </c>
      <c r="R331" s="34" t="s">
        <v>81</v>
      </c>
      <c r="S331" s="35" t="n">
        <f>3170.13</f>
        <v>3170.13</v>
      </c>
      <c r="T331" s="32" t="n">
        <f>1059</f>
        <v>1059.0</v>
      </c>
      <c r="U331" s="32" t="str">
        <f>"－"</f>
        <v>－</v>
      </c>
      <c r="V331" s="32" t="n">
        <f>3327242</f>
        <v>3327242.0</v>
      </c>
      <c r="W331" s="32" t="str">
        <f>"－"</f>
        <v>－</v>
      </c>
      <c r="X331" s="36" t="n">
        <f>15</f>
        <v>15.0</v>
      </c>
    </row>
    <row r="332">
      <c r="A332" s="27" t="s">
        <v>42</v>
      </c>
      <c r="B332" s="27" t="s">
        <v>1041</v>
      </c>
      <c r="C332" s="27" t="s">
        <v>1042</v>
      </c>
      <c r="D332" s="27" t="s">
        <v>1043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1853</f>
        <v>1853.0</v>
      </c>
      <c r="L332" s="34" t="s">
        <v>48</v>
      </c>
      <c r="M332" s="33" t="n">
        <f>1949</f>
        <v>1949.0</v>
      </c>
      <c r="N332" s="34" t="s">
        <v>221</v>
      </c>
      <c r="O332" s="33" t="n">
        <f>1788</f>
        <v>1788.0</v>
      </c>
      <c r="P332" s="34" t="s">
        <v>454</v>
      </c>
      <c r="Q332" s="33" t="n">
        <f>1895</f>
        <v>1895.0</v>
      </c>
      <c r="R332" s="34" t="s">
        <v>51</v>
      </c>
      <c r="S332" s="35" t="n">
        <f>1871.3</f>
        <v>1871.3</v>
      </c>
      <c r="T332" s="32" t="n">
        <f>9836877</f>
        <v>9836877.0</v>
      </c>
      <c r="U332" s="32" t="n">
        <f>871510</f>
        <v>871510.0</v>
      </c>
      <c r="V332" s="32" t="n">
        <f>18378450943</f>
        <v>1.8378450943E10</v>
      </c>
      <c r="W332" s="32" t="n">
        <f>1615511830</f>
        <v>1.61551183E9</v>
      </c>
      <c r="X332" s="36" t="n">
        <f>20</f>
        <v>20.0</v>
      </c>
    </row>
    <row r="333">
      <c r="A333" s="27" t="s">
        <v>42</v>
      </c>
      <c r="B333" s="27" t="s">
        <v>1044</v>
      </c>
      <c r="C333" s="27" t="s">
        <v>1045</v>
      </c>
      <c r="D333" s="27" t="s">
        <v>1046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2622</f>
        <v>2622.0</v>
      </c>
      <c r="L333" s="34" t="s">
        <v>48</v>
      </c>
      <c r="M333" s="33" t="n">
        <f>2860</f>
        <v>2860.0</v>
      </c>
      <c r="N333" s="34" t="s">
        <v>199</v>
      </c>
      <c r="O333" s="33" t="n">
        <f>2568</f>
        <v>2568.0</v>
      </c>
      <c r="P333" s="34" t="s">
        <v>50</v>
      </c>
      <c r="Q333" s="33" t="n">
        <f>2795</f>
        <v>2795.0</v>
      </c>
      <c r="R333" s="34" t="s">
        <v>51</v>
      </c>
      <c r="S333" s="35" t="n">
        <f>2742.8</f>
        <v>2742.8</v>
      </c>
      <c r="T333" s="32" t="n">
        <f>57554</f>
        <v>57554.0</v>
      </c>
      <c r="U333" s="32" t="str">
        <f>"－"</f>
        <v>－</v>
      </c>
      <c r="V333" s="32" t="n">
        <f>154680499</f>
        <v>1.54680499E8</v>
      </c>
      <c r="W333" s="32" t="str">
        <f>"－"</f>
        <v>－</v>
      </c>
      <c r="X333" s="36" t="n">
        <f>20</f>
        <v>20.0</v>
      </c>
    </row>
    <row r="334">
      <c r="A334" s="27" t="s">
        <v>42</v>
      </c>
      <c r="B334" s="27" t="s">
        <v>1047</v>
      </c>
      <c r="C334" s="27" t="s">
        <v>1048</v>
      </c>
      <c r="D334" s="27" t="s">
        <v>1049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1799</f>
        <v>1799.0</v>
      </c>
      <c r="L334" s="34" t="s">
        <v>48</v>
      </c>
      <c r="M334" s="33" t="n">
        <f>2100</f>
        <v>2100.0</v>
      </c>
      <c r="N334" s="34" t="s">
        <v>51</v>
      </c>
      <c r="O334" s="33" t="n">
        <f>1792</f>
        <v>1792.0</v>
      </c>
      <c r="P334" s="34" t="s">
        <v>50</v>
      </c>
      <c r="Q334" s="33" t="n">
        <f>2100</f>
        <v>2100.0</v>
      </c>
      <c r="R334" s="34" t="s">
        <v>51</v>
      </c>
      <c r="S334" s="35" t="n">
        <f>1934.75</f>
        <v>1934.75</v>
      </c>
      <c r="T334" s="32" t="n">
        <f>31045</f>
        <v>31045.0</v>
      </c>
      <c r="U334" s="32" t="n">
        <f>200</f>
        <v>200.0</v>
      </c>
      <c r="V334" s="32" t="n">
        <f>60340665</f>
        <v>6.0340665E7</v>
      </c>
      <c r="W334" s="32" t="n">
        <f>411000</f>
        <v>411000.0</v>
      </c>
      <c r="X334" s="36" t="n">
        <f>20</f>
        <v>20.0</v>
      </c>
    </row>
    <row r="335">
      <c r="A335" s="27" t="s">
        <v>42</v>
      </c>
      <c r="B335" s="27" t="s">
        <v>1050</v>
      </c>
      <c r="C335" s="27" t="s">
        <v>1051</v>
      </c>
      <c r="D335" s="27" t="s">
        <v>1052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10.0</v>
      </c>
      <c r="K335" s="33" t="n">
        <f>5644</f>
        <v>5644.0</v>
      </c>
      <c r="L335" s="34" t="s">
        <v>48</v>
      </c>
      <c r="M335" s="33" t="n">
        <f>5644</f>
        <v>5644.0</v>
      </c>
      <c r="N335" s="34" t="s">
        <v>48</v>
      </c>
      <c r="O335" s="33" t="n">
        <f>5568</f>
        <v>5568.0</v>
      </c>
      <c r="P335" s="34" t="s">
        <v>49</v>
      </c>
      <c r="Q335" s="33" t="n">
        <f>5603</f>
        <v>5603.0</v>
      </c>
      <c r="R335" s="34" t="s">
        <v>51</v>
      </c>
      <c r="S335" s="35" t="n">
        <f>5598.35</f>
        <v>5598.35</v>
      </c>
      <c r="T335" s="32" t="n">
        <f>302450</f>
        <v>302450.0</v>
      </c>
      <c r="U335" s="32" t="n">
        <f>298020</f>
        <v>298020.0</v>
      </c>
      <c r="V335" s="32" t="n">
        <f>1691714865</f>
        <v>1.691714865E9</v>
      </c>
      <c r="W335" s="32" t="n">
        <f>1666921905</f>
        <v>1.666921905E9</v>
      </c>
      <c r="X335" s="36" t="n">
        <f>17</f>
        <v>17.0</v>
      </c>
    </row>
    <row r="336">
      <c r="A336" s="27" t="s">
        <v>42</v>
      </c>
      <c r="B336" s="27" t="s">
        <v>1053</v>
      </c>
      <c r="C336" s="27" t="s">
        <v>1054</v>
      </c>
      <c r="D336" s="27" t="s">
        <v>1055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10.0</v>
      </c>
      <c r="K336" s="33" t="n">
        <f>3537</f>
        <v>3537.0</v>
      </c>
      <c r="L336" s="34" t="s">
        <v>48</v>
      </c>
      <c r="M336" s="33" t="n">
        <f>3600</f>
        <v>3600.0</v>
      </c>
      <c r="N336" s="34" t="s">
        <v>156</v>
      </c>
      <c r="O336" s="33" t="n">
        <f>3535</f>
        <v>3535.0</v>
      </c>
      <c r="P336" s="34" t="s">
        <v>48</v>
      </c>
      <c r="Q336" s="33" t="n">
        <f>3582</f>
        <v>3582.0</v>
      </c>
      <c r="R336" s="34" t="s">
        <v>51</v>
      </c>
      <c r="S336" s="35" t="n">
        <f>3566.8</f>
        <v>3566.8</v>
      </c>
      <c r="T336" s="32" t="n">
        <f>703820</f>
        <v>703820.0</v>
      </c>
      <c r="U336" s="32" t="n">
        <f>680110</f>
        <v>680110.0</v>
      </c>
      <c r="V336" s="32" t="n">
        <f>2514854393</f>
        <v>2.514854393E9</v>
      </c>
      <c r="W336" s="32" t="n">
        <f>2430237833</f>
        <v>2.430237833E9</v>
      </c>
      <c r="X336" s="36" t="n">
        <f>20</f>
        <v>20.0</v>
      </c>
    </row>
    <row r="337">
      <c r="A337" s="27" t="s">
        <v>42</v>
      </c>
      <c r="B337" s="27" t="s">
        <v>1056</v>
      </c>
      <c r="C337" s="27" t="s">
        <v>1057</v>
      </c>
      <c r="D337" s="27" t="s">
        <v>1058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10.0</v>
      </c>
      <c r="K337" s="33" t="n">
        <f>597.3</f>
        <v>597.3</v>
      </c>
      <c r="L337" s="34" t="s">
        <v>48</v>
      </c>
      <c r="M337" s="33" t="n">
        <f>605.4</f>
        <v>605.4</v>
      </c>
      <c r="N337" s="34" t="s">
        <v>51</v>
      </c>
      <c r="O337" s="33" t="n">
        <f>596.9</f>
        <v>596.9</v>
      </c>
      <c r="P337" s="34" t="s">
        <v>48</v>
      </c>
      <c r="Q337" s="33" t="n">
        <f>603.4</f>
        <v>603.4</v>
      </c>
      <c r="R337" s="34" t="s">
        <v>51</v>
      </c>
      <c r="S337" s="35" t="n">
        <f>602.03</f>
        <v>602.03</v>
      </c>
      <c r="T337" s="32" t="n">
        <f>10230</f>
        <v>10230.0</v>
      </c>
      <c r="U337" s="32" t="str">
        <f>"－"</f>
        <v>－</v>
      </c>
      <c r="V337" s="32" t="n">
        <f>6156940</f>
        <v>6156940.0</v>
      </c>
      <c r="W337" s="32" t="str">
        <f>"－"</f>
        <v>－</v>
      </c>
      <c r="X337" s="36" t="n">
        <f>14</f>
        <v>14.0</v>
      </c>
    </row>
    <row r="338">
      <c r="A338" s="27" t="s">
        <v>42</v>
      </c>
      <c r="B338" s="27" t="s">
        <v>1059</v>
      </c>
      <c r="C338" s="27" t="s">
        <v>1060</v>
      </c>
      <c r="D338" s="27" t="s">
        <v>1061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9166</f>
        <v>9166.0</v>
      </c>
      <c r="L338" s="34" t="s">
        <v>48</v>
      </c>
      <c r="M338" s="33" t="n">
        <f>9167</f>
        <v>9167.0</v>
      </c>
      <c r="N338" s="34" t="s">
        <v>48</v>
      </c>
      <c r="O338" s="33" t="n">
        <f>8830</f>
        <v>8830.0</v>
      </c>
      <c r="P338" s="34" t="s">
        <v>100</v>
      </c>
      <c r="Q338" s="33" t="n">
        <f>8885</f>
        <v>8885.0</v>
      </c>
      <c r="R338" s="34" t="s">
        <v>51</v>
      </c>
      <c r="S338" s="35" t="n">
        <f>8984.35</f>
        <v>8984.35</v>
      </c>
      <c r="T338" s="32" t="n">
        <f>4376</f>
        <v>4376.0</v>
      </c>
      <c r="U338" s="32" t="str">
        <f>"－"</f>
        <v>－</v>
      </c>
      <c r="V338" s="32" t="n">
        <f>39281026</f>
        <v>3.9281026E7</v>
      </c>
      <c r="W338" s="32" t="str">
        <f>"－"</f>
        <v>－</v>
      </c>
      <c r="X338" s="36" t="n">
        <f>20</f>
        <v>20.0</v>
      </c>
    </row>
    <row r="339">
      <c r="A339" s="27" t="s">
        <v>42</v>
      </c>
      <c r="B339" s="27" t="s">
        <v>1062</v>
      </c>
      <c r="C339" s="27" t="s">
        <v>1063</v>
      </c>
      <c r="D339" s="27" t="s">
        <v>1064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1016</f>
        <v>1016.0</v>
      </c>
      <c r="L339" s="34" t="s">
        <v>48</v>
      </c>
      <c r="M339" s="33" t="n">
        <f>1066</f>
        <v>1066.0</v>
      </c>
      <c r="N339" s="34" t="s">
        <v>221</v>
      </c>
      <c r="O339" s="33" t="n">
        <f>974</f>
        <v>974.0</v>
      </c>
      <c r="P339" s="34" t="s">
        <v>454</v>
      </c>
      <c r="Q339" s="33" t="n">
        <f>1035</f>
        <v>1035.0</v>
      </c>
      <c r="R339" s="34" t="s">
        <v>51</v>
      </c>
      <c r="S339" s="35" t="n">
        <f>1022.8</f>
        <v>1022.8</v>
      </c>
      <c r="T339" s="32" t="n">
        <f>548523</f>
        <v>548523.0</v>
      </c>
      <c r="U339" s="32" t="n">
        <f>26</f>
        <v>26.0</v>
      </c>
      <c r="V339" s="32" t="n">
        <f>557316757</f>
        <v>5.57316757E8</v>
      </c>
      <c r="W339" s="32" t="n">
        <f>26312</f>
        <v>26312.0</v>
      </c>
      <c r="X339" s="36" t="n">
        <f>20</f>
        <v>20.0</v>
      </c>
    </row>
    <row r="340">
      <c r="A340" s="27" t="s">
        <v>42</v>
      </c>
      <c r="B340" s="27" t="s">
        <v>1065</v>
      </c>
      <c r="C340" s="27" t="s">
        <v>1066</v>
      </c>
      <c r="D340" s="27" t="s">
        <v>1067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3211</f>
        <v>3211.0</v>
      </c>
      <c r="L340" s="34" t="s">
        <v>48</v>
      </c>
      <c r="M340" s="33" t="n">
        <f>3379</f>
        <v>3379.0</v>
      </c>
      <c r="N340" s="34" t="s">
        <v>49</v>
      </c>
      <c r="O340" s="33" t="n">
        <f>3185</f>
        <v>3185.0</v>
      </c>
      <c r="P340" s="34" t="s">
        <v>50</v>
      </c>
      <c r="Q340" s="33" t="n">
        <f>3279</f>
        <v>3279.0</v>
      </c>
      <c r="R340" s="34" t="s">
        <v>51</v>
      </c>
      <c r="S340" s="35" t="n">
        <f>3276.8</f>
        <v>3276.8</v>
      </c>
      <c r="T340" s="32" t="n">
        <f>15916</f>
        <v>15916.0</v>
      </c>
      <c r="U340" s="32" t="n">
        <f>160</f>
        <v>160.0</v>
      </c>
      <c r="V340" s="32" t="n">
        <f>52374274</f>
        <v>5.2374274E7</v>
      </c>
      <c r="W340" s="32" t="n">
        <f>519260</f>
        <v>519260.0</v>
      </c>
      <c r="X340" s="36" t="n">
        <f>20</f>
        <v>20.0</v>
      </c>
    </row>
    <row r="341">
      <c r="A341" s="27" t="s">
        <v>42</v>
      </c>
      <c r="B341" s="27" t="s">
        <v>1068</v>
      </c>
      <c r="C341" s="27" t="s">
        <v>1069</v>
      </c>
      <c r="D341" s="27" t="s">
        <v>1070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2600</f>
        <v>2600.0</v>
      </c>
      <c r="L341" s="34" t="s">
        <v>48</v>
      </c>
      <c r="M341" s="33" t="n">
        <f>2675</f>
        <v>2675.0</v>
      </c>
      <c r="N341" s="34" t="s">
        <v>64</v>
      </c>
      <c r="O341" s="33" t="n">
        <f>2547</f>
        <v>2547.0</v>
      </c>
      <c r="P341" s="34" t="s">
        <v>50</v>
      </c>
      <c r="Q341" s="33" t="n">
        <f>2623</f>
        <v>2623.0</v>
      </c>
      <c r="R341" s="34" t="s">
        <v>51</v>
      </c>
      <c r="S341" s="35" t="n">
        <f>2623.1</f>
        <v>2623.1</v>
      </c>
      <c r="T341" s="32" t="n">
        <f>1422916</f>
        <v>1422916.0</v>
      </c>
      <c r="U341" s="32" t="n">
        <f>650</f>
        <v>650.0</v>
      </c>
      <c r="V341" s="32" t="n">
        <f>3714094222</f>
        <v>3.714094222E9</v>
      </c>
      <c r="W341" s="32" t="n">
        <f>1729170</f>
        <v>1729170.0</v>
      </c>
      <c r="X341" s="36" t="n">
        <f>20</f>
        <v>20.0</v>
      </c>
    </row>
    <row r="342">
      <c r="A342" s="27" t="s">
        <v>42</v>
      </c>
      <c r="B342" s="27" t="s">
        <v>1071</v>
      </c>
      <c r="C342" s="27" t="s">
        <v>1072</v>
      </c>
      <c r="D342" s="27" t="s">
        <v>1073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8456</f>
        <v>8456.0</v>
      </c>
      <c r="L342" s="34" t="s">
        <v>48</v>
      </c>
      <c r="M342" s="33" t="n">
        <f>8456</f>
        <v>8456.0</v>
      </c>
      <c r="N342" s="34" t="s">
        <v>48</v>
      </c>
      <c r="O342" s="33" t="n">
        <f>8260</f>
        <v>8260.0</v>
      </c>
      <c r="P342" s="34" t="s">
        <v>100</v>
      </c>
      <c r="Q342" s="33" t="n">
        <f>8315</f>
        <v>8315.0</v>
      </c>
      <c r="R342" s="34" t="s">
        <v>51</v>
      </c>
      <c r="S342" s="35" t="n">
        <f>8315.8</f>
        <v>8315.8</v>
      </c>
      <c r="T342" s="32" t="n">
        <f>10145</f>
        <v>10145.0</v>
      </c>
      <c r="U342" s="32" t="n">
        <f>13</f>
        <v>13.0</v>
      </c>
      <c r="V342" s="32" t="n">
        <f>84269512</f>
        <v>8.4269512E7</v>
      </c>
      <c r="W342" s="32" t="n">
        <f>108225</f>
        <v>108225.0</v>
      </c>
      <c r="X342" s="36" t="n">
        <f>20</f>
        <v>20.0</v>
      </c>
    </row>
    <row r="343">
      <c r="A343" s="27" t="s">
        <v>42</v>
      </c>
      <c r="B343" s="27" t="s">
        <v>1074</v>
      </c>
      <c r="C343" s="27" t="s">
        <v>1075</v>
      </c>
      <c r="D343" s="27" t="s">
        <v>1076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5286</f>
        <v>5286.0</v>
      </c>
      <c r="L343" s="34" t="s">
        <v>48</v>
      </c>
      <c r="M343" s="33" t="n">
        <f>5367</f>
        <v>5367.0</v>
      </c>
      <c r="N343" s="34" t="s">
        <v>50</v>
      </c>
      <c r="O343" s="33" t="n">
        <f>5253</f>
        <v>5253.0</v>
      </c>
      <c r="P343" s="34" t="s">
        <v>64</v>
      </c>
      <c r="Q343" s="33" t="n">
        <f>5308</f>
        <v>5308.0</v>
      </c>
      <c r="R343" s="34" t="s">
        <v>51</v>
      </c>
      <c r="S343" s="35" t="n">
        <f>5291.25</f>
        <v>5291.25</v>
      </c>
      <c r="T343" s="32" t="n">
        <f>10857</f>
        <v>10857.0</v>
      </c>
      <c r="U343" s="32" t="str">
        <f>"－"</f>
        <v>－</v>
      </c>
      <c r="V343" s="32" t="n">
        <f>57399998</f>
        <v>5.7399998E7</v>
      </c>
      <c r="W343" s="32" t="str">
        <f>"－"</f>
        <v>－</v>
      </c>
      <c r="X343" s="36" t="n">
        <f>20</f>
        <v>20.0</v>
      </c>
    </row>
    <row r="344">
      <c r="A344" s="27" t="s">
        <v>42</v>
      </c>
      <c r="B344" s="27" t="s">
        <v>1077</v>
      </c>
      <c r="C344" s="27" t="s">
        <v>1078</v>
      </c>
      <c r="D344" s="27" t="s">
        <v>1079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1060</f>
        <v>1060.0</v>
      </c>
      <c r="L344" s="34" t="s">
        <v>48</v>
      </c>
      <c r="M344" s="33" t="n">
        <f>1061</f>
        <v>1061.0</v>
      </c>
      <c r="N344" s="34" t="s">
        <v>51</v>
      </c>
      <c r="O344" s="33" t="n">
        <f>1019</f>
        <v>1019.0</v>
      </c>
      <c r="P344" s="34" t="s">
        <v>50</v>
      </c>
      <c r="Q344" s="33" t="n">
        <f>1054</f>
        <v>1054.0</v>
      </c>
      <c r="R344" s="34" t="s">
        <v>51</v>
      </c>
      <c r="S344" s="35" t="n">
        <f>1042.25</f>
        <v>1042.25</v>
      </c>
      <c r="T344" s="32" t="n">
        <f>234375</f>
        <v>234375.0</v>
      </c>
      <c r="U344" s="32" t="str">
        <f>"－"</f>
        <v>－</v>
      </c>
      <c r="V344" s="32" t="n">
        <f>243272850</f>
        <v>2.4327285E8</v>
      </c>
      <c r="W344" s="32" t="str">
        <f>"－"</f>
        <v>－</v>
      </c>
      <c r="X344" s="36" t="n">
        <f>20</f>
        <v>20.0</v>
      </c>
    </row>
    <row r="345">
      <c r="A345" s="27" t="s">
        <v>42</v>
      </c>
      <c r="B345" s="27" t="s">
        <v>1080</v>
      </c>
      <c r="C345" s="27" t="s">
        <v>1081</v>
      </c>
      <c r="D345" s="27" t="s">
        <v>1082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2021</f>
        <v>2021.0</v>
      </c>
      <c r="L345" s="34" t="s">
        <v>48</v>
      </c>
      <c r="M345" s="33" t="n">
        <f>2041</f>
        <v>2041.0</v>
      </c>
      <c r="N345" s="34" t="s">
        <v>221</v>
      </c>
      <c r="O345" s="33" t="n">
        <f>1940</f>
        <v>1940.0</v>
      </c>
      <c r="P345" s="34" t="s">
        <v>50</v>
      </c>
      <c r="Q345" s="33" t="n">
        <f>2012</f>
        <v>2012.0</v>
      </c>
      <c r="R345" s="34" t="s">
        <v>51</v>
      </c>
      <c r="S345" s="35" t="n">
        <f>1998.9</f>
        <v>1998.9</v>
      </c>
      <c r="T345" s="32" t="n">
        <f>2079948</f>
        <v>2079948.0</v>
      </c>
      <c r="U345" s="32" t="n">
        <f>439900</f>
        <v>439900.0</v>
      </c>
      <c r="V345" s="32" t="n">
        <f>4157792269</f>
        <v>4.157792269E9</v>
      </c>
      <c r="W345" s="32" t="n">
        <f>884402534</f>
        <v>8.84402534E8</v>
      </c>
      <c r="X345" s="36" t="n">
        <f>20</f>
        <v>20.0</v>
      </c>
    </row>
    <row r="346">
      <c r="A346" s="27" t="s">
        <v>42</v>
      </c>
      <c r="B346" s="27" t="s">
        <v>1083</v>
      </c>
      <c r="C346" s="27" t="s">
        <v>1084</v>
      </c>
      <c r="D346" s="27" t="s">
        <v>1085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1377</f>
        <v>1377.0</v>
      </c>
      <c r="L346" s="34" t="s">
        <v>48</v>
      </c>
      <c r="M346" s="33" t="n">
        <f>1420</f>
        <v>1420.0</v>
      </c>
      <c r="N346" s="34" t="s">
        <v>282</v>
      </c>
      <c r="O346" s="33" t="n">
        <f>1355</f>
        <v>1355.0</v>
      </c>
      <c r="P346" s="34" t="s">
        <v>50</v>
      </c>
      <c r="Q346" s="33" t="n">
        <f>1394</f>
        <v>1394.0</v>
      </c>
      <c r="R346" s="34" t="s">
        <v>51</v>
      </c>
      <c r="S346" s="35" t="n">
        <f>1391.2</f>
        <v>1391.2</v>
      </c>
      <c r="T346" s="32" t="n">
        <f>3670308</f>
        <v>3670308.0</v>
      </c>
      <c r="U346" s="32" t="n">
        <f>60082</f>
        <v>60082.0</v>
      </c>
      <c r="V346" s="32" t="n">
        <f>5116378562</f>
        <v>5.116378562E9</v>
      </c>
      <c r="W346" s="32" t="n">
        <f>84317413</f>
        <v>8.4317413E7</v>
      </c>
      <c r="X346" s="36" t="n">
        <f>20</f>
        <v>20.0</v>
      </c>
    </row>
    <row r="347">
      <c r="A347" s="27" t="s">
        <v>42</v>
      </c>
      <c r="B347" s="27" t="s">
        <v>1086</v>
      </c>
      <c r="C347" s="27" t="s">
        <v>1087</v>
      </c>
      <c r="D347" s="27" t="s">
        <v>1088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15455</f>
        <v>15455.0</v>
      </c>
      <c r="L347" s="34" t="s">
        <v>48</v>
      </c>
      <c r="M347" s="33" t="n">
        <f>15700</f>
        <v>15700.0</v>
      </c>
      <c r="N347" s="34" t="s">
        <v>50</v>
      </c>
      <c r="O347" s="33" t="n">
        <f>15000</f>
        <v>15000.0</v>
      </c>
      <c r="P347" s="34" t="s">
        <v>221</v>
      </c>
      <c r="Q347" s="33" t="n">
        <f>15135</f>
        <v>15135.0</v>
      </c>
      <c r="R347" s="34" t="s">
        <v>51</v>
      </c>
      <c r="S347" s="35" t="n">
        <f>15283.75</f>
        <v>15283.75</v>
      </c>
      <c r="T347" s="32" t="n">
        <f>73975</f>
        <v>73975.0</v>
      </c>
      <c r="U347" s="32" t="n">
        <f>4579</f>
        <v>4579.0</v>
      </c>
      <c r="V347" s="32" t="n">
        <f>1135302062</f>
        <v>1.135302062E9</v>
      </c>
      <c r="W347" s="32" t="n">
        <f>69289267</f>
        <v>6.9289267E7</v>
      </c>
      <c r="X347" s="36" t="n">
        <f>20</f>
        <v>20.0</v>
      </c>
    </row>
    <row r="348">
      <c r="A348" s="27" t="s">
        <v>42</v>
      </c>
      <c r="B348" s="27" t="s">
        <v>1089</v>
      </c>
      <c r="C348" s="27" t="s">
        <v>1090</v>
      </c>
      <c r="D348" s="27" t="s">
        <v>1091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4020</f>
        <v>4020.0</v>
      </c>
      <c r="L348" s="34" t="s">
        <v>48</v>
      </c>
      <c r="M348" s="33" t="n">
        <f>4049</f>
        <v>4049.0</v>
      </c>
      <c r="N348" s="34" t="s">
        <v>50</v>
      </c>
      <c r="O348" s="33" t="n">
        <f>3972</f>
        <v>3972.0</v>
      </c>
      <c r="P348" s="34" t="s">
        <v>77</v>
      </c>
      <c r="Q348" s="33" t="n">
        <f>3998</f>
        <v>3998.0</v>
      </c>
      <c r="R348" s="34" t="s">
        <v>51</v>
      </c>
      <c r="S348" s="35" t="n">
        <f>3999.28</f>
        <v>3999.28</v>
      </c>
      <c r="T348" s="32" t="n">
        <f>405321</f>
        <v>405321.0</v>
      </c>
      <c r="U348" s="32" t="n">
        <f>376022</f>
        <v>376022.0</v>
      </c>
      <c r="V348" s="32" t="n">
        <f>1611337726</f>
        <v>1.611337726E9</v>
      </c>
      <c r="W348" s="32" t="n">
        <f>1494500336</f>
        <v>1.494500336E9</v>
      </c>
      <c r="X348" s="36" t="n">
        <f>18</f>
        <v>18.0</v>
      </c>
    </row>
    <row r="349">
      <c r="A349" s="27" t="s">
        <v>42</v>
      </c>
      <c r="B349" s="27" t="s">
        <v>1092</v>
      </c>
      <c r="C349" s="27" t="s">
        <v>1093</v>
      </c>
      <c r="D349" s="27" t="s">
        <v>1094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5111</f>
        <v>5111.0</v>
      </c>
      <c r="L349" s="34" t="s">
        <v>48</v>
      </c>
      <c r="M349" s="33" t="n">
        <f>5116</f>
        <v>5116.0</v>
      </c>
      <c r="N349" s="34" t="s">
        <v>48</v>
      </c>
      <c r="O349" s="33" t="n">
        <f>4952</f>
        <v>4952.0</v>
      </c>
      <c r="P349" s="34" t="s">
        <v>86</v>
      </c>
      <c r="Q349" s="33" t="n">
        <f>5029</f>
        <v>5029.0</v>
      </c>
      <c r="R349" s="34" t="s">
        <v>51</v>
      </c>
      <c r="S349" s="35" t="n">
        <f>5024.45</f>
        <v>5024.45</v>
      </c>
      <c r="T349" s="32" t="n">
        <f>251363</f>
        <v>251363.0</v>
      </c>
      <c r="U349" s="32" t="n">
        <f>208200</f>
        <v>208200.0</v>
      </c>
      <c r="V349" s="32" t="n">
        <f>1283241326</f>
        <v>1.283241326E9</v>
      </c>
      <c r="W349" s="32" t="n">
        <f>1065231728</f>
        <v>1.065231728E9</v>
      </c>
      <c r="X349" s="36" t="n">
        <f>20</f>
        <v>20.0</v>
      </c>
    </row>
    <row r="350">
      <c r="A350" s="27" t="s">
        <v>42</v>
      </c>
      <c r="B350" s="27" t="s">
        <v>1095</v>
      </c>
      <c r="C350" s="27" t="s">
        <v>1096</v>
      </c>
      <c r="D350" s="27" t="s">
        <v>1097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10.0</v>
      </c>
      <c r="K350" s="33" t="n">
        <f>2882.5</f>
        <v>2882.5</v>
      </c>
      <c r="L350" s="34" t="s">
        <v>48</v>
      </c>
      <c r="M350" s="33" t="n">
        <f>2965</f>
        <v>2965.0</v>
      </c>
      <c r="N350" s="34" t="s">
        <v>100</v>
      </c>
      <c r="O350" s="33" t="n">
        <f>2838</f>
        <v>2838.0</v>
      </c>
      <c r="P350" s="34" t="s">
        <v>50</v>
      </c>
      <c r="Q350" s="33" t="n">
        <f>2934.5</f>
        <v>2934.5</v>
      </c>
      <c r="R350" s="34" t="s">
        <v>51</v>
      </c>
      <c r="S350" s="35" t="n">
        <f>2912.1</f>
        <v>2912.1</v>
      </c>
      <c r="T350" s="32" t="n">
        <f>2749550</f>
        <v>2749550.0</v>
      </c>
      <c r="U350" s="32" t="n">
        <f>1701730</f>
        <v>1701730.0</v>
      </c>
      <c r="V350" s="32" t="n">
        <f>8085784849</f>
        <v>8.085784849E9</v>
      </c>
      <c r="W350" s="32" t="n">
        <f>5035897394</f>
        <v>5.035897394E9</v>
      </c>
      <c r="X350" s="36" t="n">
        <f>20</f>
        <v>20.0</v>
      </c>
    </row>
    <row r="351">
      <c r="A351" s="27" t="s">
        <v>42</v>
      </c>
      <c r="B351" s="27" t="s">
        <v>1098</v>
      </c>
      <c r="C351" s="27" t="s">
        <v>1099</v>
      </c>
      <c r="D351" s="27" t="s">
        <v>1100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10.0</v>
      </c>
      <c r="K351" s="33" t="n">
        <f>2210</f>
        <v>2210.0</v>
      </c>
      <c r="L351" s="34" t="s">
        <v>48</v>
      </c>
      <c r="M351" s="33" t="n">
        <f>2355</f>
        <v>2355.0</v>
      </c>
      <c r="N351" s="34" t="s">
        <v>82</v>
      </c>
      <c r="O351" s="33" t="n">
        <f>2177.5</f>
        <v>2177.5</v>
      </c>
      <c r="P351" s="34" t="s">
        <v>50</v>
      </c>
      <c r="Q351" s="33" t="n">
        <f>2264</f>
        <v>2264.0</v>
      </c>
      <c r="R351" s="34" t="s">
        <v>51</v>
      </c>
      <c r="S351" s="35" t="n">
        <f>2242.23</f>
        <v>2242.23</v>
      </c>
      <c r="T351" s="32" t="n">
        <f>3254040</f>
        <v>3254040.0</v>
      </c>
      <c r="U351" s="32" t="n">
        <f>2360000</f>
        <v>2360000.0</v>
      </c>
      <c r="V351" s="32" t="n">
        <f>7220787927</f>
        <v>7.220787927E9</v>
      </c>
      <c r="W351" s="32" t="n">
        <f>5241340097</f>
        <v>5.241340097E9</v>
      </c>
      <c r="X351" s="36" t="n">
        <f>20</f>
        <v>20.0</v>
      </c>
    </row>
    <row r="352">
      <c r="A352" s="27" t="s">
        <v>42</v>
      </c>
      <c r="B352" s="27" t="s">
        <v>1101</v>
      </c>
      <c r="C352" s="27" t="s">
        <v>1102</v>
      </c>
      <c r="D352" s="27" t="s">
        <v>1103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2148</f>
        <v>2148.0</v>
      </c>
      <c r="L352" s="34" t="s">
        <v>48</v>
      </c>
      <c r="M352" s="33" t="n">
        <f>2459</f>
        <v>2459.0</v>
      </c>
      <c r="N352" s="34" t="s">
        <v>64</v>
      </c>
      <c r="O352" s="33" t="n">
        <f>2124</f>
        <v>2124.0</v>
      </c>
      <c r="P352" s="34" t="s">
        <v>50</v>
      </c>
      <c r="Q352" s="33" t="n">
        <f>2291</f>
        <v>2291.0</v>
      </c>
      <c r="R352" s="34" t="s">
        <v>51</v>
      </c>
      <c r="S352" s="35" t="n">
        <f>2260.4</f>
        <v>2260.4</v>
      </c>
      <c r="T352" s="32" t="n">
        <f>62425</f>
        <v>62425.0</v>
      </c>
      <c r="U352" s="32" t="n">
        <f>120</f>
        <v>120.0</v>
      </c>
      <c r="V352" s="32" t="n">
        <f>141826358</f>
        <v>1.41826358E8</v>
      </c>
      <c r="W352" s="32" t="n">
        <f>260548</f>
        <v>260548.0</v>
      </c>
      <c r="X352" s="36" t="n">
        <f>20</f>
        <v>20.0</v>
      </c>
    </row>
    <row r="353">
      <c r="A353" s="27" t="s">
        <v>42</v>
      </c>
      <c r="B353" s="27" t="s">
        <v>1104</v>
      </c>
      <c r="C353" s="27" t="s">
        <v>1105</v>
      </c>
      <c r="D353" s="27" t="s">
        <v>1106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2212</f>
        <v>2212.0</v>
      </c>
      <c r="L353" s="34" t="s">
        <v>48</v>
      </c>
      <c r="M353" s="33" t="n">
        <f>2380</f>
        <v>2380.0</v>
      </c>
      <c r="N353" s="34" t="s">
        <v>49</v>
      </c>
      <c r="O353" s="33" t="n">
        <f>2193</f>
        <v>2193.0</v>
      </c>
      <c r="P353" s="34" t="s">
        <v>50</v>
      </c>
      <c r="Q353" s="33" t="n">
        <f>2330</f>
        <v>2330.0</v>
      </c>
      <c r="R353" s="34" t="s">
        <v>51</v>
      </c>
      <c r="S353" s="35" t="n">
        <f>2309.35</f>
        <v>2309.35</v>
      </c>
      <c r="T353" s="32" t="n">
        <f>1915</f>
        <v>1915.0</v>
      </c>
      <c r="U353" s="32" t="str">
        <f>"－"</f>
        <v>－</v>
      </c>
      <c r="V353" s="32" t="n">
        <f>4368998</f>
        <v>4368998.0</v>
      </c>
      <c r="W353" s="32" t="str">
        <f>"－"</f>
        <v>－</v>
      </c>
      <c r="X353" s="36" t="n">
        <f>20</f>
        <v>20.0</v>
      </c>
    </row>
    <row r="354">
      <c r="A354" s="27" t="s">
        <v>42</v>
      </c>
      <c r="B354" s="27" t="s">
        <v>1107</v>
      </c>
      <c r="C354" s="27" t="s">
        <v>1108</v>
      </c>
      <c r="D354" s="27" t="s">
        <v>1109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4670</f>
        <v>4670.0</v>
      </c>
      <c r="L354" s="34" t="s">
        <v>48</v>
      </c>
      <c r="M354" s="33" t="n">
        <f>4820</f>
        <v>4820.0</v>
      </c>
      <c r="N354" s="34" t="s">
        <v>199</v>
      </c>
      <c r="O354" s="33" t="n">
        <f>4575</f>
        <v>4575.0</v>
      </c>
      <c r="P354" s="34" t="s">
        <v>50</v>
      </c>
      <c r="Q354" s="33" t="n">
        <f>4647</f>
        <v>4647.0</v>
      </c>
      <c r="R354" s="34" t="s">
        <v>51</v>
      </c>
      <c r="S354" s="35" t="n">
        <f>4711</f>
        <v>4711.0</v>
      </c>
      <c r="T354" s="32" t="n">
        <f>81850</f>
        <v>81850.0</v>
      </c>
      <c r="U354" s="32" t="n">
        <f>46571</f>
        <v>46571.0</v>
      </c>
      <c r="V354" s="32" t="n">
        <f>387966437</f>
        <v>3.87966437E8</v>
      </c>
      <c r="W354" s="32" t="n">
        <f>222240554</f>
        <v>2.22240554E8</v>
      </c>
      <c r="X354" s="36" t="n">
        <f>20</f>
        <v>20.0</v>
      </c>
    </row>
    <row r="355">
      <c r="A355" s="27" t="s">
        <v>42</v>
      </c>
      <c r="B355" s="27" t="s">
        <v>1110</v>
      </c>
      <c r="C355" s="27" t="s">
        <v>1111</v>
      </c>
      <c r="D355" s="27" t="s">
        <v>1112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10.0</v>
      </c>
      <c r="K355" s="33" t="n">
        <f>296.5</f>
        <v>296.5</v>
      </c>
      <c r="L355" s="34" t="s">
        <v>48</v>
      </c>
      <c r="M355" s="33" t="n">
        <f>314.3</f>
        <v>314.3</v>
      </c>
      <c r="N355" s="34" t="s">
        <v>64</v>
      </c>
      <c r="O355" s="33" t="n">
        <f>288.2</f>
        <v>288.2</v>
      </c>
      <c r="P355" s="34" t="s">
        <v>50</v>
      </c>
      <c r="Q355" s="33" t="n">
        <f>300.2</f>
        <v>300.2</v>
      </c>
      <c r="R355" s="34" t="s">
        <v>51</v>
      </c>
      <c r="S355" s="35" t="n">
        <f>300.47</f>
        <v>300.47</v>
      </c>
      <c r="T355" s="32" t="n">
        <f>215660</f>
        <v>215660.0</v>
      </c>
      <c r="U355" s="32" t="n">
        <f>1800</f>
        <v>1800.0</v>
      </c>
      <c r="V355" s="32" t="n">
        <f>64523003</f>
        <v>6.4523003E7</v>
      </c>
      <c r="W355" s="32" t="n">
        <f>541770</f>
        <v>541770.0</v>
      </c>
      <c r="X355" s="36" t="n">
        <f>19</f>
        <v>19.0</v>
      </c>
    </row>
    <row r="356">
      <c r="A356" s="27" t="s">
        <v>42</v>
      </c>
      <c r="B356" s="27" t="s">
        <v>1113</v>
      </c>
      <c r="C356" s="27" t="s">
        <v>1114</v>
      </c>
      <c r="D356" s="27" t="s">
        <v>1115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10.0</v>
      </c>
      <c r="K356" s="33" t="n">
        <f>183</f>
        <v>183.0</v>
      </c>
      <c r="L356" s="34" t="s">
        <v>48</v>
      </c>
      <c r="M356" s="33" t="n">
        <f>194.9</f>
        <v>194.9</v>
      </c>
      <c r="N356" s="34" t="s">
        <v>454</v>
      </c>
      <c r="O356" s="33" t="n">
        <f>182.2</f>
        <v>182.2</v>
      </c>
      <c r="P356" s="34" t="s">
        <v>48</v>
      </c>
      <c r="Q356" s="33" t="n">
        <f>188</f>
        <v>188.0</v>
      </c>
      <c r="R356" s="34" t="s">
        <v>51</v>
      </c>
      <c r="S356" s="35" t="n">
        <f>186.58</f>
        <v>186.58</v>
      </c>
      <c r="T356" s="32" t="n">
        <f>8897930</f>
        <v>8897930.0</v>
      </c>
      <c r="U356" s="32" t="n">
        <f>8655640</f>
        <v>8655640.0</v>
      </c>
      <c r="V356" s="32" t="n">
        <f>1647642975</f>
        <v>1.647642975E9</v>
      </c>
      <c r="W356" s="32" t="n">
        <f>1602287437</f>
        <v>1.602287437E9</v>
      </c>
      <c r="X356" s="36" t="n">
        <f>20</f>
        <v>20.0</v>
      </c>
    </row>
    <row r="357">
      <c r="A357" s="27" t="s">
        <v>42</v>
      </c>
      <c r="B357" s="27" t="s">
        <v>1116</v>
      </c>
      <c r="C357" s="27" t="s">
        <v>1117</v>
      </c>
      <c r="D357" s="27" t="s">
        <v>1118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10.0</v>
      </c>
      <c r="K357" s="33" t="n">
        <f>645.4</f>
        <v>645.4</v>
      </c>
      <c r="L357" s="34" t="s">
        <v>50</v>
      </c>
      <c r="M357" s="33" t="n">
        <f>646.2</f>
        <v>646.2</v>
      </c>
      <c r="N357" s="34" t="s">
        <v>454</v>
      </c>
      <c r="O357" s="33" t="n">
        <f>637.7</f>
        <v>637.7</v>
      </c>
      <c r="P357" s="34" t="s">
        <v>81</v>
      </c>
      <c r="Q357" s="33" t="n">
        <f>641.1</f>
        <v>641.1</v>
      </c>
      <c r="R357" s="34" t="s">
        <v>51</v>
      </c>
      <c r="S357" s="35" t="n">
        <f>641.79</f>
        <v>641.79</v>
      </c>
      <c r="T357" s="32" t="n">
        <f>65620</f>
        <v>65620.0</v>
      </c>
      <c r="U357" s="32" t="n">
        <f>62600</f>
        <v>62600.0</v>
      </c>
      <c r="V357" s="32" t="n">
        <f>42028861</f>
        <v>4.2028861E7</v>
      </c>
      <c r="W357" s="32" t="n">
        <f>40094257</f>
        <v>4.0094257E7</v>
      </c>
      <c r="X357" s="36" t="n">
        <f>16</f>
        <v>16.0</v>
      </c>
    </row>
    <row r="358">
      <c r="A358" s="27" t="s">
        <v>42</v>
      </c>
      <c r="B358" s="27" t="s">
        <v>1119</v>
      </c>
      <c r="C358" s="27" t="s">
        <v>1120</v>
      </c>
      <c r="D358" s="27" t="s">
        <v>1121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1.0</v>
      </c>
      <c r="K358" s="33" t="n">
        <f>1666</f>
        <v>1666.0</v>
      </c>
      <c r="L358" s="34" t="s">
        <v>48</v>
      </c>
      <c r="M358" s="33" t="n">
        <f>1765</f>
        <v>1765.0</v>
      </c>
      <c r="N358" s="34" t="s">
        <v>64</v>
      </c>
      <c r="O358" s="33" t="n">
        <f>1610</f>
        <v>1610.0</v>
      </c>
      <c r="P358" s="34" t="s">
        <v>50</v>
      </c>
      <c r="Q358" s="33" t="n">
        <f>1698</f>
        <v>1698.0</v>
      </c>
      <c r="R358" s="34" t="s">
        <v>51</v>
      </c>
      <c r="S358" s="35" t="n">
        <f>1705.1</f>
        <v>1705.1</v>
      </c>
      <c r="T358" s="32" t="n">
        <f>195907</f>
        <v>195907.0</v>
      </c>
      <c r="U358" s="32" t="n">
        <f>164</f>
        <v>164.0</v>
      </c>
      <c r="V358" s="32" t="n">
        <f>333216169</f>
        <v>3.33216169E8</v>
      </c>
      <c r="W358" s="32" t="n">
        <f>282605</f>
        <v>282605.0</v>
      </c>
      <c r="X358" s="36" t="n">
        <f>20</f>
        <v>20.0</v>
      </c>
    </row>
    <row r="359">
      <c r="A359" s="27" t="s">
        <v>42</v>
      </c>
      <c r="B359" s="27" t="s">
        <v>1122</v>
      </c>
      <c r="C359" s="27" t="s">
        <v>1123</v>
      </c>
      <c r="D359" s="27" t="s">
        <v>1124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973</f>
        <v>973.0</v>
      </c>
      <c r="L359" s="34" t="s">
        <v>48</v>
      </c>
      <c r="M359" s="33" t="n">
        <f>1016</f>
        <v>1016.0</v>
      </c>
      <c r="N359" s="34" t="s">
        <v>81</v>
      </c>
      <c r="O359" s="33" t="n">
        <f>972</f>
        <v>972.0</v>
      </c>
      <c r="P359" s="34" t="s">
        <v>48</v>
      </c>
      <c r="Q359" s="33" t="n">
        <f>1011</f>
        <v>1011.0</v>
      </c>
      <c r="R359" s="34" t="s">
        <v>51</v>
      </c>
      <c r="S359" s="35" t="n">
        <f>997.15</f>
        <v>997.15</v>
      </c>
      <c r="T359" s="32" t="n">
        <f>65349</f>
        <v>65349.0</v>
      </c>
      <c r="U359" s="32" t="n">
        <f>210</f>
        <v>210.0</v>
      </c>
      <c r="V359" s="32" t="n">
        <f>64783319</f>
        <v>6.4783319E7</v>
      </c>
      <c r="W359" s="32" t="n">
        <f>204720</f>
        <v>204720.0</v>
      </c>
      <c r="X359" s="36" t="n">
        <f>20</f>
        <v>20.0</v>
      </c>
    </row>
    <row r="360">
      <c r="A360" s="27" t="s">
        <v>42</v>
      </c>
      <c r="B360" s="27" t="s">
        <v>1125</v>
      </c>
      <c r="C360" s="27" t="s">
        <v>1126</v>
      </c>
      <c r="D360" s="27" t="s">
        <v>1127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10.0</v>
      </c>
      <c r="K360" s="33" t="n">
        <f>677.9</f>
        <v>677.9</v>
      </c>
      <c r="L360" s="34" t="s">
        <v>48</v>
      </c>
      <c r="M360" s="33" t="n">
        <f>686</f>
        <v>686.0</v>
      </c>
      <c r="N360" s="34" t="s">
        <v>51</v>
      </c>
      <c r="O360" s="33" t="n">
        <f>677.4</f>
        <v>677.4</v>
      </c>
      <c r="P360" s="34" t="s">
        <v>48</v>
      </c>
      <c r="Q360" s="33" t="n">
        <f>686</f>
        <v>686.0</v>
      </c>
      <c r="R360" s="34" t="s">
        <v>51</v>
      </c>
      <c r="S360" s="35" t="n">
        <f>683.07</f>
        <v>683.07</v>
      </c>
      <c r="T360" s="32" t="n">
        <f>11601930</f>
        <v>1.160193E7</v>
      </c>
      <c r="U360" s="32" t="n">
        <f>11303340</f>
        <v>1.130334E7</v>
      </c>
      <c r="V360" s="32" t="n">
        <f>7920812509</f>
        <v>7.920812509E9</v>
      </c>
      <c r="W360" s="32" t="n">
        <f>7716765272</f>
        <v>7.716765272E9</v>
      </c>
      <c r="X360" s="36" t="n">
        <f>20</f>
        <v>20.0</v>
      </c>
    </row>
    <row r="361">
      <c r="A361" s="27" t="s">
        <v>42</v>
      </c>
      <c r="B361" s="27" t="s">
        <v>1128</v>
      </c>
      <c r="C361" s="27" t="s">
        <v>1129</v>
      </c>
      <c r="D361" s="27" t="s">
        <v>1130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10.0</v>
      </c>
      <c r="K361" s="33" t="n">
        <f>654.5</f>
        <v>654.5</v>
      </c>
      <c r="L361" s="34" t="s">
        <v>48</v>
      </c>
      <c r="M361" s="33" t="n">
        <f>659.5</f>
        <v>659.5</v>
      </c>
      <c r="N361" s="34" t="s">
        <v>302</v>
      </c>
      <c r="O361" s="33" t="n">
        <f>649.9</f>
        <v>649.9</v>
      </c>
      <c r="P361" s="34" t="s">
        <v>49</v>
      </c>
      <c r="Q361" s="33" t="n">
        <f>653</f>
        <v>653.0</v>
      </c>
      <c r="R361" s="34" t="s">
        <v>51</v>
      </c>
      <c r="S361" s="35" t="n">
        <f>653.39</f>
        <v>653.39</v>
      </c>
      <c r="T361" s="32" t="n">
        <f>1162680</f>
        <v>1162680.0</v>
      </c>
      <c r="U361" s="32" t="n">
        <f>1147000</f>
        <v>1147000.0</v>
      </c>
      <c r="V361" s="32" t="n">
        <f>757431909</f>
        <v>7.57431909E8</v>
      </c>
      <c r="W361" s="32" t="n">
        <f>747190417</f>
        <v>7.47190417E8</v>
      </c>
      <c r="X361" s="36" t="n">
        <f>20</f>
        <v>20.0</v>
      </c>
    </row>
    <row r="362">
      <c r="A362" s="27" t="s">
        <v>42</v>
      </c>
      <c r="B362" s="27" t="s">
        <v>1131</v>
      </c>
      <c r="C362" s="27" t="s">
        <v>1132</v>
      </c>
      <c r="D362" s="27" t="s">
        <v>1133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1216</f>
        <v>1216.0</v>
      </c>
      <c r="L362" s="34" t="s">
        <v>48</v>
      </c>
      <c r="M362" s="33" t="n">
        <f>1263</f>
        <v>1263.0</v>
      </c>
      <c r="N362" s="34" t="s">
        <v>302</v>
      </c>
      <c r="O362" s="33" t="n">
        <f>1205</f>
        <v>1205.0</v>
      </c>
      <c r="P362" s="34" t="s">
        <v>50</v>
      </c>
      <c r="Q362" s="33" t="n">
        <f>1250</f>
        <v>1250.0</v>
      </c>
      <c r="R362" s="34" t="s">
        <v>51</v>
      </c>
      <c r="S362" s="35" t="n">
        <f>1237.25</f>
        <v>1237.25</v>
      </c>
      <c r="T362" s="32" t="n">
        <f>9940</f>
        <v>9940.0</v>
      </c>
      <c r="U362" s="32" t="str">
        <f>"－"</f>
        <v>－</v>
      </c>
      <c r="V362" s="32" t="n">
        <f>12293204</f>
        <v>1.2293204E7</v>
      </c>
      <c r="W362" s="32" t="str">
        <f>"－"</f>
        <v>－</v>
      </c>
      <c r="X362" s="36" t="n">
        <f>20</f>
        <v>20.0</v>
      </c>
    </row>
    <row r="363">
      <c r="A363" s="27" t="s">
        <v>42</v>
      </c>
      <c r="B363" s="27" t="s">
        <v>1134</v>
      </c>
      <c r="C363" s="27" t="s">
        <v>1135</v>
      </c>
      <c r="D363" s="27" t="s">
        <v>1136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2721.5</f>
        <v>2721.5</v>
      </c>
      <c r="L363" s="34" t="s">
        <v>48</v>
      </c>
      <c r="M363" s="33" t="n">
        <f>2803</f>
        <v>2803.0</v>
      </c>
      <c r="N363" s="34" t="s">
        <v>49</v>
      </c>
      <c r="O363" s="33" t="n">
        <f>2633</f>
        <v>2633.0</v>
      </c>
      <c r="P363" s="34" t="s">
        <v>50</v>
      </c>
      <c r="Q363" s="33" t="n">
        <f>2737</f>
        <v>2737.0</v>
      </c>
      <c r="R363" s="34" t="s">
        <v>51</v>
      </c>
      <c r="S363" s="35" t="n">
        <f>2731.1</f>
        <v>2731.1</v>
      </c>
      <c r="T363" s="32" t="n">
        <f>215963</f>
        <v>215963.0</v>
      </c>
      <c r="U363" s="32" t="n">
        <f>45600</f>
        <v>45600.0</v>
      </c>
      <c r="V363" s="32" t="n">
        <f>591495502</f>
        <v>5.91495502E8</v>
      </c>
      <c r="W363" s="32" t="n">
        <f>125906326</f>
        <v>1.25906326E8</v>
      </c>
      <c r="X363" s="36" t="n">
        <f>20</f>
        <v>20.0</v>
      </c>
    </row>
    <row r="364">
      <c r="A364" s="27" t="s">
        <v>42</v>
      </c>
      <c r="B364" s="27" t="s">
        <v>1137</v>
      </c>
      <c r="C364" s="27" t="s">
        <v>1138</v>
      </c>
      <c r="D364" s="27" t="s">
        <v>1139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1.0</v>
      </c>
      <c r="K364" s="33" t="n">
        <f>3145</f>
        <v>3145.0</v>
      </c>
      <c r="L364" s="34" t="s">
        <v>48</v>
      </c>
      <c r="M364" s="33" t="n">
        <f>3197</f>
        <v>3197.0</v>
      </c>
      <c r="N364" s="34" t="s">
        <v>282</v>
      </c>
      <c r="O364" s="33" t="n">
        <f>3060</f>
        <v>3060.0</v>
      </c>
      <c r="P364" s="34" t="s">
        <v>50</v>
      </c>
      <c r="Q364" s="33" t="n">
        <f>3131</f>
        <v>3131.0</v>
      </c>
      <c r="R364" s="34" t="s">
        <v>51</v>
      </c>
      <c r="S364" s="35" t="n">
        <f>3147.9</f>
        <v>3147.9</v>
      </c>
      <c r="T364" s="32" t="n">
        <f>1437209</f>
        <v>1437209.0</v>
      </c>
      <c r="U364" s="32" t="n">
        <f>985220</f>
        <v>985220.0</v>
      </c>
      <c r="V364" s="32" t="n">
        <f>4527250534</f>
        <v>4.527250534E9</v>
      </c>
      <c r="W364" s="32" t="n">
        <f>3104496564</f>
        <v>3.104496564E9</v>
      </c>
      <c r="X364" s="36" t="n">
        <f>20</f>
        <v>20.0</v>
      </c>
    </row>
    <row r="365">
      <c r="A365" s="27" t="s">
        <v>42</v>
      </c>
      <c r="B365" s="27" t="s">
        <v>1140</v>
      </c>
      <c r="C365" s="27" t="s">
        <v>1141</v>
      </c>
      <c r="D365" s="27" t="s">
        <v>1142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5603</f>
        <v>5603.0</v>
      </c>
      <c r="L365" s="34" t="s">
        <v>48</v>
      </c>
      <c r="M365" s="33" t="n">
        <f>5670</f>
        <v>5670.0</v>
      </c>
      <c r="N365" s="34" t="s">
        <v>116</v>
      </c>
      <c r="O365" s="33" t="n">
        <f>5472</f>
        <v>5472.0</v>
      </c>
      <c r="P365" s="34" t="s">
        <v>156</v>
      </c>
      <c r="Q365" s="33" t="n">
        <f>5488</f>
        <v>5488.0</v>
      </c>
      <c r="R365" s="34" t="s">
        <v>51</v>
      </c>
      <c r="S365" s="35" t="n">
        <f>5533.63</f>
        <v>5533.63</v>
      </c>
      <c r="T365" s="32" t="n">
        <f>68400</f>
        <v>68400.0</v>
      </c>
      <c r="U365" s="32" t="str">
        <f>"－"</f>
        <v>－</v>
      </c>
      <c r="V365" s="32" t="n">
        <f>374704506</f>
        <v>3.74704506E8</v>
      </c>
      <c r="W365" s="32" t="str">
        <f>"－"</f>
        <v>－</v>
      </c>
      <c r="X365" s="36" t="n">
        <f>19</f>
        <v>19.0</v>
      </c>
    </row>
    <row r="366">
      <c r="A366" s="27" t="s">
        <v>42</v>
      </c>
      <c r="B366" s="27" t="s">
        <v>1143</v>
      </c>
      <c r="C366" s="27" t="s">
        <v>1144</v>
      </c>
      <c r="D366" s="27" t="s">
        <v>1145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4096</f>
        <v>4096.0</v>
      </c>
      <c r="L366" s="34" t="s">
        <v>48</v>
      </c>
      <c r="M366" s="33" t="n">
        <f>4197</f>
        <v>4197.0</v>
      </c>
      <c r="N366" s="34" t="s">
        <v>156</v>
      </c>
      <c r="O366" s="33" t="n">
        <f>4025</f>
        <v>4025.0</v>
      </c>
      <c r="P366" s="34" t="s">
        <v>156</v>
      </c>
      <c r="Q366" s="33" t="n">
        <f>4041</f>
        <v>4041.0</v>
      </c>
      <c r="R366" s="34" t="s">
        <v>51</v>
      </c>
      <c r="S366" s="35" t="n">
        <f>4058.2</f>
        <v>4058.2</v>
      </c>
      <c r="T366" s="32" t="n">
        <f>431467</f>
        <v>431467.0</v>
      </c>
      <c r="U366" s="32" t="n">
        <f>243610</f>
        <v>243610.0</v>
      </c>
      <c r="V366" s="32" t="n">
        <f>1745969838</f>
        <v>1.745969838E9</v>
      </c>
      <c r="W366" s="32" t="n">
        <f>989665250</f>
        <v>9.8966525E8</v>
      </c>
      <c r="X366" s="36" t="n">
        <f>10</f>
        <v>10.0</v>
      </c>
    </row>
    <row r="367">
      <c r="A367" s="27" t="s">
        <v>42</v>
      </c>
      <c r="B367" s="27" t="s">
        <v>1146</v>
      </c>
      <c r="C367" s="27" t="s">
        <v>1147</v>
      </c>
      <c r="D367" s="27" t="s">
        <v>1148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10.0</v>
      </c>
      <c r="K367" s="33" t="n">
        <f>1895.5</f>
        <v>1895.5</v>
      </c>
      <c r="L367" s="34" t="s">
        <v>50</v>
      </c>
      <c r="M367" s="33" t="n">
        <f>1921</f>
        <v>1921.0</v>
      </c>
      <c r="N367" s="34" t="s">
        <v>282</v>
      </c>
      <c r="O367" s="33" t="n">
        <f>1895.5</f>
        <v>1895.5</v>
      </c>
      <c r="P367" s="34" t="s">
        <v>50</v>
      </c>
      <c r="Q367" s="33" t="n">
        <f>1907</f>
        <v>1907.0</v>
      </c>
      <c r="R367" s="34" t="s">
        <v>156</v>
      </c>
      <c r="S367" s="35" t="n">
        <f>1907.17</f>
        <v>1907.17</v>
      </c>
      <c r="T367" s="32" t="n">
        <f>650</f>
        <v>650.0</v>
      </c>
      <c r="U367" s="32" t="str">
        <f>"－"</f>
        <v>－</v>
      </c>
      <c r="V367" s="32" t="n">
        <f>1236365</f>
        <v>1236365.0</v>
      </c>
      <c r="W367" s="32" t="str">
        <f>"－"</f>
        <v>－</v>
      </c>
      <c r="X367" s="36" t="n">
        <f>6</f>
        <v>6.0</v>
      </c>
    </row>
    <row r="368">
      <c r="A368" s="27" t="s">
        <v>42</v>
      </c>
      <c r="B368" s="27" t="s">
        <v>1149</v>
      </c>
      <c r="C368" s="27" t="s">
        <v>1150</v>
      </c>
      <c r="D368" s="27" t="s">
        <v>1151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1190</f>
        <v>1190.0</v>
      </c>
      <c r="L368" s="34" t="s">
        <v>48</v>
      </c>
      <c r="M368" s="33" t="n">
        <f>1199</f>
        <v>1199.0</v>
      </c>
      <c r="N368" s="34" t="s">
        <v>81</v>
      </c>
      <c r="O368" s="33" t="n">
        <f>1146</f>
        <v>1146.0</v>
      </c>
      <c r="P368" s="34" t="s">
        <v>50</v>
      </c>
      <c r="Q368" s="33" t="n">
        <f>1193</f>
        <v>1193.0</v>
      </c>
      <c r="R368" s="34" t="s">
        <v>51</v>
      </c>
      <c r="S368" s="35" t="n">
        <f>1172.95</f>
        <v>1172.95</v>
      </c>
      <c r="T368" s="32" t="n">
        <f>41697</f>
        <v>41697.0</v>
      </c>
      <c r="U368" s="32" t="str">
        <f>"－"</f>
        <v>－</v>
      </c>
      <c r="V368" s="32" t="n">
        <f>48456888</f>
        <v>4.8456888E7</v>
      </c>
      <c r="W368" s="32" t="str">
        <f>"－"</f>
        <v>－</v>
      </c>
      <c r="X368" s="36" t="n">
        <f>20</f>
        <v>20.0</v>
      </c>
    </row>
    <row r="369">
      <c r="A369" s="27" t="s">
        <v>42</v>
      </c>
      <c r="B369" s="27" t="s">
        <v>1152</v>
      </c>
      <c r="C369" s="27" t="s">
        <v>1153</v>
      </c>
      <c r="D369" s="27" t="s">
        <v>1154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1114</f>
        <v>1114.0</v>
      </c>
      <c r="L369" s="34" t="s">
        <v>48</v>
      </c>
      <c r="M369" s="33" t="n">
        <f>1116</f>
        <v>1116.0</v>
      </c>
      <c r="N369" s="34" t="s">
        <v>48</v>
      </c>
      <c r="O369" s="33" t="n">
        <f>1073</f>
        <v>1073.0</v>
      </c>
      <c r="P369" s="34" t="s">
        <v>292</v>
      </c>
      <c r="Q369" s="33" t="n">
        <f>1087</f>
        <v>1087.0</v>
      </c>
      <c r="R369" s="34" t="s">
        <v>51</v>
      </c>
      <c r="S369" s="35" t="n">
        <f>1087</f>
        <v>1087.0</v>
      </c>
      <c r="T369" s="32" t="n">
        <f>6625089</f>
        <v>6625089.0</v>
      </c>
      <c r="U369" s="32" t="n">
        <f>189</f>
        <v>189.0</v>
      </c>
      <c r="V369" s="32" t="n">
        <f>7198190749</f>
        <v>7.198190749E9</v>
      </c>
      <c r="W369" s="32" t="n">
        <f>204534</f>
        <v>204534.0</v>
      </c>
      <c r="X369" s="36" t="n">
        <f>20</f>
        <v>20.0</v>
      </c>
    </row>
    <row r="370">
      <c r="A370" s="27" t="s">
        <v>42</v>
      </c>
      <c r="B370" s="27" t="s">
        <v>1155</v>
      </c>
      <c r="C370" s="27" t="s">
        <v>1156</v>
      </c>
      <c r="D370" s="27" t="s">
        <v>1157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968</f>
        <v>968.0</v>
      </c>
      <c r="L370" s="34" t="s">
        <v>48</v>
      </c>
      <c r="M370" s="33" t="n">
        <f>969</f>
        <v>969.0</v>
      </c>
      <c r="N370" s="34" t="s">
        <v>48</v>
      </c>
      <c r="O370" s="33" t="n">
        <f>941</f>
        <v>941.0</v>
      </c>
      <c r="P370" s="34" t="s">
        <v>90</v>
      </c>
      <c r="Q370" s="33" t="n">
        <f>961</f>
        <v>961.0</v>
      </c>
      <c r="R370" s="34" t="s">
        <v>51</v>
      </c>
      <c r="S370" s="35" t="n">
        <f>957.25</f>
        <v>957.25</v>
      </c>
      <c r="T370" s="32" t="n">
        <f>614744</f>
        <v>614744.0</v>
      </c>
      <c r="U370" s="32" t="n">
        <f>176</f>
        <v>176.0</v>
      </c>
      <c r="V370" s="32" t="n">
        <f>588026717</f>
        <v>5.88026717E8</v>
      </c>
      <c r="W370" s="32" t="n">
        <f>168278</f>
        <v>168278.0</v>
      </c>
      <c r="X370" s="36" t="n">
        <f>20</f>
        <v>20.0</v>
      </c>
    </row>
    <row r="371">
      <c r="A371" s="27" t="s">
        <v>42</v>
      </c>
      <c r="B371" s="27" t="s">
        <v>1158</v>
      </c>
      <c r="C371" s="27" t="s">
        <v>1159</v>
      </c>
      <c r="D371" s="27" t="s">
        <v>1160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1149</f>
        <v>1149.0</v>
      </c>
      <c r="L371" s="34" t="s">
        <v>48</v>
      </c>
      <c r="M371" s="33" t="n">
        <f>1230</f>
        <v>1230.0</v>
      </c>
      <c r="N371" s="34" t="s">
        <v>81</v>
      </c>
      <c r="O371" s="33" t="n">
        <f>1097</f>
        <v>1097.0</v>
      </c>
      <c r="P371" s="34" t="s">
        <v>82</v>
      </c>
      <c r="Q371" s="33" t="n">
        <f>1193</f>
        <v>1193.0</v>
      </c>
      <c r="R371" s="34" t="s">
        <v>51</v>
      </c>
      <c r="S371" s="35" t="n">
        <f>1171.85</f>
        <v>1171.85</v>
      </c>
      <c r="T371" s="32" t="n">
        <f>16331</f>
        <v>16331.0</v>
      </c>
      <c r="U371" s="32" t="str">
        <f>"－"</f>
        <v>－</v>
      </c>
      <c r="V371" s="32" t="n">
        <f>18923682</f>
        <v>1.8923682E7</v>
      </c>
      <c r="W371" s="32" t="str">
        <f>"－"</f>
        <v>－</v>
      </c>
      <c r="X371" s="36" t="n">
        <f>20</f>
        <v>20.0</v>
      </c>
    </row>
    <row r="372">
      <c r="A372" s="27" t="s">
        <v>42</v>
      </c>
      <c r="B372" s="27" t="s">
        <v>1161</v>
      </c>
      <c r="C372" s="27" t="s">
        <v>1162</v>
      </c>
      <c r="D372" s="27" t="s">
        <v>1163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1016</f>
        <v>1016.0</v>
      </c>
      <c r="L372" s="34" t="s">
        <v>48</v>
      </c>
      <c r="M372" s="33" t="n">
        <f>1020</f>
        <v>1020.0</v>
      </c>
      <c r="N372" s="34" t="s">
        <v>48</v>
      </c>
      <c r="O372" s="33" t="n">
        <f>987</f>
        <v>987.0</v>
      </c>
      <c r="P372" s="34" t="s">
        <v>50</v>
      </c>
      <c r="Q372" s="33" t="n">
        <f>997</f>
        <v>997.0</v>
      </c>
      <c r="R372" s="34" t="s">
        <v>51</v>
      </c>
      <c r="S372" s="35" t="n">
        <f>995.4</f>
        <v>995.4</v>
      </c>
      <c r="T372" s="32" t="n">
        <f>1638187</f>
        <v>1638187.0</v>
      </c>
      <c r="U372" s="32" t="n">
        <f>156</f>
        <v>156.0</v>
      </c>
      <c r="V372" s="32" t="n">
        <f>1629686097</f>
        <v>1.629686097E9</v>
      </c>
      <c r="W372" s="32" t="n">
        <f>157326</f>
        <v>157326.0</v>
      </c>
      <c r="X372" s="36" t="n">
        <f>20</f>
        <v>20.0</v>
      </c>
    </row>
    <row r="373">
      <c r="A373" s="27" t="s">
        <v>42</v>
      </c>
      <c r="B373" s="27" t="s">
        <v>1164</v>
      </c>
      <c r="C373" s="27" t="s">
        <v>1165</v>
      </c>
      <c r="D373" s="27" t="s">
        <v>1166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51880</f>
        <v>51880.0</v>
      </c>
      <c r="L373" s="34" t="s">
        <v>48</v>
      </c>
      <c r="M373" s="33" t="n">
        <f>54940</f>
        <v>54940.0</v>
      </c>
      <c r="N373" s="34" t="s">
        <v>221</v>
      </c>
      <c r="O373" s="33" t="n">
        <f>50250</f>
        <v>50250.0</v>
      </c>
      <c r="P373" s="34" t="s">
        <v>50</v>
      </c>
      <c r="Q373" s="33" t="n">
        <f>53340</f>
        <v>53340.0</v>
      </c>
      <c r="R373" s="34" t="s">
        <v>51</v>
      </c>
      <c r="S373" s="35" t="n">
        <f>52943.5</f>
        <v>52943.5</v>
      </c>
      <c r="T373" s="32" t="n">
        <f>303349</f>
        <v>303349.0</v>
      </c>
      <c r="U373" s="32" t="n">
        <f>1698</f>
        <v>1698.0</v>
      </c>
      <c r="V373" s="32" t="n">
        <f>16032947380</f>
        <v>1.603294738E10</v>
      </c>
      <c r="W373" s="32" t="n">
        <f>89517960</f>
        <v>8.951796E7</v>
      </c>
      <c r="X373" s="36" t="n">
        <f>20</f>
        <v>20.0</v>
      </c>
    </row>
    <row r="374">
      <c r="A374" s="27" t="s">
        <v>42</v>
      </c>
      <c r="B374" s="27" t="s">
        <v>1167</v>
      </c>
      <c r="C374" s="27" t="s">
        <v>1168</v>
      </c>
      <c r="D374" s="27" t="s">
        <v>1169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12805</f>
        <v>12805.0</v>
      </c>
      <c r="L374" s="34" t="s">
        <v>48</v>
      </c>
      <c r="M374" s="33" t="n">
        <f>13210</f>
        <v>13210.0</v>
      </c>
      <c r="N374" s="34" t="s">
        <v>50</v>
      </c>
      <c r="O374" s="33" t="n">
        <f>12030</f>
        <v>12030.0</v>
      </c>
      <c r="P374" s="34" t="s">
        <v>221</v>
      </c>
      <c r="Q374" s="33" t="n">
        <f>12325</f>
        <v>12325.0</v>
      </c>
      <c r="R374" s="34" t="s">
        <v>51</v>
      </c>
      <c r="S374" s="35" t="n">
        <f>12509.5</f>
        <v>12509.5</v>
      </c>
      <c r="T374" s="32" t="n">
        <f>571490</f>
        <v>571490.0</v>
      </c>
      <c r="U374" s="32" t="n">
        <f>6674</f>
        <v>6674.0</v>
      </c>
      <c r="V374" s="32" t="n">
        <f>7204441763</f>
        <v>7.204441763E9</v>
      </c>
      <c r="W374" s="32" t="n">
        <f>84791193</f>
        <v>8.4791193E7</v>
      </c>
      <c r="X374" s="36" t="n">
        <f>20</f>
        <v>20.0</v>
      </c>
    </row>
    <row r="375">
      <c r="A375" s="27" t="s">
        <v>42</v>
      </c>
      <c r="B375" s="27" t="s">
        <v>1170</v>
      </c>
      <c r="C375" s="27" t="s">
        <v>1171</v>
      </c>
      <c r="D375" s="27" t="s">
        <v>1172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2126</f>
        <v>2126.0</v>
      </c>
      <c r="L375" s="34" t="s">
        <v>50</v>
      </c>
      <c r="M375" s="33" t="n">
        <f>2336</f>
        <v>2336.0</v>
      </c>
      <c r="N375" s="34" t="s">
        <v>64</v>
      </c>
      <c r="O375" s="33" t="n">
        <f>2126</f>
        <v>2126.0</v>
      </c>
      <c r="P375" s="34" t="s">
        <v>50</v>
      </c>
      <c r="Q375" s="33" t="n">
        <f>2264</f>
        <v>2264.0</v>
      </c>
      <c r="R375" s="34" t="s">
        <v>51</v>
      </c>
      <c r="S375" s="35" t="n">
        <f>2253.17</f>
        <v>2253.17</v>
      </c>
      <c r="T375" s="32" t="n">
        <f>653</f>
        <v>653.0</v>
      </c>
      <c r="U375" s="32" t="str">
        <f>"－"</f>
        <v>－</v>
      </c>
      <c r="V375" s="32" t="n">
        <f>1480520</f>
        <v>1480520.0</v>
      </c>
      <c r="W375" s="32" t="str">
        <f>"－"</f>
        <v>－</v>
      </c>
      <c r="X375" s="36" t="n">
        <f>18</f>
        <v>18.0</v>
      </c>
    </row>
    <row r="376">
      <c r="A376" s="27" t="s">
        <v>42</v>
      </c>
      <c r="B376" s="27" t="s">
        <v>1173</v>
      </c>
      <c r="C376" s="27" t="s">
        <v>1174</v>
      </c>
      <c r="D376" s="27" t="s">
        <v>1175</v>
      </c>
      <c r="E376" s="28" t="s">
        <v>46</v>
      </c>
      <c r="F376" s="29" t="s">
        <v>46</v>
      </c>
      <c r="G376" s="30" t="s">
        <v>46</v>
      </c>
      <c r="H376" s="31"/>
      <c r="I376" s="31" t="s">
        <v>47</v>
      </c>
      <c r="J376" s="32" t="n">
        <v>1.0</v>
      </c>
      <c r="K376" s="33" t="n">
        <f>9315</f>
        <v>9315.0</v>
      </c>
      <c r="L376" s="34" t="s">
        <v>48</v>
      </c>
      <c r="M376" s="33" t="n">
        <f>9385</f>
        <v>9385.0</v>
      </c>
      <c r="N376" s="34" t="s">
        <v>156</v>
      </c>
      <c r="O376" s="33" t="n">
        <f>8900</f>
        <v>8900.0</v>
      </c>
      <c r="P376" s="34" t="s">
        <v>81</v>
      </c>
      <c r="Q376" s="33" t="n">
        <f>9050</f>
        <v>9050.0</v>
      </c>
      <c r="R376" s="34" t="s">
        <v>51</v>
      </c>
      <c r="S376" s="35" t="n">
        <f>9145.9</f>
        <v>9145.9</v>
      </c>
      <c r="T376" s="32" t="n">
        <f>7841</f>
        <v>7841.0</v>
      </c>
      <c r="U376" s="32" t="str">
        <f>"－"</f>
        <v>－</v>
      </c>
      <c r="V376" s="32" t="n">
        <f>71182472</f>
        <v>7.1182472E7</v>
      </c>
      <c r="W376" s="32" t="str">
        <f>"－"</f>
        <v>－</v>
      </c>
      <c r="X376" s="36" t="n">
        <f>20</f>
        <v>20.0</v>
      </c>
    </row>
    <row r="377">
      <c r="A377" s="27" t="s">
        <v>42</v>
      </c>
      <c r="B377" s="27" t="s">
        <v>1176</v>
      </c>
      <c r="C377" s="27" t="s">
        <v>1177</v>
      </c>
      <c r="D377" s="27" t="s">
        <v>1178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124100</f>
        <v>124100.0</v>
      </c>
      <c r="L377" s="34" t="s">
        <v>48</v>
      </c>
      <c r="M377" s="33" t="n">
        <f>127800</f>
        <v>127800.0</v>
      </c>
      <c r="N377" s="34" t="s">
        <v>292</v>
      </c>
      <c r="O377" s="33" t="n">
        <f>124000</f>
        <v>124000.0</v>
      </c>
      <c r="P377" s="34" t="s">
        <v>48</v>
      </c>
      <c r="Q377" s="33" t="n">
        <f>127000</f>
        <v>127000.0</v>
      </c>
      <c r="R377" s="34" t="s">
        <v>51</v>
      </c>
      <c r="S377" s="35" t="n">
        <f>126170</f>
        <v>126170.0</v>
      </c>
      <c r="T377" s="32" t="n">
        <f>16438</f>
        <v>16438.0</v>
      </c>
      <c r="U377" s="32" t="n">
        <f>2063</f>
        <v>2063.0</v>
      </c>
      <c r="V377" s="32" t="n">
        <f>2069829850</f>
        <v>2.06982985E9</v>
      </c>
      <c r="W377" s="32" t="n">
        <f>260156550</f>
        <v>2.6015655E8</v>
      </c>
      <c r="X377" s="36" t="n">
        <f>20</f>
        <v>20.0</v>
      </c>
    </row>
    <row r="378">
      <c r="A378" s="27" t="s">
        <v>42</v>
      </c>
      <c r="B378" s="27" t="s">
        <v>1179</v>
      </c>
      <c r="C378" s="27" t="s">
        <v>1180</v>
      </c>
      <c r="D378" s="27" t="s">
        <v>1181</v>
      </c>
      <c r="E378" s="28" t="s">
        <v>46</v>
      </c>
      <c r="F378" s="29" t="s">
        <v>46</v>
      </c>
      <c r="G378" s="30" t="s">
        <v>46</v>
      </c>
      <c r="H378" s="31"/>
      <c r="I378" s="31" t="s">
        <v>414</v>
      </c>
      <c r="J378" s="32" t="n">
        <v>1.0</v>
      </c>
      <c r="K378" s="33" t="n">
        <f>95700</f>
        <v>95700.0</v>
      </c>
      <c r="L378" s="34" t="s">
        <v>48</v>
      </c>
      <c r="M378" s="33" t="n">
        <f>98600</f>
        <v>98600.0</v>
      </c>
      <c r="N378" s="34" t="s">
        <v>77</v>
      </c>
      <c r="O378" s="33" t="n">
        <f>95300</f>
        <v>95300.0</v>
      </c>
      <c r="P378" s="34" t="s">
        <v>100</v>
      </c>
      <c r="Q378" s="33" t="n">
        <f>95800</f>
        <v>95800.0</v>
      </c>
      <c r="R378" s="34" t="s">
        <v>51</v>
      </c>
      <c r="S378" s="35" t="n">
        <f>96545</f>
        <v>96545.0</v>
      </c>
      <c r="T378" s="32" t="n">
        <f>25477</f>
        <v>25477.0</v>
      </c>
      <c r="U378" s="32" t="n">
        <f>4727</f>
        <v>4727.0</v>
      </c>
      <c r="V378" s="32" t="n">
        <f>2458526304</f>
        <v>2.458526304E9</v>
      </c>
      <c r="W378" s="32" t="n">
        <f>455561204</f>
        <v>4.55561204E8</v>
      </c>
      <c r="X378" s="36" t="n">
        <f>20</f>
        <v>20.0</v>
      </c>
    </row>
    <row r="379">
      <c r="A379" s="27" t="s">
        <v>42</v>
      </c>
      <c r="B379" s="27" t="s">
        <v>1182</v>
      </c>
      <c r="C379" s="27" t="s">
        <v>1183</v>
      </c>
      <c r="D379" s="27" t="s">
        <v>1184</v>
      </c>
      <c r="E379" s="28" t="s">
        <v>46</v>
      </c>
      <c r="F379" s="29" t="s">
        <v>46</v>
      </c>
      <c r="G379" s="30" t="s">
        <v>46</v>
      </c>
      <c r="H379" s="31"/>
      <c r="I379" s="31" t="s">
        <v>47</v>
      </c>
      <c r="J379" s="32" t="n">
        <v>1.0</v>
      </c>
      <c r="K379" s="33" t="n">
        <f>117500</f>
        <v>117500.0</v>
      </c>
      <c r="L379" s="34" t="s">
        <v>48</v>
      </c>
      <c r="M379" s="33" t="n">
        <f>121800</f>
        <v>121800.0</v>
      </c>
      <c r="N379" s="34" t="s">
        <v>81</v>
      </c>
      <c r="O379" s="33" t="n">
        <f>116500</f>
        <v>116500.0</v>
      </c>
      <c r="P379" s="34" t="s">
        <v>50</v>
      </c>
      <c r="Q379" s="33" t="n">
        <f>120300</f>
        <v>120300.0</v>
      </c>
      <c r="R379" s="34" t="s">
        <v>51</v>
      </c>
      <c r="S379" s="35" t="n">
        <f>118775</f>
        <v>118775.0</v>
      </c>
      <c r="T379" s="32" t="n">
        <f>36895</f>
        <v>36895.0</v>
      </c>
      <c r="U379" s="32" t="n">
        <f>7617</f>
        <v>7617.0</v>
      </c>
      <c r="V379" s="32" t="n">
        <f>4381886931</f>
        <v>4.381886931E9</v>
      </c>
      <c r="W379" s="32" t="n">
        <f>905175231</f>
        <v>9.05175231E8</v>
      </c>
      <c r="X379" s="36" t="n">
        <f>20</f>
        <v>20.0</v>
      </c>
    </row>
    <row r="380">
      <c r="A380" s="27" t="s">
        <v>42</v>
      </c>
      <c r="B380" s="27" t="s">
        <v>1185</v>
      </c>
      <c r="C380" s="27" t="s">
        <v>1186</v>
      </c>
      <c r="D380" s="27" t="s">
        <v>1187</v>
      </c>
      <c r="E380" s="28" t="s">
        <v>46</v>
      </c>
      <c r="F380" s="29" t="s">
        <v>46</v>
      </c>
      <c r="G380" s="30" t="s">
        <v>46</v>
      </c>
      <c r="H380" s="31"/>
      <c r="I380" s="31" t="s">
        <v>414</v>
      </c>
      <c r="J380" s="32" t="n">
        <v>1.0</v>
      </c>
      <c r="K380" s="33" t="n">
        <f>109900</f>
        <v>109900.0</v>
      </c>
      <c r="L380" s="34" t="s">
        <v>48</v>
      </c>
      <c r="M380" s="33" t="n">
        <f>113400</f>
        <v>113400.0</v>
      </c>
      <c r="N380" s="34" t="s">
        <v>86</v>
      </c>
      <c r="O380" s="33" t="n">
        <f>109500</f>
        <v>109500.0</v>
      </c>
      <c r="P380" s="34" t="s">
        <v>48</v>
      </c>
      <c r="Q380" s="33" t="n">
        <f>113100</f>
        <v>113100.0</v>
      </c>
      <c r="R380" s="34" t="s">
        <v>51</v>
      </c>
      <c r="S380" s="35" t="n">
        <f>111700</f>
        <v>111700.0</v>
      </c>
      <c r="T380" s="32" t="n">
        <f>26092</f>
        <v>26092.0</v>
      </c>
      <c r="U380" s="32" t="n">
        <f>2401</f>
        <v>2401.0</v>
      </c>
      <c r="V380" s="32" t="n">
        <f>2911690630</f>
        <v>2.91169063E9</v>
      </c>
      <c r="W380" s="32" t="n">
        <f>268466230</f>
        <v>2.6846623E8</v>
      </c>
      <c r="X380" s="36" t="n">
        <f>20</f>
        <v>20.0</v>
      </c>
    </row>
    <row r="381">
      <c r="A381" s="27" t="s">
        <v>42</v>
      </c>
      <c r="B381" s="27" t="s">
        <v>1188</v>
      </c>
      <c r="C381" s="27" t="s">
        <v>1189</v>
      </c>
      <c r="D381" s="27" t="s">
        <v>1190</v>
      </c>
      <c r="E381" s="28" t="s">
        <v>46</v>
      </c>
      <c r="F381" s="29" t="s">
        <v>46</v>
      </c>
      <c r="G381" s="30" t="s">
        <v>46</v>
      </c>
      <c r="H381" s="31"/>
      <c r="I381" s="31" t="s">
        <v>47</v>
      </c>
      <c r="J381" s="32" t="n">
        <v>10.0</v>
      </c>
      <c r="K381" s="33" t="n">
        <f>211.1</f>
        <v>211.1</v>
      </c>
      <c r="L381" s="34" t="s">
        <v>48</v>
      </c>
      <c r="M381" s="33" t="n">
        <f>212.3</f>
        <v>212.3</v>
      </c>
      <c r="N381" s="34" t="s">
        <v>282</v>
      </c>
      <c r="O381" s="33" t="n">
        <f>202.1</f>
        <v>202.1</v>
      </c>
      <c r="P381" s="34" t="s">
        <v>50</v>
      </c>
      <c r="Q381" s="33" t="n">
        <f>211</f>
        <v>211.0</v>
      </c>
      <c r="R381" s="34" t="s">
        <v>51</v>
      </c>
      <c r="S381" s="35" t="n">
        <f>208.98</f>
        <v>208.98</v>
      </c>
      <c r="T381" s="32" t="n">
        <f>2877750</f>
        <v>2877750.0</v>
      </c>
      <c r="U381" s="32" t="n">
        <f>100</f>
        <v>100.0</v>
      </c>
      <c r="V381" s="32" t="n">
        <f>598795018</f>
        <v>5.98795018E8</v>
      </c>
      <c r="W381" s="32" t="n">
        <f>20390</f>
        <v>20390.0</v>
      </c>
      <c r="X381" s="36" t="n">
        <f>20</f>
        <v>20.0</v>
      </c>
    </row>
    <row r="382">
      <c r="A382" s="27" t="s">
        <v>42</v>
      </c>
      <c r="B382" s="27" t="s">
        <v>1191</v>
      </c>
      <c r="C382" s="27" t="s">
        <v>1192</v>
      </c>
      <c r="D382" s="27" t="s">
        <v>1193</v>
      </c>
      <c r="E382" s="28" t="s">
        <v>46</v>
      </c>
      <c r="F382" s="29" t="s">
        <v>46</v>
      </c>
      <c r="G382" s="30" t="s">
        <v>46</v>
      </c>
      <c r="H382" s="31"/>
      <c r="I382" s="31" t="s">
        <v>47</v>
      </c>
      <c r="J382" s="32" t="n">
        <v>10.0</v>
      </c>
      <c r="K382" s="33" t="n">
        <f>235.8</f>
        <v>235.8</v>
      </c>
      <c r="L382" s="34" t="s">
        <v>48</v>
      </c>
      <c r="M382" s="33" t="n">
        <f>238.1</f>
        <v>238.1</v>
      </c>
      <c r="N382" s="34" t="s">
        <v>51</v>
      </c>
      <c r="O382" s="33" t="n">
        <f>232.1</f>
        <v>232.1</v>
      </c>
      <c r="P382" s="34" t="s">
        <v>86</v>
      </c>
      <c r="Q382" s="33" t="n">
        <f>238.1</f>
        <v>238.1</v>
      </c>
      <c r="R382" s="34" t="s">
        <v>51</v>
      </c>
      <c r="S382" s="35" t="n">
        <f>235.47</f>
        <v>235.47</v>
      </c>
      <c r="T382" s="32" t="n">
        <f>44111580</f>
        <v>4.411158E7</v>
      </c>
      <c r="U382" s="32" t="n">
        <f>13457000</f>
        <v>1.3457E7</v>
      </c>
      <c r="V382" s="32" t="n">
        <f>10387783295</f>
        <v>1.0387783295E10</v>
      </c>
      <c r="W382" s="32" t="n">
        <f>3170474294</f>
        <v>3.170474294E9</v>
      </c>
      <c r="X382" s="36" t="n">
        <f>20</f>
        <v>20.0</v>
      </c>
    </row>
    <row r="383">
      <c r="A383" s="27" t="s">
        <v>42</v>
      </c>
      <c r="B383" s="27" t="s">
        <v>1194</v>
      </c>
      <c r="C383" s="27" t="s">
        <v>1195</v>
      </c>
      <c r="D383" s="27" t="s">
        <v>1196</v>
      </c>
      <c r="E383" s="28" t="s">
        <v>46</v>
      </c>
      <c r="F383" s="29" t="s">
        <v>46</v>
      </c>
      <c r="G383" s="30" t="s">
        <v>46</v>
      </c>
      <c r="H383" s="31"/>
      <c r="I383" s="31" t="s">
        <v>47</v>
      </c>
      <c r="J383" s="32" t="n">
        <v>1.0</v>
      </c>
      <c r="K383" s="33" t="n">
        <f>1065</f>
        <v>1065.0</v>
      </c>
      <c r="L383" s="34" t="s">
        <v>48</v>
      </c>
      <c r="M383" s="33" t="n">
        <f>1203</f>
        <v>1203.0</v>
      </c>
      <c r="N383" s="34" t="s">
        <v>49</v>
      </c>
      <c r="O383" s="33" t="n">
        <f>1028</f>
        <v>1028.0</v>
      </c>
      <c r="P383" s="34" t="s">
        <v>50</v>
      </c>
      <c r="Q383" s="33" t="n">
        <f>1156</f>
        <v>1156.0</v>
      </c>
      <c r="R383" s="34" t="s">
        <v>51</v>
      </c>
      <c r="S383" s="35" t="n">
        <f>1131.1</f>
        <v>1131.1</v>
      </c>
      <c r="T383" s="32" t="n">
        <f>1121639</f>
        <v>1121639.0</v>
      </c>
      <c r="U383" s="32" t="n">
        <f>426455</f>
        <v>426455.0</v>
      </c>
      <c r="V383" s="32" t="n">
        <f>1242925235</f>
        <v>1.242925235E9</v>
      </c>
      <c r="W383" s="32" t="n">
        <f>467664419</f>
        <v>4.67664419E8</v>
      </c>
      <c r="X383" s="36" t="n">
        <f>20</f>
        <v>20.0</v>
      </c>
    </row>
    <row r="384">
      <c r="A384" s="27" t="s">
        <v>42</v>
      </c>
      <c r="B384" s="27" t="s">
        <v>1197</v>
      </c>
      <c r="C384" s="27" t="s">
        <v>1198</v>
      </c>
      <c r="D384" s="27" t="s">
        <v>1199</v>
      </c>
      <c r="E384" s="28" t="s">
        <v>46</v>
      </c>
      <c r="F384" s="29" t="s">
        <v>46</v>
      </c>
      <c r="G384" s="30" t="s">
        <v>46</v>
      </c>
      <c r="H384" s="31"/>
      <c r="I384" s="31" t="s">
        <v>47</v>
      </c>
      <c r="J384" s="32" t="n">
        <v>1.0</v>
      </c>
      <c r="K384" s="33" t="n">
        <f>2120</f>
        <v>2120.0</v>
      </c>
      <c r="L384" s="34" t="s">
        <v>48</v>
      </c>
      <c r="M384" s="33" t="n">
        <f>2127</f>
        <v>2127.0</v>
      </c>
      <c r="N384" s="34" t="s">
        <v>221</v>
      </c>
      <c r="O384" s="33" t="n">
        <f>2014</f>
        <v>2014.0</v>
      </c>
      <c r="P384" s="34" t="s">
        <v>50</v>
      </c>
      <c r="Q384" s="33" t="n">
        <f>2117</f>
        <v>2117.0</v>
      </c>
      <c r="R384" s="34" t="s">
        <v>51</v>
      </c>
      <c r="S384" s="35" t="n">
        <f>2087.05</f>
        <v>2087.05</v>
      </c>
      <c r="T384" s="32" t="n">
        <f>9001020</f>
        <v>9001020.0</v>
      </c>
      <c r="U384" s="32" t="n">
        <f>67673</f>
        <v>67673.0</v>
      </c>
      <c r="V384" s="32" t="n">
        <f>18745290991</f>
        <v>1.8745290991E10</v>
      </c>
      <c r="W384" s="32" t="n">
        <f>138831396</f>
        <v>1.38831396E8</v>
      </c>
      <c r="X384" s="36" t="n">
        <f>20</f>
        <v>20.0</v>
      </c>
    </row>
    <row r="385">
      <c r="A385" s="27" t="s">
        <v>42</v>
      </c>
      <c r="B385" s="27" t="s">
        <v>1200</v>
      </c>
      <c r="C385" s="27" t="s">
        <v>1201</v>
      </c>
      <c r="D385" s="27" t="s">
        <v>1202</v>
      </c>
      <c r="E385" s="28" t="s">
        <v>46</v>
      </c>
      <c r="F385" s="29" t="s">
        <v>46</v>
      </c>
      <c r="G385" s="30" t="s">
        <v>46</v>
      </c>
      <c r="H385" s="31"/>
      <c r="I385" s="31" t="s">
        <v>47</v>
      </c>
      <c r="J385" s="32" t="n">
        <v>10.0</v>
      </c>
      <c r="K385" s="33" t="n">
        <f>835</f>
        <v>835.0</v>
      </c>
      <c r="L385" s="34" t="s">
        <v>48</v>
      </c>
      <c r="M385" s="33" t="n">
        <f>873</f>
        <v>873.0</v>
      </c>
      <c r="N385" s="34" t="s">
        <v>50</v>
      </c>
      <c r="O385" s="33" t="n">
        <f>672.6</f>
        <v>672.6</v>
      </c>
      <c r="P385" s="34" t="s">
        <v>51</v>
      </c>
      <c r="Q385" s="33" t="n">
        <f>673.9</f>
        <v>673.9</v>
      </c>
      <c r="R385" s="34" t="s">
        <v>51</v>
      </c>
      <c r="S385" s="35" t="n">
        <f>752.36</f>
        <v>752.36</v>
      </c>
      <c r="T385" s="32" t="n">
        <f>36758980</f>
        <v>3.675898E7</v>
      </c>
      <c r="U385" s="32" t="n">
        <f>6100</f>
        <v>6100.0</v>
      </c>
      <c r="V385" s="32" t="n">
        <f>27660005250</f>
        <v>2.766000525E10</v>
      </c>
      <c r="W385" s="32" t="n">
        <f>4427155</f>
        <v>4427155.0</v>
      </c>
      <c r="X385" s="36" t="n">
        <f>20</f>
        <v>20.0</v>
      </c>
    </row>
    <row r="386">
      <c r="A386" s="27" t="s">
        <v>42</v>
      </c>
      <c r="B386" s="27" t="s">
        <v>1203</v>
      </c>
      <c r="C386" s="27" t="s">
        <v>1204</v>
      </c>
      <c r="D386" s="27" t="s">
        <v>1205</v>
      </c>
      <c r="E386" s="28" t="s">
        <v>46</v>
      </c>
      <c r="F386" s="29" t="s">
        <v>46</v>
      </c>
      <c r="G386" s="30" t="s">
        <v>46</v>
      </c>
      <c r="H386" s="31"/>
      <c r="I386" s="31" t="s">
        <v>47</v>
      </c>
      <c r="J386" s="32" t="n">
        <v>1.0</v>
      </c>
      <c r="K386" s="33" t="n">
        <f>118300</f>
        <v>118300.0</v>
      </c>
      <c r="L386" s="34" t="s">
        <v>48</v>
      </c>
      <c r="M386" s="33" t="n">
        <f>125400</f>
        <v>125400.0</v>
      </c>
      <c r="N386" s="34" t="s">
        <v>86</v>
      </c>
      <c r="O386" s="33" t="n">
        <f>117800</f>
        <v>117800.0</v>
      </c>
      <c r="P386" s="34" t="s">
        <v>48</v>
      </c>
      <c r="Q386" s="33" t="n">
        <f>123400</f>
        <v>123400.0</v>
      </c>
      <c r="R386" s="34" t="s">
        <v>51</v>
      </c>
      <c r="S386" s="35" t="n">
        <f>122190</f>
        <v>122190.0</v>
      </c>
      <c r="T386" s="32" t="n">
        <f>159607</f>
        <v>159607.0</v>
      </c>
      <c r="U386" s="32" t="n">
        <f>50271</f>
        <v>50271.0</v>
      </c>
      <c r="V386" s="32" t="n">
        <f>19530674277</f>
        <v>1.9530674277E10</v>
      </c>
      <c r="W386" s="32" t="n">
        <f>6158424277</f>
        <v>6.158424277E9</v>
      </c>
      <c r="X386" s="36" t="n">
        <f>20</f>
        <v>20.0</v>
      </c>
    </row>
    <row r="387">
      <c r="A387" s="27" t="s">
        <v>42</v>
      </c>
      <c r="B387" s="27" t="s">
        <v>1206</v>
      </c>
      <c r="C387" s="27" t="s">
        <v>1207</v>
      </c>
      <c r="D387" s="27" t="s">
        <v>1208</v>
      </c>
      <c r="E387" s="28" t="s">
        <v>46</v>
      </c>
      <c r="F387" s="29" t="s">
        <v>46</v>
      </c>
      <c r="G387" s="30" t="s">
        <v>46</v>
      </c>
      <c r="H387" s="31"/>
      <c r="I387" s="31" t="s">
        <v>47</v>
      </c>
      <c r="J387" s="32" t="n">
        <v>1.0</v>
      </c>
      <c r="K387" s="33" t="n">
        <f>136200</f>
        <v>136200.0</v>
      </c>
      <c r="L387" s="34" t="s">
        <v>48</v>
      </c>
      <c r="M387" s="33" t="n">
        <f>145000</f>
        <v>145000.0</v>
      </c>
      <c r="N387" s="34" t="s">
        <v>77</v>
      </c>
      <c r="O387" s="33" t="n">
        <f>135600</f>
        <v>135600.0</v>
      </c>
      <c r="P387" s="34" t="s">
        <v>48</v>
      </c>
      <c r="Q387" s="33" t="n">
        <f>142300</f>
        <v>142300.0</v>
      </c>
      <c r="R387" s="34" t="s">
        <v>51</v>
      </c>
      <c r="S387" s="35" t="n">
        <f>140480</f>
        <v>140480.0</v>
      </c>
      <c r="T387" s="32" t="n">
        <f>98254</f>
        <v>98254.0</v>
      </c>
      <c r="U387" s="32" t="n">
        <f>25500</f>
        <v>25500.0</v>
      </c>
      <c r="V387" s="32" t="n">
        <f>13844198740</f>
        <v>1.384419874E10</v>
      </c>
      <c r="W387" s="32" t="n">
        <f>3596349240</f>
        <v>3.59634924E9</v>
      </c>
      <c r="X387" s="36" t="n">
        <f>20</f>
        <v>20.0</v>
      </c>
    </row>
    <row r="388">
      <c r="A388" s="27" t="s">
        <v>42</v>
      </c>
      <c r="B388" s="27" t="s">
        <v>1209</v>
      </c>
      <c r="C388" s="27" t="s">
        <v>1210</v>
      </c>
      <c r="D388" s="27" t="s">
        <v>1211</v>
      </c>
      <c r="E388" s="28" t="s">
        <v>46</v>
      </c>
      <c r="F388" s="29" t="s">
        <v>46</v>
      </c>
      <c r="G388" s="30" t="s">
        <v>46</v>
      </c>
      <c r="H388" s="31"/>
      <c r="I388" s="31" t="s">
        <v>47</v>
      </c>
      <c r="J388" s="32" t="n">
        <v>1.0</v>
      </c>
      <c r="K388" s="33" t="n">
        <f>124000</f>
        <v>124000.0</v>
      </c>
      <c r="L388" s="34" t="s">
        <v>48</v>
      </c>
      <c r="M388" s="33" t="n">
        <f>130300</f>
        <v>130300.0</v>
      </c>
      <c r="N388" s="34" t="s">
        <v>77</v>
      </c>
      <c r="O388" s="33" t="n">
        <f>123700</f>
        <v>123700.0</v>
      </c>
      <c r="P388" s="34" t="s">
        <v>48</v>
      </c>
      <c r="Q388" s="33" t="n">
        <f>129600</f>
        <v>129600.0</v>
      </c>
      <c r="R388" s="34" t="s">
        <v>51</v>
      </c>
      <c r="S388" s="35" t="n">
        <f>127950</f>
        <v>127950.0</v>
      </c>
      <c r="T388" s="32" t="n">
        <f>199376</f>
        <v>199376.0</v>
      </c>
      <c r="U388" s="32" t="n">
        <f>37804</f>
        <v>37804.0</v>
      </c>
      <c r="V388" s="32" t="n">
        <f>25445596744</f>
        <v>2.5445596744E10</v>
      </c>
      <c r="W388" s="32" t="n">
        <f>4835200144</f>
        <v>4.835200144E9</v>
      </c>
      <c r="X388" s="36" t="n">
        <f>20</f>
        <v>20.0</v>
      </c>
    </row>
    <row r="389">
      <c r="A389" s="27" t="s">
        <v>42</v>
      </c>
      <c r="B389" s="27" t="s">
        <v>1212</v>
      </c>
      <c r="C389" s="27" t="s">
        <v>1213</v>
      </c>
      <c r="D389" s="27" t="s">
        <v>1214</v>
      </c>
      <c r="E389" s="28" t="s">
        <v>46</v>
      </c>
      <c r="F389" s="29" t="s">
        <v>46</v>
      </c>
      <c r="G389" s="30" t="s">
        <v>46</v>
      </c>
      <c r="H389" s="31"/>
      <c r="I389" s="31" t="s">
        <v>47</v>
      </c>
      <c r="J389" s="32" t="n">
        <v>1.0</v>
      </c>
      <c r="K389" s="33" t="n">
        <f>155700</f>
        <v>155700.0</v>
      </c>
      <c r="L389" s="34" t="s">
        <v>48</v>
      </c>
      <c r="M389" s="33" t="n">
        <f>164900</f>
        <v>164900.0</v>
      </c>
      <c r="N389" s="34" t="s">
        <v>81</v>
      </c>
      <c r="O389" s="33" t="n">
        <f>155500</f>
        <v>155500.0</v>
      </c>
      <c r="P389" s="34" t="s">
        <v>48</v>
      </c>
      <c r="Q389" s="33" t="n">
        <f>163000</f>
        <v>163000.0</v>
      </c>
      <c r="R389" s="34" t="s">
        <v>51</v>
      </c>
      <c r="S389" s="35" t="n">
        <f>161475</f>
        <v>161475.0</v>
      </c>
      <c r="T389" s="32" t="n">
        <f>165347</f>
        <v>165347.0</v>
      </c>
      <c r="U389" s="32" t="n">
        <f>46460</f>
        <v>46460.0</v>
      </c>
      <c r="V389" s="32" t="n">
        <f>26698353053</f>
        <v>2.6698353053E10</v>
      </c>
      <c r="W389" s="32" t="n">
        <f>7522208053</f>
        <v>7.522208053E9</v>
      </c>
      <c r="X389" s="36" t="n">
        <f>20</f>
        <v>20.0</v>
      </c>
    </row>
    <row r="390">
      <c r="A390" s="27" t="s">
        <v>42</v>
      </c>
      <c r="B390" s="27" t="s">
        <v>1215</v>
      </c>
      <c r="C390" s="27" t="s">
        <v>1216</v>
      </c>
      <c r="D390" s="27" t="s">
        <v>1217</v>
      </c>
      <c r="E390" s="28" t="s">
        <v>46</v>
      </c>
      <c r="F390" s="29" t="s">
        <v>46</v>
      </c>
      <c r="G390" s="30" t="s">
        <v>46</v>
      </c>
      <c r="H390" s="31"/>
      <c r="I390" s="31" t="s">
        <v>47</v>
      </c>
      <c r="J390" s="32" t="n">
        <v>1.0</v>
      </c>
      <c r="K390" s="33" t="n">
        <f>129000</f>
        <v>129000.0</v>
      </c>
      <c r="L390" s="34" t="s">
        <v>48</v>
      </c>
      <c r="M390" s="33" t="n">
        <f>136700</f>
        <v>136700.0</v>
      </c>
      <c r="N390" s="34" t="s">
        <v>77</v>
      </c>
      <c r="O390" s="33" t="n">
        <f>127200</f>
        <v>127200.0</v>
      </c>
      <c r="P390" s="34" t="s">
        <v>48</v>
      </c>
      <c r="Q390" s="33" t="n">
        <f>135400</f>
        <v>135400.0</v>
      </c>
      <c r="R390" s="34" t="s">
        <v>51</v>
      </c>
      <c r="S390" s="35" t="n">
        <f>133090</f>
        <v>133090.0</v>
      </c>
      <c r="T390" s="32" t="n">
        <f>146842</f>
        <v>146842.0</v>
      </c>
      <c r="U390" s="32" t="n">
        <f>39726</f>
        <v>39726.0</v>
      </c>
      <c r="V390" s="32" t="n">
        <f>19532087336</f>
        <v>1.9532087336E10</v>
      </c>
      <c r="W390" s="32" t="n">
        <f>5296175236</f>
        <v>5.296175236E9</v>
      </c>
      <c r="X390" s="36" t="n">
        <f>20</f>
        <v>20.0</v>
      </c>
    </row>
    <row r="391">
      <c r="A391" s="27" t="s">
        <v>42</v>
      </c>
      <c r="B391" s="27" t="s">
        <v>1218</v>
      </c>
      <c r="C391" s="27" t="s">
        <v>1219</v>
      </c>
      <c r="D391" s="27" t="s">
        <v>1220</v>
      </c>
      <c r="E391" s="28" t="s">
        <v>46</v>
      </c>
      <c r="F391" s="29" t="s">
        <v>46</v>
      </c>
      <c r="G391" s="30" t="s">
        <v>46</v>
      </c>
      <c r="H391" s="31"/>
      <c r="I391" s="31" t="s">
        <v>47</v>
      </c>
      <c r="J391" s="32" t="n">
        <v>1.0</v>
      </c>
      <c r="K391" s="33" t="n">
        <f>132300</f>
        <v>132300.0</v>
      </c>
      <c r="L391" s="34" t="s">
        <v>48</v>
      </c>
      <c r="M391" s="33" t="n">
        <f>140000</f>
        <v>140000.0</v>
      </c>
      <c r="N391" s="34" t="s">
        <v>86</v>
      </c>
      <c r="O391" s="33" t="n">
        <f>132100</f>
        <v>132100.0</v>
      </c>
      <c r="P391" s="34" t="s">
        <v>48</v>
      </c>
      <c r="Q391" s="33" t="n">
        <f>137400</f>
        <v>137400.0</v>
      </c>
      <c r="R391" s="34" t="s">
        <v>51</v>
      </c>
      <c r="S391" s="35" t="n">
        <f>137010</f>
        <v>137010.0</v>
      </c>
      <c r="T391" s="32" t="n">
        <f>316331</f>
        <v>316331.0</v>
      </c>
      <c r="U391" s="32" t="n">
        <f>75020</f>
        <v>75020.0</v>
      </c>
      <c r="V391" s="32" t="n">
        <f>43347576152</f>
        <v>4.3347576152E10</v>
      </c>
      <c r="W391" s="32" t="n">
        <f>10282114752</f>
        <v>1.0282114752E10</v>
      </c>
      <c r="X391" s="36" t="n">
        <f>20</f>
        <v>20.0</v>
      </c>
    </row>
    <row r="392">
      <c r="A392" s="27" t="s">
        <v>42</v>
      </c>
      <c r="B392" s="27" t="s">
        <v>1221</v>
      </c>
      <c r="C392" s="27" t="s">
        <v>1222</v>
      </c>
      <c r="D392" s="27" t="s">
        <v>1223</v>
      </c>
      <c r="E392" s="28" t="s">
        <v>46</v>
      </c>
      <c r="F392" s="29" t="s">
        <v>46</v>
      </c>
      <c r="G392" s="30" t="s">
        <v>46</v>
      </c>
      <c r="H392" s="31"/>
      <c r="I392" s="31" t="s">
        <v>47</v>
      </c>
      <c r="J392" s="32" t="n">
        <v>1.0</v>
      </c>
      <c r="K392" s="33" t="n">
        <f>296300</f>
        <v>296300.0</v>
      </c>
      <c r="L392" s="34" t="s">
        <v>48</v>
      </c>
      <c r="M392" s="33" t="n">
        <f>315000</f>
        <v>315000.0</v>
      </c>
      <c r="N392" s="34" t="s">
        <v>51</v>
      </c>
      <c r="O392" s="33" t="n">
        <f>294000</f>
        <v>294000.0</v>
      </c>
      <c r="P392" s="34" t="s">
        <v>48</v>
      </c>
      <c r="Q392" s="33" t="n">
        <f>312000</f>
        <v>312000.0</v>
      </c>
      <c r="R392" s="34" t="s">
        <v>51</v>
      </c>
      <c r="S392" s="35" t="n">
        <f>305990</f>
        <v>305990.0</v>
      </c>
      <c r="T392" s="32" t="n">
        <f>43383</f>
        <v>43383.0</v>
      </c>
      <c r="U392" s="32" t="n">
        <f>13532</f>
        <v>13532.0</v>
      </c>
      <c r="V392" s="32" t="n">
        <f>13252096004</f>
        <v>1.3252096004E10</v>
      </c>
      <c r="W392" s="32" t="n">
        <f>4136842404</f>
        <v>4.136842404E9</v>
      </c>
      <c r="X392" s="36" t="n">
        <f>20</f>
        <v>20.0</v>
      </c>
    </row>
    <row r="393">
      <c r="A393" s="27" t="s">
        <v>42</v>
      </c>
      <c r="B393" s="27" t="s">
        <v>1224</v>
      </c>
      <c r="C393" s="27" t="s">
        <v>1225</v>
      </c>
      <c r="D393" s="27" t="s">
        <v>1226</v>
      </c>
      <c r="E393" s="28" t="s">
        <v>46</v>
      </c>
      <c r="F393" s="29" t="s">
        <v>46</v>
      </c>
      <c r="G393" s="30" t="s">
        <v>46</v>
      </c>
      <c r="H393" s="31"/>
      <c r="I393" s="31" t="s">
        <v>47</v>
      </c>
      <c r="J393" s="32" t="n">
        <v>1.0</v>
      </c>
      <c r="K393" s="33" t="n">
        <f>81700</f>
        <v>81700.0</v>
      </c>
      <c r="L393" s="34" t="s">
        <v>48</v>
      </c>
      <c r="M393" s="33" t="n">
        <f>85900</f>
        <v>85900.0</v>
      </c>
      <c r="N393" s="34" t="s">
        <v>51</v>
      </c>
      <c r="O393" s="33" t="n">
        <f>80900</f>
        <v>80900.0</v>
      </c>
      <c r="P393" s="34" t="s">
        <v>50</v>
      </c>
      <c r="Q393" s="33" t="n">
        <f>85500</f>
        <v>85500.0</v>
      </c>
      <c r="R393" s="34" t="s">
        <v>51</v>
      </c>
      <c r="S393" s="35" t="n">
        <f>83650</f>
        <v>83650.0</v>
      </c>
      <c r="T393" s="32" t="n">
        <f>432097</f>
        <v>432097.0</v>
      </c>
      <c r="U393" s="32" t="n">
        <f>137310</f>
        <v>137310.0</v>
      </c>
      <c r="V393" s="32" t="n">
        <f>36247066104</f>
        <v>3.6247066104E10</v>
      </c>
      <c r="W393" s="32" t="n">
        <f>11531928204</f>
        <v>1.1531928204E10</v>
      </c>
      <c r="X393" s="36" t="n">
        <f>20</f>
        <v>20.0</v>
      </c>
    </row>
    <row r="394">
      <c r="A394" s="27" t="s">
        <v>42</v>
      </c>
      <c r="B394" s="27" t="s">
        <v>1227</v>
      </c>
      <c r="C394" s="27" t="s">
        <v>1228</v>
      </c>
      <c r="D394" s="27" t="s">
        <v>1229</v>
      </c>
      <c r="E394" s="28" t="s">
        <v>46</v>
      </c>
      <c r="F394" s="29" t="s">
        <v>46</v>
      </c>
      <c r="G394" s="30" t="s">
        <v>46</v>
      </c>
      <c r="H394" s="31"/>
      <c r="I394" s="31" t="s">
        <v>47</v>
      </c>
      <c r="J394" s="32" t="n">
        <v>1.0</v>
      </c>
      <c r="K394" s="33" t="n">
        <f>263600</f>
        <v>263600.0</v>
      </c>
      <c r="L394" s="34" t="s">
        <v>48</v>
      </c>
      <c r="M394" s="33" t="n">
        <f>280300</f>
        <v>280300.0</v>
      </c>
      <c r="N394" s="34" t="s">
        <v>51</v>
      </c>
      <c r="O394" s="33" t="n">
        <f>261000</f>
        <v>261000.0</v>
      </c>
      <c r="P394" s="34" t="s">
        <v>50</v>
      </c>
      <c r="Q394" s="33" t="n">
        <f>278900</f>
        <v>278900.0</v>
      </c>
      <c r="R394" s="34" t="s">
        <v>51</v>
      </c>
      <c r="S394" s="35" t="n">
        <f>268465</f>
        <v>268465.0</v>
      </c>
      <c r="T394" s="32" t="n">
        <f>47493</f>
        <v>47493.0</v>
      </c>
      <c r="U394" s="32" t="n">
        <f>9383</f>
        <v>9383.0</v>
      </c>
      <c r="V394" s="32" t="n">
        <f>12792084349</f>
        <v>1.2792084349E10</v>
      </c>
      <c r="W394" s="32" t="n">
        <f>2546522049</f>
        <v>2.546522049E9</v>
      </c>
      <c r="X394" s="36" t="n">
        <f>20</f>
        <v>20.0</v>
      </c>
    </row>
    <row r="395">
      <c r="A395" s="27" t="s">
        <v>42</v>
      </c>
      <c r="B395" s="27" t="s">
        <v>1230</v>
      </c>
      <c r="C395" s="27" t="s">
        <v>1231</v>
      </c>
      <c r="D395" s="27" t="s">
        <v>1232</v>
      </c>
      <c r="E395" s="28" t="s">
        <v>46</v>
      </c>
      <c r="F395" s="29" t="s">
        <v>46</v>
      </c>
      <c r="G395" s="30" t="s">
        <v>46</v>
      </c>
      <c r="H395" s="31"/>
      <c r="I395" s="31" t="s">
        <v>47</v>
      </c>
      <c r="J395" s="32" t="n">
        <v>1.0</v>
      </c>
      <c r="K395" s="33" t="n">
        <f>1132</f>
        <v>1132.0</v>
      </c>
      <c r="L395" s="34" t="s">
        <v>48</v>
      </c>
      <c r="M395" s="33" t="n">
        <f>1169</f>
        <v>1169.0</v>
      </c>
      <c r="N395" s="34" t="s">
        <v>51</v>
      </c>
      <c r="O395" s="33" t="n">
        <f>1090</f>
        <v>1090.0</v>
      </c>
      <c r="P395" s="34" t="s">
        <v>454</v>
      </c>
      <c r="Q395" s="33" t="n">
        <f>1139</f>
        <v>1139.0</v>
      </c>
      <c r="R395" s="34" t="s">
        <v>51</v>
      </c>
      <c r="S395" s="35" t="n">
        <f>1131.15</f>
        <v>1131.15</v>
      </c>
      <c r="T395" s="32" t="n">
        <f>1155130</f>
        <v>1155130.0</v>
      </c>
      <c r="U395" s="32" t="n">
        <f>1000000</f>
        <v>1000000.0</v>
      </c>
      <c r="V395" s="32" t="n">
        <f>1297019706</f>
        <v>1.297019706E9</v>
      </c>
      <c r="W395" s="32" t="n">
        <f>1122050000</f>
        <v>1.12205E9</v>
      </c>
      <c r="X395" s="36" t="n">
        <f>20</f>
        <v>20.0</v>
      </c>
    </row>
    <row r="396">
      <c r="A396" s="27" t="s">
        <v>42</v>
      </c>
      <c r="B396" s="27" t="s">
        <v>1233</v>
      </c>
      <c r="C396" s="27" t="s">
        <v>1234</v>
      </c>
      <c r="D396" s="27" t="s">
        <v>1235</v>
      </c>
      <c r="E396" s="28" t="s">
        <v>1236</v>
      </c>
      <c r="F396" s="29" t="s">
        <v>1237</v>
      </c>
      <c r="G396" s="30" t="s">
        <v>46</v>
      </c>
      <c r="H396" s="31"/>
      <c r="I396" s="31" t="s">
        <v>47</v>
      </c>
      <c r="J396" s="32" t="n">
        <v>1.0</v>
      </c>
      <c r="K396" s="33" t="n">
        <f>268000</f>
        <v>268000.0</v>
      </c>
      <c r="L396" s="34" t="s">
        <v>48</v>
      </c>
      <c r="M396" s="33" t="n">
        <f>277600</f>
        <v>277600.0</v>
      </c>
      <c r="N396" s="34" t="s">
        <v>86</v>
      </c>
      <c r="O396" s="33" t="n">
        <f>266800</f>
        <v>266800.0</v>
      </c>
      <c r="P396" s="34" t="s">
        <v>48</v>
      </c>
      <c r="Q396" s="33" t="n">
        <f>277100</f>
        <v>277100.0</v>
      </c>
      <c r="R396" s="34" t="s">
        <v>77</v>
      </c>
      <c r="S396" s="35" t="n">
        <f>273150</f>
        <v>273150.0</v>
      </c>
      <c r="T396" s="32" t="n">
        <f>26871</f>
        <v>26871.0</v>
      </c>
      <c r="U396" s="32" t="n">
        <f>1605</f>
        <v>1605.0</v>
      </c>
      <c r="V396" s="32" t="n">
        <f>7345891238</f>
        <v>7.345891238E9</v>
      </c>
      <c r="W396" s="32" t="n">
        <f>438573538</f>
        <v>4.38573538E8</v>
      </c>
      <c r="X396" s="36" t="n">
        <f>18</f>
        <v>18.0</v>
      </c>
    </row>
    <row r="397">
      <c r="A397" s="27" t="s">
        <v>42</v>
      </c>
      <c r="B397" s="27" t="s">
        <v>1233</v>
      </c>
      <c r="C397" s="27" t="s">
        <v>1234</v>
      </c>
      <c r="D397" s="27" t="s">
        <v>1235</v>
      </c>
      <c r="E397" s="28" t="s">
        <v>1236</v>
      </c>
      <c r="F397" s="29" t="s">
        <v>1237</v>
      </c>
      <c r="G397" s="30" t="s">
        <v>46</v>
      </c>
      <c r="H397" s="31"/>
      <c r="I397" s="31" t="s">
        <v>47</v>
      </c>
      <c r="J397" s="32" t="n">
        <v>1.0</v>
      </c>
      <c r="K397" s="33" t="n">
        <f>90000</f>
        <v>90000.0</v>
      </c>
      <c r="L397" s="34" t="s">
        <v>81</v>
      </c>
      <c r="M397" s="33" t="n">
        <f>91000</f>
        <v>91000.0</v>
      </c>
      <c r="N397" s="34" t="s">
        <v>81</v>
      </c>
      <c r="O397" s="33" t="n">
        <f>89600</f>
        <v>89600.0</v>
      </c>
      <c r="P397" s="34" t="s">
        <v>81</v>
      </c>
      <c r="Q397" s="33" t="n">
        <f>90000</f>
        <v>90000.0</v>
      </c>
      <c r="R397" s="34" t="s">
        <v>51</v>
      </c>
      <c r="S397" s="35" t="n">
        <f>89900</f>
        <v>89900.0</v>
      </c>
      <c r="T397" s="32" t="n">
        <f>15389</f>
        <v>15389.0</v>
      </c>
      <c r="U397" s="32" t="n">
        <f>2281</f>
        <v>2281.0</v>
      </c>
      <c r="V397" s="32" t="n">
        <f>1389070232</f>
        <v>1.389070232E9</v>
      </c>
      <c r="W397" s="32" t="n">
        <f>205565832</f>
        <v>2.05565832E8</v>
      </c>
      <c r="X397" s="36" t="n">
        <f>2</f>
        <v>2.0</v>
      </c>
    </row>
    <row r="398">
      <c r="A398" s="27" t="s">
        <v>42</v>
      </c>
      <c r="B398" s="27" t="s">
        <v>1238</v>
      </c>
      <c r="C398" s="27" t="s">
        <v>1239</v>
      </c>
      <c r="D398" s="27" t="s">
        <v>1240</v>
      </c>
      <c r="E398" s="28" t="s">
        <v>46</v>
      </c>
      <c r="F398" s="29" t="s">
        <v>46</v>
      </c>
      <c r="G398" s="30" t="s">
        <v>46</v>
      </c>
      <c r="H398" s="31"/>
      <c r="I398" s="31" t="s">
        <v>47</v>
      </c>
      <c r="J398" s="32" t="n">
        <v>1.0</v>
      </c>
      <c r="K398" s="33" t="n">
        <f>128800</f>
        <v>128800.0</v>
      </c>
      <c r="L398" s="34" t="s">
        <v>48</v>
      </c>
      <c r="M398" s="33" t="n">
        <f>132600</f>
        <v>132600.0</v>
      </c>
      <c r="N398" s="34" t="s">
        <v>86</v>
      </c>
      <c r="O398" s="33" t="n">
        <f>127500</f>
        <v>127500.0</v>
      </c>
      <c r="P398" s="34" t="s">
        <v>50</v>
      </c>
      <c r="Q398" s="33" t="n">
        <f>131500</f>
        <v>131500.0</v>
      </c>
      <c r="R398" s="34" t="s">
        <v>51</v>
      </c>
      <c r="S398" s="35" t="n">
        <f>130460</f>
        <v>130460.0</v>
      </c>
      <c r="T398" s="32" t="n">
        <f>96838</f>
        <v>96838.0</v>
      </c>
      <c r="U398" s="32" t="n">
        <f>17335</f>
        <v>17335.0</v>
      </c>
      <c r="V398" s="32" t="n">
        <f>12637497857</f>
        <v>1.2637497857E10</v>
      </c>
      <c r="W398" s="32" t="n">
        <f>2263696357</f>
        <v>2.263696357E9</v>
      </c>
      <c r="X398" s="36" t="n">
        <f>20</f>
        <v>20.0</v>
      </c>
    </row>
    <row r="399">
      <c r="A399" s="27" t="s">
        <v>42</v>
      </c>
      <c r="B399" s="27" t="s">
        <v>1241</v>
      </c>
      <c r="C399" s="27" t="s">
        <v>1242</v>
      </c>
      <c r="D399" s="27" t="s">
        <v>1243</v>
      </c>
      <c r="E399" s="28" t="s">
        <v>46</v>
      </c>
      <c r="F399" s="29" t="s">
        <v>46</v>
      </c>
      <c r="G399" s="30" t="s">
        <v>46</v>
      </c>
      <c r="H399" s="31"/>
      <c r="I399" s="31" t="s">
        <v>47</v>
      </c>
      <c r="J399" s="32" t="n">
        <v>1.0</v>
      </c>
      <c r="K399" s="33" t="n">
        <f>165000</f>
        <v>165000.0</v>
      </c>
      <c r="L399" s="34" t="s">
        <v>48</v>
      </c>
      <c r="M399" s="33" t="n">
        <f>170300</f>
        <v>170300.0</v>
      </c>
      <c r="N399" s="34" t="s">
        <v>77</v>
      </c>
      <c r="O399" s="33" t="n">
        <f>164200</f>
        <v>164200.0</v>
      </c>
      <c r="P399" s="34" t="s">
        <v>48</v>
      </c>
      <c r="Q399" s="33" t="n">
        <f>165900</f>
        <v>165900.0</v>
      </c>
      <c r="R399" s="34" t="s">
        <v>51</v>
      </c>
      <c r="S399" s="35" t="n">
        <f>166780</f>
        <v>166780.0</v>
      </c>
      <c r="T399" s="32" t="n">
        <f>87242</f>
        <v>87242.0</v>
      </c>
      <c r="U399" s="32" t="n">
        <f>21092</f>
        <v>21092.0</v>
      </c>
      <c r="V399" s="32" t="n">
        <f>14556823758</f>
        <v>1.4556823758E10</v>
      </c>
      <c r="W399" s="32" t="n">
        <f>3514500358</f>
        <v>3.514500358E9</v>
      </c>
      <c r="X399" s="36" t="n">
        <f>20</f>
        <v>20.0</v>
      </c>
    </row>
    <row r="400">
      <c r="A400" s="27" t="s">
        <v>42</v>
      </c>
      <c r="B400" s="27" t="s">
        <v>1244</v>
      </c>
      <c r="C400" s="27" t="s">
        <v>1245</v>
      </c>
      <c r="D400" s="27" t="s">
        <v>1246</v>
      </c>
      <c r="E400" s="28" t="s">
        <v>46</v>
      </c>
      <c r="F400" s="29" t="s">
        <v>46</v>
      </c>
      <c r="G400" s="30" t="s">
        <v>46</v>
      </c>
      <c r="H400" s="31"/>
      <c r="I400" s="31" t="s">
        <v>47</v>
      </c>
      <c r="J400" s="32" t="n">
        <v>1.0</v>
      </c>
      <c r="K400" s="33" t="n">
        <f>94800</f>
        <v>94800.0</v>
      </c>
      <c r="L400" s="34" t="s">
        <v>48</v>
      </c>
      <c r="M400" s="33" t="n">
        <f>99300</f>
        <v>99300.0</v>
      </c>
      <c r="N400" s="34" t="s">
        <v>51</v>
      </c>
      <c r="O400" s="33" t="n">
        <f>94100</f>
        <v>94100.0</v>
      </c>
      <c r="P400" s="34" t="s">
        <v>48</v>
      </c>
      <c r="Q400" s="33" t="n">
        <f>98300</f>
        <v>98300.0</v>
      </c>
      <c r="R400" s="34" t="s">
        <v>51</v>
      </c>
      <c r="S400" s="35" t="n">
        <f>96660</f>
        <v>96660.0</v>
      </c>
      <c r="T400" s="32" t="n">
        <f>117019</f>
        <v>117019.0</v>
      </c>
      <c r="U400" s="32" t="n">
        <f>23225</f>
        <v>23225.0</v>
      </c>
      <c r="V400" s="32" t="n">
        <f>11338849376</f>
        <v>1.1338849376E10</v>
      </c>
      <c r="W400" s="32" t="n">
        <f>2255187476</f>
        <v>2.255187476E9</v>
      </c>
      <c r="X400" s="36" t="n">
        <f>20</f>
        <v>20.0</v>
      </c>
    </row>
    <row r="401">
      <c r="A401" s="27" t="s">
        <v>42</v>
      </c>
      <c r="B401" s="27" t="s">
        <v>1247</v>
      </c>
      <c r="C401" s="27" t="s">
        <v>1248</v>
      </c>
      <c r="D401" s="27" t="s">
        <v>1249</v>
      </c>
      <c r="E401" s="28" t="s">
        <v>46</v>
      </c>
      <c r="F401" s="29" t="s">
        <v>46</v>
      </c>
      <c r="G401" s="30" t="s">
        <v>46</v>
      </c>
      <c r="H401" s="31"/>
      <c r="I401" s="31" t="s">
        <v>47</v>
      </c>
      <c r="J401" s="32" t="n">
        <v>1.0</v>
      </c>
      <c r="K401" s="33" t="n">
        <f>78600</f>
        <v>78600.0</v>
      </c>
      <c r="L401" s="34" t="s">
        <v>48</v>
      </c>
      <c r="M401" s="33" t="n">
        <f>81900</f>
        <v>81900.0</v>
      </c>
      <c r="N401" s="34" t="s">
        <v>86</v>
      </c>
      <c r="O401" s="33" t="n">
        <f>78400</f>
        <v>78400.0</v>
      </c>
      <c r="P401" s="34" t="s">
        <v>48</v>
      </c>
      <c r="Q401" s="33" t="n">
        <f>80800</f>
        <v>80800.0</v>
      </c>
      <c r="R401" s="34" t="s">
        <v>51</v>
      </c>
      <c r="S401" s="35" t="n">
        <f>80440</f>
        <v>80440.0</v>
      </c>
      <c r="T401" s="32" t="n">
        <f>260526</f>
        <v>260526.0</v>
      </c>
      <c r="U401" s="32" t="n">
        <f>71387</f>
        <v>71387.0</v>
      </c>
      <c r="V401" s="32" t="n">
        <f>20931590062</f>
        <v>2.0931590062E10</v>
      </c>
      <c r="W401" s="32" t="n">
        <f>5737525662</f>
        <v>5.737525662E9</v>
      </c>
      <c r="X401" s="36" t="n">
        <f>20</f>
        <v>20.0</v>
      </c>
    </row>
    <row r="402">
      <c r="A402" s="27" t="s">
        <v>42</v>
      </c>
      <c r="B402" s="27" t="s">
        <v>1250</v>
      </c>
      <c r="C402" s="27" t="s">
        <v>1251</v>
      </c>
      <c r="D402" s="27" t="s">
        <v>1252</v>
      </c>
      <c r="E402" s="28" t="s">
        <v>46</v>
      </c>
      <c r="F402" s="29" t="s">
        <v>46</v>
      </c>
      <c r="G402" s="30" t="s">
        <v>46</v>
      </c>
      <c r="H402" s="31"/>
      <c r="I402" s="31" t="s">
        <v>414</v>
      </c>
      <c r="J402" s="32" t="n">
        <v>1.0</v>
      </c>
      <c r="K402" s="33" t="n">
        <f>143100</f>
        <v>143100.0</v>
      </c>
      <c r="L402" s="34" t="s">
        <v>48</v>
      </c>
      <c r="M402" s="33" t="n">
        <f>148400</f>
        <v>148400.0</v>
      </c>
      <c r="N402" s="34" t="s">
        <v>51</v>
      </c>
      <c r="O402" s="33" t="n">
        <f>142200</f>
        <v>142200.0</v>
      </c>
      <c r="P402" s="34" t="s">
        <v>48</v>
      </c>
      <c r="Q402" s="33" t="n">
        <f>147100</f>
        <v>147100.0</v>
      </c>
      <c r="R402" s="34" t="s">
        <v>51</v>
      </c>
      <c r="S402" s="35" t="n">
        <f>144815</f>
        <v>144815.0</v>
      </c>
      <c r="T402" s="32" t="n">
        <f>17923</f>
        <v>17923.0</v>
      </c>
      <c r="U402" s="32" t="n">
        <f>2703</f>
        <v>2703.0</v>
      </c>
      <c r="V402" s="32" t="n">
        <f>2597659621</f>
        <v>2.597659621E9</v>
      </c>
      <c r="W402" s="32" t="n">
        <f>392367421</f>
        <v>3.92367421E8</v>
      </c>
      <c r="X402" s="36" t="n">
        <f>20</f>
        <v>20.0</v>
      </c>
    </row>
    <row r="403">
      <c r="A403" s="27" t="s">
        <v>42</v>
      </c>
      <c r="B403" s="27" t="s">
        <v>1253</v>
      </c>
      <c r="C403" s="27" t="s">
        <v>1254</v>
      </c>
      <c r="D403" s="27" t="s">
        <v>1255</v>
      </c>
      <c r="E403" s="28" t="s">
        <v>46</v>
      </c>
      <c r="F403" s="29" t="s">
        <v>46</v>
      </c>
      <c r="G403" s="30" t="s">
        <v>46</v>
      </c>
      <c r="H403" s="31"/>
      <c r="I403" s="31" t="s">
        <v>47</v>
      </c>
      <c r="J403" s="32" t="n">
        <v>1.0</v>
      </c>
      <c r="K403" s="33" t="n">
        <f>115400</f>
        <v>115400.0</v>
      </c>
      <c r="L403" s="34" t="s">
        <v>48</v>
      </c>
      <c r="M403" s="33" t="n">
        <f>121800</f>
        <v>121800.0</v>
      </c>
      <c r="N403" s="34" t="s">
        <v>77</v>
      </c>
      <c r="O403" s="33" t="n">
        <f>114400</f>
        <v>114400.0</v>
      </c>
      <c r="P403" s="34" t="s">
        <v>48</v>
      </c>
      <c r="Q403" s="33" t="n">
        <f>119800</f>
        <v>119800.0</v>
      </c>
      <c r="R403" s="34" t="s">
        <v>51</v>
      </c>
      <c r="S403" s="35" t="n">
        <f>117605</f>
        <v>117605.0</v>
      </c>
      <c r="T403" s="32" t="n">
        <f>17570</f>
        <v>17570.0</v>
      </c>
      <c r="U403" s="32" t="n">
        <f>2332</f>
        <v>2332.0</v>
      </c>
      <c r="V403" s="32" t="n">
        <f>2065915503</f>
        <v>2.065915503E9</v>
      </c>
      <c r="W403" s="32" t="n">
        <f>275415603</f>
        <v>2.75415603E8</v>
      </c>
      <c r="X403" s="36" t="n">
        <f>20</f>
        <v>20.0</v>
      </c>
    </row>
    <row r="404">
      <c r="A404" s="27" t="s">
        <v>42</v>
      </c>
      <c r="B404" s="27" t="s">
        <v>1256</v>
      </c>
      <c r="C404" s="27" t="s">
        <v>1257</v>
      </c>
      <c r="D404" s="27" t="s">
        <v>1258</v>
      </c>
      <c r="E404" s="28" t="s">
        <v>46</v>
      </c>
      <c r="F404" s="29" t="s">
        <v>46</v>
      </c>
      <c r="G404" s="30" t="s">
        <v>46</v>
      </c>
      <c r="H404" s="31"/>
      <c r="I404" s="31" t="s">
        <v>47</v>
      </c>
      <c r="J404" s="32" t="n">
        <v>1.0</v>
      </c>
      <c r="K404" s="33" t="n">
        <f>99000</f>
        <v>99000.0</v>
      </c>
      <c r="L404" s="34" t="s">
        <v>48</v>
      </c>
      <c r="M404" s="33" t="n">
        <f>112200</f>
        <v>112200.0</v>
      </c>
      <c r="N404" s="34" t="s">
        <v>51</v>
      </c>
      <c r="O404" s="33" t="n">
        <f>98800</f>
        <v>98800.0</v>
      </c>
      <c r="P404" s="34" t="s">
        <v>48</v>
      </c>
      <c r="Q404" s="33" t="n">
        <f>112100</f>
        <v>112100.0</v>
      </c>
      <c r="R404" s="34" t="s">
        <v>51</v>
      </c>
      <c r="S404" s="35" t="n">
        <f>106870</f>
        <v>106870.0</v>
      </c>
      <c r="T404" s="32" t="n">
        <f>50757</f>
        <v>50757.0</v>
      </c>
      <c r="U404" s="32" t="n">
        <f>6683</f>
        <v>6683.0</v>
      </c>
      <c r="V404" s="32" t="n">
        <f>5424226486</f>
        <v>5.424226486E9</v>
      </c>
      <c r="W404" s="32" t="n">
        <f>727507386</f>
        <v>7.27507386E8</v>
      </c>
      <c r="X404" s="36" t="n">
        <f>20</f>
        <v>20.0</v>
      </c>
    </row>
    <row r="405">
      <c r="A405" s="27" t="s">
        <v>42</v>
      </c>
      <c r="B405" s="27" t="s">
        <v>1259</v>
      </c>
      <c r="C405" s="27" t="s">
        <v>1260</v>
      </c>
      <c r="D405" s="27" t="s">
        <v>1261</v>
      </c>
      <c r="E405" s="28" t="s">
        <v>46</v>
      </c>
      <c r="F405" s="29" t="s">
        <v>46</v>
      </c>
      <c r="G405" s="30" t="s">
        <v>46</v>
      </c>
      <c r="H405" s="31"/>
      <c r="I405" s="31" t="s">
        <v>414</v>
      </c>
      <c r="J405" s="32" t="n">
        <v>1.0</v>
      </c>
      <c r="K405" s="33" t="n">
        <f>10885</f>
        <v>10885.0</v>
      </c>
      <c r="L405" s="34" t="s">
        <v>48</v>
      </c>
      <c r="M405" s="33" t="n">
        <f>11710</f>
        <v>11710.0</v>
      </c>
      <c r="N405" s="34" t="s">
        <v>199</v>
      </c>
      <c r="O405" s="33" t="n">
        <f>10780</f>
        <v>10780.0</v>
      </c>
      <c r="P405" s="34" t="s">
        <v>50</v>
      </c>
      <c r="Q405" s="33" t="n">
        <f>11620</f>
        <v>11620.0</v>
      </c>
      <c r="R405" s="34" t="s">
        <v>51</v>
      </c>
      <c r="S405" s="35" t="n">
        <f>11350</f>
        <v>11350.0</v>
      </c>
      <c r="T405" s="32" t="n">
        <f>16126</f>
        <v>16126.0</v>
      </c>
      <c r="U405" s="32" t="str">
        <f>"－"</f>
        <v>－</v>
      </c>
      <c r="V405" s="32" t="n">
        <f>182530930</f>
        <v>1.8253093E8</v>
      </c>
      <c r="W405" s="32" t="str">
        <f>"－"</f>
        <v>－</v>
      </c>
      <c r="X405" s="36" t="n">
        <f>19</f>
        <v>19.0</v>
      </c>
    </row>
    <row r="406">
      <c r="A406" s="27" t="s">
        <v>42</v>
      </c>
      <c r="B406" s="27" t="s">
        <v>1262</v>
      </c>
      <c r="C406" s="27" t="s">
        <v>1263</v>
      </c>
      <c r="D406" s="27" t="s">
        <v>1264</v>
      </c>
      <c r="E406" s="28" t="s">
        <v>46</v>
      </c>
      <c r="F406" s="29" t="s">
        <v>46</v>
      </c>
      <c r="G406" s="30" t="s">
        <v>46</v>
      </c>
      <c r="H406" s="31"/>
      <c r="I406" s="31" t="s">
        <v>47</v>
      </c>
      <c r="J406" s="32" t="n">
        <v>1.0</v>
      </c>
      <c r="K406" s="33" t="n">
        <f>159400</f>
        <v>159400.0</v>
      </c>
      <c r="L406" s="34" t="s">
        <v>48</v>
      </c>
      <c r="M406" s="33" t="n">
        <f>166800</f>
        <v>166800.0</v>
      </c>
      <c r="N406" s="34" t="s">
        <v>77</v>
      </c>
      <c r="O406" s="33" t="n">
        <f>158800</f>
        <v>158800.0</v>
      </c>
      <c r="P406" s="34" t="s">
        <v>48</v>
      </c>
      <c r="Q406" s="33" t="n">
        <f>161000</f>
        <v>161000.0</v>
      </c>
      <c r="R406" s="34" t="s">
        <v>51</v>
      </c>
      <c r="S406" s="35" t="n">
        <f>162860</f>
        <v>162860.0</v>
      </c>
      <c r="T406" s="32" t="n">
        <f>215979</f>
        <v>215979.0</v>
      </c>
      <c r="U406" s="32" t="n">
        <f>49699</f>
        <v>49699.0</v>
      </c>
      <c r="V406" s="32" t="n">
        <f>35148402834</f>
        <v>3.5148402834E10</v>
      </c>
      <c r="W406" s="32" t="n">
        <f>8088254034</f>
        <v>8.088254034E9</v>
      </c>
      <c r="X406" s="36" t="n">
        <f>20</f>
        <v>20.0</v>
      </c>
    </row>
    <row r="407">
      <c r="A407" s="27" t="s">
        <v>42</v>
      </c>
      <c r="B407" s="27" t="s">
        <v>1265</v>
      </c>
      <c r="C407" s="27" t="s">
        <v>1266</v>
      </c>
      <c r="D407" s="27" t="s">
        <v>1267</v>
      </c>
      <c r="E407" s="28" t="s">
        <v>46</v>
      </c>
      <c r="F407" s="29" t="s">
        <v>46</v>
      </c>
      <c r="G407" s="30" t="s">
        <v>46</v>
      </c>
      <c r="H407" s="31"/>
      <c r="I407" s="31" t="s">
        <v>414</v>
      </c>
      <c r="J407" s="32" t="n">
        <v>1.0</v>
      </c>
      <c r="K407" s="33" t="n">
        <f>132400</f>
        <v>132400.0</v>
      </c>
      <c r="L407" s="34" t="s">
        <v>48</v>
      </c>
      <c r="M407" s="33" t="n">
        <f>143300</f>
        <v>143300.0</v>
      </c>
      <c r="N407" s="34" t="s">
        <v>81</v>
      </c>
      <c r="O407" s="33" t="n">
        <f>131100</f>
        <v>131100.0</v>
      </c>
      <c r="P407" s="34" t="s">
        <v>48</v>
      </c>
      <c r="Q407" s="33" t="n">
        <f>141600</f>
        <v>141600.0</v>
      </c>
      <c r="R407" s="34" t="s">
        <v>51</v>
      </c>
      <c r="S407" s="35" t="n">
        <f>137320</f>
        <v>137320.0</v>
      </c>
      <c r="T407" s="32" t="n">
        <f>33759</f>
        <v>33759.0</v>
      </c>
      <c r="U407" s="32" t="n">
        <f>3723</f>
        <v>3723.0</v>
      </c>
      <c r="V407" s="32" t="n">
        <f>4632001602</f>
        <v>4.632001602E9</v>
      </c>
      <c r="W407" s="32" t="n">
        <f>510664002</f>
        <v>5.10664002E8</v>
      </c>
      <c r="X407" s="36" t="n">
        <f>20</f>
        <v>20.0</v>
      </c>
    </row>
    <row r="408">
      <c r="A408" s="27" t="s">
        <v>42</v>
      </c>
      <c r="B408" s="27" t="s">
        <v>1268</v>
      </c>
      <c r="C408" s="27" t="s">
        <v>1269</v>
      </c>
      <c r="D408" s="27" t="s">
        <v>1270</v>
      </c>
      <c r="E408" s="28" t="s">
        <v>46</v>
      </c>
      <c r="F408" s="29" t="s">
        <v>46</v>
      </c>
      <c r="G408" s="30" t="s">
        <v>46</v>
      </c>
      <c r="H408" s="31"/>
      <c r="I408" s="31" t="s">
        <v>47</v>
      </c>
      <c r="J408" s="32" t="n">
        <v>1.0</v>
      </c>
      <c r="K408" s="33" t="n">
        <f>143900</f>
        <v>143900.0</v>
      </c>
      <c r="L408" s="34" t="s">
        <v>48</v>
      </c>
      <c r="M408" s="33" t="n">
        <f>147900</f>
        <v>147900.0</v>
      </c>
      <c r="N408" s="34" t="s">
        <v>454</v>
      </c>
      <c r="O408" s="33" t="n">
        <f>142500</f>
        <v>142500.0</v>
      </c>
      <c r="P408" s="34" t="s">
        <v>51</v>
      </c>
      <c r="Q408" s="33" t="n">
        <f>142600</f>
        <v>142600.0</v>
      </c>
      <c r="R408" s="34" t="s">
        <v>51</v>
      </c>
      <c r="S408" s="35" t="n">
        <f>146130</f>
        <v>146130.0</v>
      </c>
      <c r="T408" s="32" t="n">
        <f>128147</f>
        <v>128147.0</v>
      </c>
      <c r="U408" s="32" t="n">
        <f>34413</f>
        <v>34413.0</v>
      </c>
      <c r="V408" s="32" t="n">
        <f>18710839873</f>
        <v>1.8710839873E10</v>
      </c>
      <c r="W408" s="32" t="n">
        <f>5028267973</f>
        <v>5.028267973E9</v>
      </c>
      <c r="X408" s="36" t="n">
        <f>20</f>
        <v>20.0</v>
      </c>
    </row>
    <row r="409">
      <c r="A409" s="27" t="s">
        <v>42</v>
      </c>
      <c r="B409" s="27" t="s">
        <v>1271</v>
      </c>
      <c r="C409" s="27" t="s">
        <v>1272</v>
      </c>
      <c r="D409" s="27" t="s">
        <v>1273</v>
      </c>
      <c r="E409" s="28" t="s">
        <v>46</v>
      </c>
      <c r="F409" s="29" t="s">
        <v>46</v>
      </c>
      <c r="G409" s="30" t="s">
        <v>46</v>
      </c>
      <c r="H409" s="31"/>
      <c r="I409" s="31" t="s">
        <v>47</v>
      </c>
      <c r="J409" s="32" t="n">
        <v>1.0</v>
      </c>
      <c r="K409" s="33" t="n">
        <f>58600</f>
        <v>58600.0</v>
      </c>
      <c r="L409" s="34" t="s">
        <v>48</v>
      </c>
      <c r="M409" s="33" t="n">
        <f>61600</f>
        <v>61600.0</v>
      </c>
      <c r="N409" s="34" t="s">
        <v>81</v>
      </c>
      <c r="O409" s="33" t="n">
        <f>58000</f>
        <v>58000.0</v>
      </c>
      <c r="P409" s="34" t="s">
        <v>48</v>
      </c>
      <c r="Q409" s="33" t="n">
        <f>61100</f>
        <v>61100.0</v>
      </c>
      <c r="R409" s="34" t="s">
        <v>51</v>
      </c>
      <c r="S409" s="35" t="n">
        <f>59840</f>
        <v>59840.0</v>
      </c>
      <c r="T409" s="32" t="n">
        <f>194165</f>
        <v>194165.0</v>
      </c>
      <c r="U409" s="32" t="n">
        <f>48876</f>
        <v>48876.0</v>
      </c>
      <c r="V409" s="32" t="n">
        <f>11596359865</f>
        <v>1.1596359865E10</v>
      </c>
      <c r="W409" s="32" t="n">
        <f>2922964365</f>
        <v>2.922964365E9</v>
      </c>
      <c r="X409" s="36" t="n">
        <f>20</f>
        <v>20.0</v>
      </c>
    </row>
    <row r="410">
      <c r="A410" s="27" t="s">
        <v>42</v>
      </c>
      <c r="B410" s="27" t="s">
        <v>1274</v>
      </c>
      <c r="C410" s="27" t="s">
        <v>1275</v>
      </c>
      <c r="D410" s="27" t="s">
        <v>1276</v>
      </c>
      <c r="E410" s="28" t="s">
        <v>46</v>
      </c>
      <c r="F410" s="29" t="s">
        <v>46</v>
      </c>
      <c r="G410" s="30" t="s">
        <v>46</v>
      </c>
      <c r="H410" s="31"/>
      <c r="I410" s="31" t="s">
        <v>47</v>
      </c>
      <c r="J410" s="32" t="n">
        <v>1.0</v>
      </c>
      <c r="K410" s="33" t="n">
        <f>2751</f>
        <v>2751.0</v>
      </c>
      <c r="L410" s="34" t="s">
        <v>48</v>
      </c>
      <c r="M410" s="33" t="n">
        <f>2793</f>
        <v>2793.0</v>
      </c>
      <c r="N410" s="34" t="s">
        <v>221</v>
      </c>
      <c r="O410" s="33" t="n">
        <f>2611</f>
        <v>2611.0</v>
      </c>
      <c r="P410" s="34" t="s">
        <v>50</v>
      </c>
      <c r="Q410" s="33" t="n">
        <f>2738</f>
        <v>2738.0</v>
      </c>
      <c r="R410" s="34" t="s">
        <v>51</v>
      </c>
      <c r="S410" s="35" t="n">
        <f>2710.55</f>
        <v>2710.55</v>
      </c>
      <c r="T410" s="32" t="n">
        <f>368911</f>
        <v>368911.0</v>
      </c>
      <c r="U410" s="32" t="str">
        <f>"－"</f>
        <v>－</v>
      </c>
      <c r="V410" s="32" t="n">
        <f>993588904</f>
        <v>9.93588904E8</v>
      </c>
      <c r="W410" s="32" t="str">
        <f>"－"</f>
        <v>－</v>
      </c>
      <c r="X410" s="36" t="n">
        <f>20</f>
        <v>20.0</v>
      </c>
    </row>
    <row r="411">
      <c r="A411" s="27" t="s">
        <v>42</v>
      </c>
      <c r="B411" s="27" t="s">
        <v>1277</v>
      </c>
      <c r="C411" s="27" t="s">
        <v>1278</v>
      </c>
      <c r="D411" s="27" t="s">
        <v>1279</v>
      </c>
      <c r="E411" s="28" t="s">
        <v>46</v>
      </c>
      <c r="F411" s="29" t="s">
        <v>46</v>
      </c>
      <c r="G411" s="30" t="s">
        <v>46</v>
      </c>
      <c r="H411" s="31"/>
      <c r="I411" s="31" t="s">
        <v>414</v>
      </c>
      <c r="J411" s="32" t="n">
        <v>1.0</v>
      </c>
      <c r="K411" s="33" t="n">
        <f>110400</f>
        <v>110400.0</v>
      </c>
      <c r="L411" s="34" t="s">
        <v>48</v>
      </c>
      <c r="M411" s="33" t="n">
        <f>115700</f>
        <v>115700.0</v>
      </c>
      <c r="N411" s="34" t="s">
        <v>81</v>
      </c>
      <c r="O411" s="33" t="n">
        <f>110000</f>
        <v>110000.0</v>
      </c>
      <c r="P411" s="34" t="s">
        <v>48</v>
      </c>
      <c r="Q411" s="33" t="n">
        <f>115400</f>
        <v>115400.0</v>
      </c>
      <c r="R411" s="34" t="s">
        <v>51</v>
      </c>
      <c r="S411" s="35" t="n">
        <f>113305</f>
        <v>113305.0</v>
      </c>
      <c r="T411" s="32" t="n">
        <f>20582</f>
        <v>20582.0</v>
      </c>
      <c r="U411" s="32" t="n">
        <f>2094</f>
        <v>2094.0</v>
      </c>
      <c r="V411" s="32" t="n">
        <f>2329013582</f>
        <v>2.329013582E9</v>
      </c>
      <c r="W411" s="32" t="n">
        <f>237715982</f>
        <v>2.37715982E8</v>
      </c>
      <c r="X411" s="36" t="n">
        <f>20</f>
        <v>20.0</v>
      </c>
    </row>
    <row r="412">
      <c r="A412" s="27" t="s">
        <v>42</v>
      </c>
      <c r="B412" s="27" t="s">
        <v>1280</v>
      </c>
      <c r="C412" s="27" t="s">
        <v>1281</v>
      </c>
      <c r="D412" s="27" t="s">
        <v>1282</v>
      </c>
      <c r="E412" s="28" t="s">
        <v>46</v>
      </c>
      <c r="F412" s="29" t="s">
        <v>46</v>
      </c>
      <c r="G412" s="30" t="s">
        <v>46</v>
      </c>
      <c r="H412" s="31"/>
      <c r="I412" s="31" t="s">
        <v>47</v>
      </c>
      <c r="J412" s="32" t="n">
        <v>1.0</v>
      </c>
      <c r="K412" s="33" t="n">
        <f>101600</f>
        <v>101600.0</v>
      </c>
      <c r="L412" s="34" t="s">
        <v>48</v>
      </c>
      <c r="M412" s="33" t="n">
        <f>110100</f>
        <v>110100.0</v>
      </c>
      <c r="N412" s="34" t="s">
        <v>51</v>
      </c>
      <c r="O412" s="33" t="n">
        <f>101600</f>
        <v>101600.0</v>
      </c>
      <c r="P412" s="34" t="s">
        <v>48</v>
      </c>
      <c r="Q412" s="33" t="n">
        <f>109600</f>
        <v>109600.0</v>
      </c>
      <c r="R412" s="34" t="s">
        <v>51</v>
      </c>
      <c r="S412" s="35" t="n">
        <f>106140</f>
        <v>106140.0</v>
      </c>
      <c r="T412" s="32" t="n">
        <f>333482</f>
        <v>333482.0</v>
      </c>
      <c r="U412" s="32" t="n">
        <f>82185</f>
        <v>82185.0</v>
      </c>
      <c r="V412" s="32" t="n">
        <f>35509639710</f>
        <v>3.550963971E10</v>
      </c>
      <c r="W412" s="32" t="n">
        <f>8780469910</f>
        <v>8.78046991E9</v>
      </c>
      <c r="X412" s="36" t="n">
        <f>20</f>
        <v>20.0</v>
      </c>
    </row>
    <row r="413">
      <c r="A413" s="27" t="s">
        <v>42</v>
      </c>
      <c r="B413" s="27" t="s">
        <v>1283</v>
      </c>
      <c r="C413" s="27" t="s">
        <v>1284</v>
      </c>
      <c r="D413" s="27" t="s">
        <v>1285</v>
      </c>
      <c r="E413" s="28" t="s">
        <v>46</v>
      </c>
      <c r="F413" s="29" t="s">
        <v>46</v>
      </c>
      <c r="G413" s="30" t="s">
        <v>46</v>
      </c>
      <c r="H413" s="31"/>
      <c r="I413" s="31" t="s">
        <v>414</v>
      </c>
      <c r="J413" s="32" t="n">
        <v>1.0</v>
      </c>
      <c r="K413" s="33" t="n">
        <f>76600</f>
        <v>76600.0</v>
      </c>
      <c r="L413" s="34" t="s">
        <v>48</v>
      </c>
      <c r="M413" s="33" t="n">
        <f>80900</f>
        <v>80900.0</v>
      </c>
      <c r="N413" s="34" t="s">
        <v>81</v>
      </c>
      <c r="O413" s="33" t="n">
        <f>76000</f>
        <v>76000.0</v>
      </c>
      <c r="P413" s="34" t="s">
        <v>48</v>
      </c>
      <c r="Q413" s="33" t="n">
        <f>80100</f>
        <v>80100.0</v>
      </c>
      <c r="R413" s="34" t="s">
        <v>51</v>
      </c>
      <c r="S413" s="35" t="n">
        <f>78955</f>
        <v>78955.0</v>
      </c>
      <c r="T413" s="32" t="n">
        <f>23652</f>
        <v>23652.0</v>
      </c>
      <c r="U413" s="32" t="n">
        <f>2606</f>
        <v>2606.0</v>
      </c>
      <c r="V413" s="32" t="n">
        <f>1868479881</f>
        <v>1.868479881E9</v>
      </c>
      <c r="W413" s="32" t="n">
        <f>206171481</f>
        <v>2.06171481E8</v>
      </c>
      <c r="X413" s="36" t="n">
        <f>20</f>
        <v>20.0</v>
      </c>
    </row>
    <row r="414">
      <c r="A414" s="27" t="s">
        <v>42</v>
      </c>
      <c r="B414" s="27" t="s">
        <v>1286</v>
      </c>
      <c r="C414" s="27" t="s">
        <v>1287</v>
      </c>
      <c r="D414" s="27" t="s">
        <v>1288</v>
      </c>
      <c r="E414" s="28" t="s">
        <v>46</v>
      </c>
      <c r="F414" s="29" t="s">
        <v>46</v>
      </c>
      <c r="G414" s="30" t="s">
        <v>46</v>
      </c>
      <c r="H414" s="31"/>
      <c r="I414" s="31" t="s">
        <v>47</v>
      </c>
      <c r="J414" s="32" t="n">
        <v>1.0</v>
      </c>
      <c r="K414" s="33" t="n">
        <f>46000</f>
        <v>46000.0</v>
      </c>
      <c r="L414" s="34" t="s">
        <v>48</v>
      </c>
      <c r="M414" s="33" t="n">
        <f>48300</f>
        <v>48300.0</v>
      </c>
      <c r="N414" s="34" t="s">
        <v>51</v>
      </c>
      <c r="O414" s="33" t="n">
        <f>45600</f>
        <v>45600.0</v>
      </c>
      <c r="P414" s="34" t="s">
        <v>48</v>
      </c>
      <c r="Q414" s="33" t="n">
        <f>47900</f>
        <v>47900.0</v>
      </c>
      <c r="R414" s="34" t="s">
        <v>51</v>
      </c>
      <c r="S414" s="35" t="n">
        <f>46887.5</f>
        <v>46887.5</v>
      </c>
      <c r="T414" s="32" t="n">
        <f>92190</f>
        <v>92190.0</v>
      </c>
      <c r="U414" s="32" t="n">
        <f>18189</f>
        <v>18189.0</v>
      </c>
      <c r="V414" s="32" t="n">
        <f>4333882700</f>
        <v>4.3338827E9</v>
      </c>
      <c r="W414" s="32" t="n">
        <f>856625400</f>
        <v>8.566254E8</v>
      </c>
      <c r="X414" s="36" t="n">
        <f>20</f>
        <v>20.0</v>
      </c>
    </row>
    <row r="415">
      <c r="A415" s="27" t="s">
        <v>42</v>
      </c>
      <c r="B415" s="27" t="s">
        <v>1289</v>
      </c>
      <c r="C415" s="27" t="s">
        <v>1290</v>
      </c>
      <c r="D415" s="27" t="s">
        <v>1291</v>
      </c>
      <c r="E415" s="28" t="s">
        <v>46</v>
      </c>
      <c r="F415" s="29" t="s">
        <v>46</v>
      </c>
      <c r="G415" s="30" t="s">
        <v>46</v>
      </c>
      <c r="H415" s="31"/>
      <c r="I415" s="31" t="s">
        <v>47</v>
      </c>
      <c r="J415" s="32" t="n">
        <v>1.0</v>
      </c>
      <c r="K415" s="33" t="n">
        <f>120400</f>
        <v>120400.0</v>
      </c>
      <c r="L415" s="34" t="s">
        <v>48</v>
      </c>
      <c r="M415" s="33" t="n">
        <f>125400</f>
        <v>125400.0</v>
      </c>
      <c r="N415" s="34" t="s">
        <v>77</v>
      </c>
      <c r="O415" s="33" t="n">
        <f>119600</f>
        <v>119600.0</v>
      </c>
      <c r="P415" s="34" t="s">
        <v>48</v>
      </c>
      <c r="Q415" s="33" t="n">
        <f>121800</f>
        <v>121800.0</v>
      </c>
      <c r="R415" s="34" t="s">
        <v>51</v>
      </c>
      <c r="S415" s="35" t="n">
        <f>122770</f>
        <v>122770.0</v>
      </c>
      <c r="T415" s="32" t="n">
        <f>109941</f>
        <v>109941.0</v>
      </c>
      <c r="U415" s="32" t="n">
        <f>27258</f>
        <v>27258.0</v>
      </c>
      <c r="V415" s="32" t="n">
        <f>13501055632</f>
        <v>1.3501055632E10</v>
      </c>
      <c r="W415" s="32" t="n">
        <f>3345786132</f>
        <v>3.345786132E9</v>
      </c>
      <c r="X415" s="36" t="n">
        <f>20</f>
        <v>20.0</v>
      </c>
    </row>
    <row r="416">
      <c r="A416" s="27" t="s">
        <v>42</v>
      </c>
      <c r="B416" s="27" t="s">
        <v>1292</v>
      </c>
      <c r="C416" s="27" t="s">
        <v>1293</v>
      </c>
      <c r="D416" s="27" t="s">
        <v>1294</v>
      </c>
      <c r="E416" s="28" t="s">
        <v>46</v>
      </c>
      <c r="F416" s="29" t="s">
        <v>46</v>
      </c>
      <c r="G416" s="30" t="s">
        <v>46</v>
      </c>
      <c r="H416" s="31"/>
      <c r="I416" s="31" t="s">
        <v>47</v>
      </c>
      <c r="J416" s="32" t="n">
        <v>1.0</v>
      </c>
      <c r="K416" s="33" t="n">
        <f>150000</f>
        <v>150000.0</v>
      </c>
      <c r="L416" s="34" t="s">
        <v>48</v>
      </c>
      <c r="M416" s="33" t="n">
        <f>156900</f>
        <v>156900.0</v>
      </c>
      <c r="N416" s="34" t="s">
        <v>81</v>
      </c>
      <c r="O416" s="33" t="n">
        <f>149300</f>
        <v>149300.0</v>
      </c>
      <c r="P416" s="34" t="s">
        <v>48</v>
      </c>
      <c r="Q416" s="33" t="n">
        <f>155600</f>
        <v>155600.0</v>
      </c>
      <c r="R416" s="34" t="s">
        <v>51</v>
      </c>
      <c r="S416" s="35" t="n">
        <f>153575</f>
        <v>153575.0</v>
      </c>
      <c r="T416" s="32" t="n">
        <f>46810</f>
        <v>46810.0</v>
      </c>
      <c r="U416" s="32" t="n">
        <f>9496</f>
        <v>9496.0</v>
      </c>
      <c r="V416" s="32" t="n">
        <f>7184526357</f>
        <v>7.184526357E9</v>
      </c>
      <c r="W416" s="32" t="n">
        <f>1457072757</f>
        <v>1.457072757E9</v>
      </c>
      <c r="X416" s="36" t="n">
        <f>20</f>
        <v>20.0</v>
      </c>
    </row>
    <row r="417">
      <c r="A417" s="27" t="s">
        <v>42</v>
      </c>
      <c r="B417" s="27" t="s">
        <v>1295</v>
      </c>
      <c r="C417" s="27" t="s">
        <v>1296</v>
      </c>
      <c r="D417" s="27" t="s">
        <v>1297</v>
      </c>
      <c r="E417" s="28" t="s">
        <v>46</v>
      </c>
      <c r="F417" s="29" t="s">
        <v>46</v>
      </c>
      <c r="G417" s="30" t="s">
        <v>46</v>
      </c>
      <c r="H417" s="31"/>
      <c r="I417" s="31" t="s">
        <v>414</v>
      </c>
      <c r="J417" s="32" t="n">
        <v>1.0</v>
      </c>
      <c r="K417" s="33" t="n">
        <f>116700</f>
        <v>116700.0</v>
      </c>
      <c r="L417" s="34" t="s">
        <v>48</v>
      </c>
      <c r="M417" s="33" t="n">
        <f>121900</f>
        <v>121900.0</v>
      </c>
      <c r="N417" s="34" t="s">
        <v>77</v>
      </c>
      <c r="O417" s="33" t="n">
        <f>116200</f>
        <v>116200.0</v>
      </c>
      <c r="P417" s="34" t="s">
        <v>48</v>
      </c>
      <c r="Q417" s="33" t="n">
        <f>119200</f>
        <v>119200.0</v>
      </c>
      <c r="R417" s="34" t="s">
        <v>51</v>
      </c>
      <c r="S417" s="35" t="n">
        <f>119180</f>
        <v>119180.0</v>
      </c>
      <c r="T417" s="32" t="n">
        <f>26073</f>
        <v>26073.0</v>
      </c>
      <c r="U417" s="32" t="n">
        <f>2665</f>
        <v>2665.0</v>
      </c>
      <c r="V417" s="32" t="n">
        <f>3107178814</f>
        <v>3.107178814E9</v>
      </c>
      <c r="W417" s="32" t="n">
        <f>317961014</f>
        <v>3.17961014E8</v>
      </c>
      <c r="X417" s="36" t="n">
        <f>20</f>
        <v>20.0</v>
      </c>
    </row>
    <row r="418">
      <c r="A418" s="27" t="s">
        <v>42</v>
      </c>
      <c r="B418" s="27" t="s">
        <v>1298</v>
      </c>
      <c r="C418" s="27" t="s">
        <v>1299</v>
      </c>
      <c r="D418" s="27" t="s">
        <v>1300</v>
      </c>
      <c r="E418" s="28" t="s">
        <v>46</v>
      </c>
      <c r="F418" s="29" t="s">
        <v>46</v>
      </c>
      <c r="G418" s="30" t="s">
        <v>46</v>
      </c>
      <c r="H418" s="31"/>
      <c r="I418" s="31" t="s">
        <v>47</v>
      </c>
      <c r="J418" s="32" t="n">
        <v>10.0</v>
      </c>
      <c r="K418" s="33" t="n">
        <f>214.8</f>
        <v>214.8</v>
      </c>
      <c r="L418" s="34" t="s">
        <v>48</v>
      </c>
      <c r="M418" s="33" t="n">
        <f>226.8</f>
        <v>226.8</v>
      </c>
      <c r="N418" s="34" t="s">
        <v>51</v>
      </c>
      <c r="O418" s="33" t="n">
        <f>211.1</f>
        <v>211.1</v>
      </c>
      <c r="P418" s="34" t="s">
        <v>50</v>
      </c>
      <c r="Q418" s="33" t="n">
        <f>223.5</f>
        <v>223.5</v>
      </c>
      <c r="R418" s="34" t="s">
        <v>51</v>
      </c>
      <c r="S418" s="35" t="n">
        <f>221.89</f>
        <v>221.89</v>
      </c>
      <c r="T418" s="32" t="n">
        <f>758780</f>
        <v>758780.0</v>
      </c>
      <c r="U418" s="32" t="n">
        <f>170</f>
        <v>170.0</v>
      </c>
      <c r="V418" s="32" t="n">
        <f>165700108</f>
        <v>1.65700108E8</v>
      </c>
      <c r="W418" s="32" t="n">
        <f>38607</f>
        <v>38607.0</v>
      </c>
      <c r="X418" s="36" t="n">
        <f>20</f>
        <v>20.0</v>
      </c>
    </row>
    <row r="419">
      <c r="A419" s="27" t="s">
        <v>42</v>
      </c>
      <c r="B419" s="27" t="s">
        <v>1301</v>
      </c>
      <c r="C419" s="27" t="s">
        <v>1302</v>
      </c>
      <c r="D419" s="27" t="s">
        <v>1303</v>
      </c>
      <c r="E419" s="28" t="s">
        <v>46</v>
      </c>
      <c r="F419" s="29" t="s">
        <v>46</v>
      </c>
      <c r="G419" s="30" t="s">
        <v>46</v>
      </c>
      <c r="H419" s="31"/>
      <c r="I419" s="31" t="s">
        <v>47</v>
      </c>
      <c r="J419" s="32" t="n">
        <v>1.0</v>
      </c>
      <c r="K419" s="33" t="n">
        <f>94700</f>
        <v>94700.0</v>
      </c>
      <c r="L419" s="34" t="s">
        <v>48</v>
      </c>
      <c r="M419" s="33" t="n">
        <f>96700</f>
        <v>96700.0</v>
      </c>
      <c r="N419" s="34" t="s">
        <v>454</v>
      </c>
      <c r="O419" s="33" t="n">
        <f>93400</f>
        <v>93400.0</v>
      </c>
      <c r="P419" s="34" t="s">
        <v>81</v>
      </c>
      <c r="Q419" s="33" t="n">
        <f>94400</f>
        <v>94400.0</v>
      </c>
      <c r="R419" s="34" t="s">
        <v>51</v>
      </c>
      <c r="S419" s="35" t="n">
        <f>95465</f>
        <v>95465.0</v>
      </c>
      <c r="T419" s="32" t="n">
        <f>143126</f>
        <v>143126.0</v>
      </c>
      <c r="U419" s="32" t="n">
        <f>14118</f>
        <v>14118.0</v>
      </c>
      <c r="V419" s="32" t="n">
        <f>13635161915</f>
        <v>1.3635161915E10</v>
      </c>
      <c r="W419" s="32" t="n">
        <f>1343859415</f>
        <v>1.343859415E9</v>
      </c>
      <c r="X419" s="36" t="n">
        <f>20</f>
        <v>20.0</v>
      </c>
    </row>
    <row r="420">
      <c r="A420" s="27" t="s">
        <v>42</v>
      </c>
      <c r="B420" s="27" t="s">
        <v>1304</v>
      </c>
      <c r="C420" s="27" t="s">
        <v>1305</v>
      </c>
      <c r="D420" s="27" t="s">
        <v>1306</v>
      </c>
      <c r="E420" s="28" t="s">
        <v>46</v>
      </c>
      <c r="F420" s="29" t="s">
        <v>46</v>
      </c>
      <c r="G420" s="30" t="s">
        <v>46</v>
      </c>
      <c r="H420" s="31"/>
      <c r="I420" s="31" t="s">
        <v>47</v>
      </c>
      <c r="J420" s="32" t="n">
        <v>10.0</v>
      </c>
      <c r="K420" s="33" t="n">
        <f>569</f>
        <v>569.0</v>
      </c>
      <c r="L420" s="34" t="s">
        <v>48</v>
      </c>
      <c r="M420" s="33" t="n">
        <f>628</f>
        <v>628.0</v>
      </c>
      <c r="N420" s="34" t="s">
        <v>64</v>
      </c>
      <c r="O420" s="33" t="n">
        <f>555.8</f>
        <v>555.8</v>
      </c>
      <c r="P420" s="34" t="s">
        <v>50</v>
      </c>
      <c r="Q420" s="33" t="n">
        <f>584</f>
        <v>584.0</v>
      </c>
      <c r="R420" s="34" t="s">
        <v>51</v>
      </c>
      <c r="S420" s="35" t="n">
        <f>585.97</f>
        <v>585.97</v>
      </c>
      <c r="T420" s="32" t="n">
        <f>225900</f>
        <v>225900.0</v>
      </c>
      <c r="U420" s="32" t="str">
        <f>"－"</f>
        <v>－</v>
      </c>
      <c r="V420" s="32" t="n">
        <f>132433700</f>
        <v>1.324337E8</v>
      </c>
      <c r="W420" s="32" t="str">
        <f>"－"</f>
        <v>－</v>
      </c>
      <c r="X420" s="36" t="n">
        <f>20</f>
        <v>20.0</v>
      </c>
    </row>
    <row r="421">
      <c r="A421" s="27" t="s">
        <v>42</v>
      </c>
      <c r="B421" s="27" t="s">
        <v>1307</v>
      </c>
      <c r="C421" s="27" t="s">
        <v>1308</v>
      </c>
      <c r="D421" s="27" t="s">
        <v>1309</v>
      </c>
      <c r="E421" s="28" t="s">
        <v>46</v>
      </c>
      <c r="F421" s="29" t="s">
        <v>46</v>
      </c>
      <c r="G421" s="30" t="s">
        <v>46</v>
      </c>
      <c r="H421" s="31"/>
      <c r="I421" s="31" t="s">
        <v>47</v>
      </c>
      <c r="J421" s="32" t="n">
        <v>1.0</v>
      </c>
      <c r="K421" s="33" t="n">
        <f>2331</f>
        <v>2331.0</v>
      </c>
      <c r="L421" s="34" t="s">
        <v>48</v>
      </c>
      <c r="M421" s="33" t="n">
        <f>2483</f>
        <v>2483.0</v>
      </c>
      <c r="N421" s="34" t="s">
        <v>199</v>
      </c>
      <c r="O421" s="33" t="n">
        <f>2277</f>
        <v>2277.0</v>
      </c>
      <c r="P421" s="34" t="s">
        <v>50</v>
      </c>
      <c r="Q421" s="33" t="n">
        <f>2449</f>
        <v>2449.0</v>
      </c>
      <c r="R421" s="34" t="s">
        <v>51</v>
      </c>
      <c r="S421" s="35" t="n">
        <f>2410.05</f>
        <v>2410.05</v>
      </c>
      <c r="T421" s="32" t="n">
        <f>2053694</f>
        <v>2053694.0</v>
      </c>
      <c r="U421" s="32" t="n">
        <f>1578340</f>
        <v>1578340.0</v>
      </c>
      <c r="V421" s="32" t="n">
        <f>4784551874</f>
        <v>4.784551874E9</v>
      </c>
      <c r="W421" s="32" t="n">
        <f>3643668361</f>
        <v>3.643668361E9</v>
      </c>
      <c r="X421" s="36" t="n">
        <f>20</f>
        <v>20.0</v>
      </c>
    </row>
    <row r="422">
      <c r="A422" s="27" t="s">
        <v>42</v>
      </c>
      <c r="B422" s="27" t="s">
        <v>1310</v>
      </c>
      <c r="C422" s="27" t="s">
        <v>1311</v>
      </c>
      <c r="D422" s="27" t="s">
        <v>1312</v>
      </c>
      <c r="E422" s="28" t="s">
        <v>46</v>
      </c>
      <c r="F422" s="29" t="s">
        <v>46</v>
      </c>
      <c r="G422" s="30" t="s">
        <v>46</v>
      </c>
      <c r="H422" s="31"/>
      <c r="I422" s="31" t="s">
        <v>47</v>
      </c>
      <c r="J422" s="32" t="n">
        <v>1.0</v>
      </c>
      <c r="K422" s="33" t="n">
        <f>1240</f>
        <v>1240.0</v>
      </c>
      <c r="L422" s="34" t="s">
        <v>48</v>
      </c>
      <c r="M422" s="33" t="n">
        <f>1258</f>
        <v>1258.0</v>
      </c>
      <c r="N422" s="34" t="s">
        <v>282</v>
      </c>
      <c r="O422" s="33" t="n">
        <f>1196</f>
        <v>1196.0</v>
      </c>
      <c r="P422" s="34" t="s">
        <v>50</v>
      </c>
      <c r="Q422" s="33" t="n">
        <f>1240</f>
        <v>1240.0</v>
      </c>
      <c r="R422" s="34" t="s">
        <v>51</v>
      </c>
      <c r="S422" s="35" t="n">
        <f>1228.6</f>
        <v>1228.6</v>
      </c>
      <c r="T422" s="32" t="n">
        <f>203218</f>
        <v>203218.0</v>
      </c>
      <c r="U422" s="32" t="n">
        <f>43480</f>
        <v>43480.0</v>
      </c>
      <c r="V422" s="32" t="n">
        <f>248203679</f>
        <v>2.48203679E8</v>
      </c>
      <c r="W422" s="32" t="n">
        <f>52128150</f>
        <v>5.212815E7</v>
      </c>
      <c r="X422" s="36" t="n">
        <f>20</f>
        <v>20.0</v>
      </c>
    </row>
    <row r="423">
      <c r="A423" s="27" t="s">
        <v>42</v>
      </c>
      <c r="B423" s="27" t="s">
        <v>1313</v>
      </c>
      <c r="C423" s="27" t="s">
        <v>1314</v>
      </c>
      <c r="D423" s="27" t="s">
        <v>1315</v>
      </c>
      <c r="E423" s="28" t="s">
        <v>46</v>
      </c>
      <c r="F423" s="29" t="s">
        <v>46</v>
      </c>
      <c r="G423" s="30" t="s">
        <v>46</v>
      </c>
      <c r="H423" s="31"/>
      <c r="I423" s="31" t="s">
        <v>47</v>
      </c>
      <c r="J423" s="32" t="n">
        <v>10.0</v>
      </c>
      <c r="K423" s="33" t="n">
        <f>1092.5</f>
        <v>1092.5</v>
      </c>
      <c r="L423" s="34" t="s">
        <v>48</v>
      </c>
      <c r="M423" s="33" t="n">
        <f>1146</f>
        <v>1146.0</v>
      </c>
      <c r="N423" s="34" t="s">
        <v>49</v>
      </c>
      <c r="O423" s="33" t="n">
        <f>1092.5</f>
        <v>1092.5</v>
      </c>
      <c r="P423" s="34" t="s">
        <v>48</v>
      </c>
      <c r="Q423" s="33" t="n">
        <f>1139.5</f>
        <v>1139.5</v>
      </c>
      <c r="R423" s="34" t="s">
        <v>51</v>
      </c>
      <c r="S423" s="35" t="n">
        <f>1122.15</f>
        <v>1122.15</v>
      </c>
      <c r="T423" s="32" t="n">
        <f>2510</f>
        <v>2510.0</v>
      </c>
      <c r="U423" s="32" t="str">
        <f>"－"</f>
        <v>－</v>
      </c>
      <c r="V423" s="32" t="n">
        <f>2820500</f>
        <v>2820500.0</v>
      </c>
      <c r="W423" s="32" t="str">
        <f>"－"</f>
        <v>－</v>
      </c>
      <c r="X423" s="36" t="n">
        <f>17</f>
        <v>17.0</v>
      </c>
    </row>
    <row r="424">
      <c r="A424" s="27" t="s">
        <v>42</v>
      </c>
      <c r="B424" s="27" t="s">
        <v>1316</v>
      </c>
      <c r="C424" s="27" t="s">
        <v>1317</v>
      </c>
      <c r="D424" s="27" t="s">
        <v>1318</v>
      </c>
      <c r="E424" s="28" t="s">
        <v>46</v>
      </c>
      <c r="F424" s="29" t="s">
        <v>46</v>
      </c>
      <c r="G424" s="30" t="s">
        <v>46</v>
      </c>
      <c r="H424" s="31"/>
      <c r="I424" s="31" t="s">
        <v>47</v>
      </c>
      <c r="J424" s="32" t="n">
        <v>1.0</v>
      </c>
      <c r="K424" s="33" t="n">
        <f>2120</f>
        <v>2120.0</v>
      </c>
      <c r="L424" s="34" t="s">
        <v>48</v>
      </c>
      <c r="M424" s="33" t="n">
        <f>2210</f>
        <v>2210.0</v>
      </c>
      <c r="N424" s="34" t="s">
        <v>199</v>
      </c>
      <c r="O424" s="33" t="n">
        <f>2067</f>
        <v>2067.0</v>
      </c>
      <c r="P424" s="34" t="s">
        <v>116</v>
      </c>
      <c r="Q424" s="33" t="n">
        <f>2162</f>
        <v>2162.0</v>
      </c>
      <c r="R424" s="34" t="s">
        <v>51</v>
      </c>
      <c r="S424" s="35" t="n">
        <f>2148.1</f>
        <v>2148.1</v>
      </c>
      <c r="T424" s="32" t="n">
        <f>21437</f>
        <v>21437.0</v>
      </c>
      <c r="U424" s="32" t="n">
        <f>9200</f>
        <v>9200.0</v>
      </c>
      <c r="V424" s="32" t="n">
        <f>46106007</f>
        <v>4.6106007E7</v>
      </c>
      <c r="W424" s="32" t="n">
        <f>19859672</f>
        <v>1.9859672E7</v>
      </c>
      <c r="X424" s="36" t="n">
        <f>20</f>
        <v>20.0</v>
      </c>
    </row>
    <row r="425">
      <c r="A425" s="27" t="s">
        <v>42</v>
      </c>
      <c r="B425" s="27" t="s">
        <v>1319</v>
      </c>
      <c r="C425" s="27" t="s">
        <v>1320</v>
      </c>
      <c r="D425" s="27" t="s">
        <v>1321</v>
      </c>
      <c r="E425" s="28" t="s">
        <v>46</v>
      </c>
      <c r="F425" s="29" t="s">
        <v>46</v>
      </c>
      <c r="G425" s="30" t="s">
        <v>46</v>
      </c>
      <c r="H425" s="31"/>
      <c r="I425" s="31" t="s">
        <v>47</v>
      </c>
      <c r="J425" s="32" t="n">
        <v>1.0</v>
      </c>
      <c r="K425" s="33" t="n">
        <f>2110</f>
        <v>2110.0</v>
      </c>
      <c r="L425" s="34" t="s">
        <v>48</v>
      </c>
      <c r="M425" s="33" t="n">
        <f>2151</f>
        <v>2151.0</v>
      </c>
      <c r="N425" s="34" t="s">
        <v>81</v>
      </c>
      <c r="O425" s="33" t="n">
        <f>2043</f>
        <v>2043.0</v>
      </c>
      <c r="P425" s="34" t="s">
        <v>50</v>
      </c>
      <c r="Q425" s="33" t="n">
        <f>2111</f>
        <v>2111.0</v>
      </c>
      <c r="R425" s="34" t="s">
        <v>51</v>
      </c>
      <c r="S425" s="35" t="n">
        <f>2109.5</f>
        <v>2109.5</v>
      </c>
      <c r="T425" s="32" t="n">
        <f>140102</f>
        <v>140102.0</v>
      </c>
      <c r="U425" s="32" t="str">
        <f>"－"</f>
        <v>－</v>
      </c>
      <c r="V425" s="32" t="n">
        <f>294776976</f>
        <v>2.94776976E8</v>
      </c>
      <c r="W425" s="32" t="str">
        <f>"－"</f>
        <v>－</v>
      </c>
      <c r="X425" s="36" t="n">
        <f>20</f>
        <v>20.0</v>
      </c>
    </row>
    <row r="426">
      <c r="A426" s="27" t="s">
        <v>42</v>
      </c>
      <c r="B426" s="27" t="s">
        <v>1322</v>
      </c>
      <c r="C426" s="27" t="s">
        <v>1323</v>
      </c>
      <c r="D426" s="27" t="s">
        <v>1324</v>
      </c>
      <c r="E426" s="28" t="s">
        <v>46</v>
      </c>
      <c r="F426" s="29" t="s">
        <v>46</v>
      </c>
      <c r="G426" s="30" t="s">
        <v>46</v>
      </c>
      <c r="H426" s="31"/>
      <c r="I426" s="31" t="s">
        <v>47</v>
      </c>
      <c r="J426" s="32" t="n">
        <v>1.0</v>
      </c>
      <c r="K426" s="33" t="n">
        <f>5008</f>
        <v>5008.0</v>
      </c>
      <c r="L426" s="34" t="s">
        <v>48</v>
      </c>
      <c r="M426" s="33" t="n">
        <f>5158</f>
        <v>5158.0</v>
      </c>
      <c r="N426" s="34" t="s">
        <v>156</v>
      </c>
      <c r="O426" s="33" t="n">
        <f>5008</f>
        <v>5008.0</v>
      </c>
      <c r="P426" s="34" t="s">
        <v>48</v>
      </c>
      <c r="Q426" s="33" t="n">
        <f>5038</f>
        <v>5038.0</v>
      </c>
      <c r="R426" s="34" t="s">
        <v>77</v>
      </c>
      <c r="S426" s="35" t="n">
        <f>5031.13</f>
        <v>5031.13</v>
      </c>
      <c r="T426" s="32" t="n">
        <f>1767</f>
        <v>1767.0</v>
      </c>
      <c r="U426" s="32" t="str">
        <f>"－"</f>
        <v>－</v>
      </c>
      <c r="V426" s="32" t="n">
        <f>8899766</f>
        <v>8899766.0</v>
      </c>
      <c r="W426" s="32" t="str">
        <f>"－"</f>
        <v>－</v>
      </c>
      <c r="X426" s="36" t="n">
        <f>15</f>
        <v>15.0</v>
      </c>
    </row>
    <row r="427">
      <c r="A427" s="27" t="s">
        <v>42</v>
      </c>
      <c r="B427" s="27" t="s">
        <v>1325</v>
      </c>
      <c r="C427" s="27" t="s">
        <v>1326</v>
      </c>
      <c r="D427" s="27" t="s">
        <v>1327</v>
      </c>
      <c r="E427" s="28" t="s">
        <v>46</v>
      </c>
      <c r="F427" s="29" t="s">
        <v>46</v>
      </c>
      <c r="G427" s="30" t="s">
        <v>46</v>
      </c>
      <c r="H427" s="31"/>
      <c r="I427" s="31" t="s">
        <v>47</v>
      </c>
      <c r="J427" s="32" t="n">
        <v>1.0</v>
      </c>
      <c r="K427" s="33" t="n">
        <f>1092</f>
        <v>1092.0</v>
      </c>
      <c r="L427" s="34" t="s">
        <v>48</v>
      </c>
      <c r="M427" s="33" t="n">
        <f>1107</f>
        <v>1107.0</v>
      </c>
      <c r="N427" s="34" t="s">
        <v>86</v>
      </c>
      <c r="O427" s="33" t="n">
        <f>1051</f>
        <v>1051.0</v>
      </c>
      <c r="P427" s="34" t="s">
        <v>50</v>
      </c>
      <c r="Q427" s="33" t="n">
        <f>1093</f>
        <v>1093.0</v>
      </c>
      <c r="R427" s="34" t="s">
        <v>51</v>
      </c>
      <c r="S427" s="35" t="n">
        <f>1079.95</f>
        <v>1079.95</v>
      </c>
      <c r="T427" s="32" t="n">
        <f>46215</f>
        <v>46215.0</v>
      </c>
      <c r="U427" s="32" t="str">
        <f>"－"</f>
        <v>－</v>
      </c>
      <c r="V427" s="32" t="n">
        <f>49968868</f>
        <v>4.9968868E7</v>
      </c>
      <c r="W427" s="32" t="str">
        <f>"－"</f>
        <v>－</v>
      </c>
      <c r="X427" s="36" t="n">
        <f>20</f>
        <v>20.0</v>
      </c>
    </row>
    <row r="428">
      <c r="A428" s="27" t="s">
        <v>42</v>
      </c>
      <c r="B428" s="27" t="s">
        <v>1328</v>
      </c>
      <c r="C428" s="27" t="s">
        <v>1329</v>
      </c>
      <c r="D428" s="27" t="s">
        <v>1330</v>
      </c>
      <c r="E428" s="28" t="s">
        <v>46</v>
      </c>
      <c r="F428" s="29" t="s">
        <v>46</v>
      </c>
      <c r="G428" s="30" t="s">
        <v>46</v>
      </c>
      <c r="H428" s="31"/>
      <c r="I428" s="31" t="s">
        <v>47</v>
      </c>
      <c r="J428" s="32" t="n">
        <v>1.0</v>
      </c>
      <c r="K428" s="33" t="n">
        <f>1093</f>
        <v>1093.0</v>
      </c>
      <c r="L428" s="34" t="s">
        <v>48</v>
      </c>
      <c r="M428" s="33" t="n">
        <f>1170</f>
        <v>1170.0</v>
      </c>
      <c r="N428" s="34" t="s">
        <v>77</v>
      </c>
      <c r="O428" s="33" t="n">
        <f>1044</f>
        <v>1044.0</v>
      </c>
      <c r="P428" s="34" t="s">
        <v>50</v>
      </c>
      <c r="Q428" s="33" t="n">
        <f>1122</f>
        <v>1122.0</v>
      </c>
      <c r="R428" s="34" t="s">
        <v>51</v>
      </c>
      <c r="S428" s="35" t="n">
        <f>1097.45</f>
        <v>1097.45</v>
      </c>
      <c r="T428" s="32" t="n">
        <f>1153756</f>
        <v>1153756.0</v>
      </c>
      <c r="U428" s="32" t="str">
        <f>"－"</f>
        <v>－</v>
      </c>
      <c r="V428" s="32" t="n">
        <f>1257152210</f>
        <v>1.25715221E9</v>
      </c>
      <c r="W428" s="32" t="str">
        <f>"－"</f>
        <v>－</v>
      </c>
      <c r="X428" s="36" t="n">
        <f>20</f>
        <v>20.0</v>
      </c>
    </row>
    <row r="429">
      <c r="A429" s="27" t="s">
        <v>42</v>
      </c>
      <c r="B429" s="27" t="s">
        <v>1331</v>
      </c>
      <c r="C429" s="27" t="s">
        <v>1332</v>
      </c>
      <c r="D429" s="27" t="s">
        <v>1333</v>
      </c>
      <c r="E429" s="28" t="s">
        <v>46</v>
      </c>
      <c r="F429" s="29" t="s">
        <v>46</v>
      </c>
      <c r="G429" s="30" t="s">
        <v>46</v>
      </c>
      <c r="H429" s="31"/>
      <c r="I429" s="31" t="s">
        <v>47</v>
      </c>
      <c r="J429" s="32" t="n">
        <v>1.0</v>
      </c>
      <c r="K429" s="33" t="n">
        <f>2071</f>
        <v>2071.0</v>
      </c>
      <c r="L429" s="34" t="s">
        <v>48</v>
      </c>
      <c r="M429" s="33" t="n">
        <f>2071</f>
        <v>2071.0</v>
      </c>
      <c r="N429" s="34" t="s">
        <v>48</v>
      </c>
      <c r="O429" s="33" t="n">
        <f>2031</f>
        <v>2031.0</v>
      </c>
      <c r="P429" s="34" t="s">
        <v>100</v>
      </c>
      <c r="Q429" s="33" t="n">
        <f>2050</f>
        <v>2050.0</v>
      </c>
      <c r="R429" s="34" t="s">
        <v>51</v>
      </c>
      <c r="S429" s="35" t="n">
        <f>2045.44</f>
        <v>2045.44</v>
      </c>
      <c r="T429" s="32" t="n">
        <f>532592</f>
        <v>532592.0</v>
      </c>
      <c r="U429" s="32" t="n">
        <f>488000</f>
        <v>488000.0</v>
      </c>
      <c r="V429" s="32" t="n">
        <f>1090431713</f>
        <v>1.090431713E9</v>
      </c>
      <c r="W429" s="32" t="n">
        <f>999452624</f>
        <v>9.99452624E8</v>
      </c>
      <c r="X429" s="36" t="n">
        <f>16</f>
        <v>16.0</v>
      </c>
    </row>
    <row r="430">
      <c r="A430" s="27" t="s">
        <v>42</v>
      </c>
      <c r="B430" s="27" t="s">
        <v>1334</v>
      </c>
      <c r="C430" s="27" t="s">
        <v>1335</v>
      </c>
      <c r="D430" s="27" t="s">
        <v>1336</v>
      </c>
      <c r="E430" s="28" t="s">
        <v>46</v>
      </c>
      <c r="F430" s="29" t="s">
        <v>46</v>
      </c>
      <c r="G430" s="30" t="s">
        <v>46</v>
      </c>
      <c r="H430" s="31"/>
      <c r="I430" s="31" t="s">
        <v>47</v>
      </c>
      <c r="J430" s="32" t="n">
        <v>1.0</v>
      </c>
      <c r="K430" s="33" t="n">
        <f>1995</f>
        <v>1995.0</v>
      </c>
      <c r="L430" s="34" t="s">
        <v>48</v>
      </c>
      <c r="M430" s="33" t="n">
        <f>2118</f>
        <v>2118.0</v>
      </c>
      <c r="N430" s="34" t="s">
        <v>51</v>
      </c>
      <c r="O430" s="33" t="n">
        <f>1995</f>
        <v>1995.0</v>
      </c>
      <c r="P430" s="34" t="s">
        <v>48</v>
      </c>
      <c r="Q430" s="33" t="n">
        <f>2118</f>
        <v>2118.0</v>
      </c>
      <c r="R430" s="34" t="s">
        <v>51</v>
      </c>
      <c r="S430" s="35" t="n">
        <f>2018</f>
        <v>2018.0</v>
      </c>
      <c r="T430" s="32" t="n">
        <f>2074640</f>
        <v>2074640.0</v>
      </c>
      <c r="U430" s="32" t="n">
        <f>2000000</f>
        <v>2000000.0</v>
      </c>
      <c r="V430" s="32" t="n">
        <f>4163074861</f>
        <v>4.163074861E9</v>
      </c>
      <c r="W430" s="32" t="n">
        <f>4012925000</f>
        <v>4.012925E9</v>
      </c>
      <c r="X430" s="36" t="n">
        <f>15</f>
        <v>15.0</v>
      </c>
    </row>
    <row r="431">
      <c r="A431" s="27" t="s">
        <v>42</v>
      </c>
      <c r="B431" s="27" t="s">
        <v>1337</v>
      </c>
      <c r="C431" s="27" t="s">
        <v>1338</v>
      </c>
      <c r="D431" s="27" t="s">
        <v>1339</v>
      </c>
      <c r="E431" s="28" t="s">
        <v>46</v>
      </c>
      <c r="F431" s="29" t="s">
        <v>46</v>
      </c>
      <c r="G431" s="30" t="s">
        <v>46</v>
      </c>
      <c r="H431" s="31"/>
      <c r="I431" s="31" t="s">
        <v>47</v>
      </c>
      <c r="J431" s="32" t="n">
        <v>1.0</v>
      </c>
      <c r="K431" s="33" t="n">
        <f>2085</f>
        <v>2085.0</v>
      </c>
      <c r="L431" s="34" t="s">
        <v>48</v>
      </c>
      <c r="M431" s="33" t="n">
        <f>2150</f>
        <v>2150.0</v>
      </c>
      <c r="N431" s="34" t="s">
        <v>458</v>
      </c>
      <c r="O431" s="33" t="n">
        <f>2043</f>
        <v>2043.0</v>
      </c>
      <c r="P431" s="34" t="s">
        <v>50</v>
      </c>
      <c r="Q431" s="33" t="n">
        <f>2116</f>
        <v>2116.0</v>
      </c>
      <c r="R431" s="34" t="s">
        <v>51</v>
      </c>
      <c r="S431" s="35" t="n">
        <f>2098.1</f>
        <v>2098.1</v>
      </c>
      <c r="T431" s="32" t="n">
        <f>246962</f>
        <v>246962.0</v>
      </c>
      <c r="U431" s="32" t="str">
        <f>"－"</f>
        <v>－</v>
      </c>
      <c r="V431" s="32" t="n">
        <f>517407464</f>
        <v>5.17407464E8</v>
      </c>
      <c r="W431" s="32" t="str">
        <f>"－"</f>
        <v>－</v>
      </c>
      <c r="X431" s="36" t="n">
        <f>20</f>
        <v>20.0</v>
      </c>
    </row>
    <row r="432">
      <c r="A432" s="27" t="s">
        <v>42</v>
      </c>
      <c r="B432" s="27" t="s">
        <v>1340</v>
      </c>
      <c r="C432" s="27" t="s">
        <v>1341</v>
      </c>
      <c r="D432" s="27" t="s">
        <v>1342</v>
      </c>
      <c r="E432" s="28" t="s">
        <v>46</v>
      </c>
      <c r="F432" s="29" t="s">
        <v>46</v>
      </c>
      <c r="G432" s="30" t="s">
        <v>46</v>
      </c>
      <c r="H432" s="31"/>
      <c r="I432" s="31" t="s">
        <v>414</v>
      </c>
      <c r="J432" s="32" t="n">
        <v>10.0</v>
      </c>
      <c r="K432" s="33" t="n">
        <f>205</f>
        <v>205.0</v>
      </c>
      <c r="L432" s="34" t="s">
        <v>48</v>
      </c>
      <c r="M432" s="33" t="n">
        <f>208.1</f>
        <v>208.1</v>
      </c>
      <c r="N432" s="34" t="s">
        <v>221</v>
      </c>
      <c r="O432" s="33" t="n">
        <f>195</f>
        <v>195.0</v>
      </c>
      <c r="P432" s="34" t="s">
        <v>50</v>
      </c>
      <c r="Q432" s="33" t="n">
        <f>204.4</f>
        <v>204.4</v>
      </c>
      <c r="R432" s="34" t="s">
        <v>51</v>
      </c>
      <c r="S432" s="35" t="n">
        <f>203.52</f>
        <v>203.52</v>
      </c>
      <c r="T432" s="32" t="n">
        <f>8927650</f>
        <v>8927650.0</v>
      </c>
      <c r="U432" s="32" t="n">
        <f>8700</f>
        <v>8700.0</v>
      </c>
      <c r="V432" s="32" t="n">
        <f>1809363128</f>
        <v>1.809363128E9</v>
      </c>
      <c r="W432" s="32" t="n">
        <f>1772629</f>
        <v>1772629.0</v>
      </c>
      <c r="X432" s="36" t="n">
        <f>20</f>
        <v>20.0</v>
      </c>
    </row>
    <row r="433">
      <c r="A433" s="27" t="s">
        <v>42</v>
      </c>
      <c r="B433" s="27" t="s">
        <v>1343</v>
      </c>
      <c r="C433" s="27" t="s">
        <v>1344</v>
      </c>
      <c r="D433" s="27" t="s">
        <v>1345</v>
      </c>
      <c r="E433" s="28" t="s">
        <v>46</v>
      </c>
      <c r="F433" s="29" t="s">
        <v>46</v>
      </c>
      <c r="G433" s="30" t="s">
        <v>46</v>
      </c>
      <c r="H433" s="31"/>
      <c r="I433" s="31" t="s">
        <v>414</v>
      </c>
      <c r="J433" s="32" t="n">
        <v>10.0</v>
      </c>
      <c r="K433" s="33" t="n">
        <f>510</f>
        <v>510.0</v>
      </c>
      <c r="L433" s="34" t="s">
        <v>48</v>
      </c>
      <c r="M433" s="33" t="n">
        <f>600.1</f>
        <v>600.1</v>
      </c>
      <c r="N433" s="34" t="s">
        <v>50</v>
      </c>
      <c r="O433" s="33" t="n">
        <f>505.1</f>
        <v>505.1</v>
      </c>
      <c r="P433" s="34" t="s">
        <v>48</v>
      </c>
      <c r="Q433" s="33" t="n">
        <f>540</f>
        <v>540.0</v>
      </c>
      <c r="R433" s="34" t="s">
        <v>51</v>
      </c>
      <c r="S433" s="35" t="n">
        <f>538.19</f>
        <v>538.19</v>
      </c>
      <c r="T433" s="32" t="n">
        <f>54840</f>
        <v>54840.0</v>
      </c>
      <c r="U433" s="32" t="str">
        <f>"－"</f>
        <v>－</v>
      </c>
      <c r="V433" s="32" t="n">
        <f>29448772</f>
        <v>2.9448772E7</v>
      </c>
      <c r="W433" s="32" t="str">
        <f>"－"</f>
        <v>－</v>
      </c>
      <c r="X433" s="36" t="n">
        <f>20</f>
        <v>20.0</v>
      </c>
    </row>
    <row r="434">
      <c r="A434" s="27" t="s">
        <v>42</v>
      </c>
      <c r="B434" s="27" t="s">
        <v>1346</v>
      </c>
      <c r="C434" s="27" t="s">
        <v>1347</v>
      </c>
      <c r="D434" s="27" t="s">
        <v>1348</v>
      </c>
      <c r="E434" s="28" t="s">
        <v>46</v>
      </c>
      <c r="F434" s="29" t="s">
        <v>46</v>
      </c>
      <c r="G434" s="30" t="s">
        <v>46</v>
      </c>
      <c r="H434" s="31"/>
      <c r="I434" s="31" t="s">
        <v>414</v>
      </c>
      <c r="J434" s="32" t="n">
        <v>10.0</v>
      </c>
      <c r="K434" s="33" t="n">
        <f>525</f>
        <v>525.0</v>
      </c>
      <c r="L434" s="34" t="s">
        <v>48</v>
      </c>
      <c r="M434" s="33" t="n">
        <f>587.1</f>
        <v>587.1</v>
      </c>
      <c r="N434" s="34" t="s">
        <v>199</v>
      </c>
      <c r="O434" s="33" t="n">
        <f>504</f>
        <v>504.0</v>
      </c>
      <c r="P434" s="34" t="s">
        <v>50</v>
      </c>
      <c r="Q434" s="33" t="n">
        <f>565.1</f>
        <v>565.1</v>
      </c>
      <c r="R434" s="34" t="s">
        <v>51</v>
      </c>
      <c r="S434" s="35" t="n">
        <f>547.74</f>
        <v>547.74</v>
      </c>
      <c r="T434" s="32" t="n">
        <f>292920</f>
        <v>292920.0</v>
      </c>
      <c r="U434" s="32" t="str">
        <f>"－"</f>
        <v>－</v>
      </c>
      <c r="V434" s="32" t="n">
        <f>161680301</f>
        <v>1.61680301E8</v>
      </c>
      <c r="W434" s="32" t="str">
        <f>"－"</f>
        <v>－</v>
      </c>
      <c r="X434" s="36" t="n">
        <f>20</f>
        <v>20.0</v>
      </c>
    </row>
    <row r="435">
      <c r="A435" s="27" t="s">
        <v>42</v>
      </c>
      <c r="B435" s="27" t="s">
        <v>1349</v>
      </c>
      <c r="C435" s="27" t="s">
        <v>1350</v>
      </c>
      <c r="D435" s="27" t="s">
        <v>1351</v>
      </c>
      <c r="E435" s="28" t="s">
        <v>46</v>
      </c>
      <c r="F435" s="29" t="s">
        <v>46</v>
      </c>
      <c r="G435" s="30" t="s">
        <v>46</v>
      </c>
      <c r="H435" s="31"/>
      <c r="I435" s="31" t="s">
        <v>414</v>
      </c>
      <c r="J435" s="32" t="n">
        <v>10.0</v>
      </c>
      <c r="K435" s="33" t="n">
        <f>511.7</f>
        <v>511.7</v>
      </c>
      <c r="L435" s="34" t="s">
        <v>48</v>
      </c>
      <c r="M435" s="33" t="n">
        <f>606.8</f>
        <v>606.8</v>
      </c>
      <c r="N435" s="34" t="s">
        <v>51</v>
      </c>
      <c r="O435" s="33" t="n">
        <f>509.3</f>
        <v>509.3</v>
      </c>
      <c r="P435" s="34" t="s">
        <v>48</v>
      </c>
      <c r="Q435" s="33" t="n">
        <f>526.1</f>
        <v>526.1</v>
      </c>
      <c r="R435" s="34" t="s">
        <v>51</v>
      </c>
      <c r="S435" s="35" t="n">
        <f>521.92</f>
        <v>521.92</v>
      </c>
      <c r="T435" s="32" t="n">
        <f>78000</f>
        <v>78000.0</v>
      </c>
      <c r="U435" s="32" t="str">
        <f>"－"</f>
        <v>－</v>
      </c>
      <c r="V435" s="32" t="n">
        <f>40588015</f>
        <v>4.0588015E7</v>
      </c>
      <c r="W435" s="32" t="str">
        <f>"－"</f>
        <v>－</v>
      </c>
      <c r="X435" s="36" t="n">
        <f>20</f>
        <v>20.0</v>
      </c>
    </row>
    <row r="436">
      <c r="A436" s="27" t="s">
        <v>42</v>
      </c>
      <c r="B436" s="27" t="s">
        <v>1352</v>
      </c>
      <c r="C436" s="27" t="s">
        <v>1353</v>
      </c>
      <c r="D436" s="27" t="s">
        <v>1354</v>
      </c>
      <c r="E436" s="28" t="s">
        <v>46</v>
      </c>
      <c r="F436" s="29" t="s">
        <v>46</v>
      </c>
      <c r="G436" s="30" t="s">
        <v>46</v>
      </c>
      <c r="H436" s="31"/>
      <c r="I436" s="31" t="s">
        <v>414</v>
      </c>
      <c r="J436" s="32" t="n">
        <v>1.0</v>
      </c>
      <c r="K436" s="33" t="n">
        <f>1569</f>
        <v>1569.0</v>
      </c>
      <c r="L436" s="34" t="s">
        <v>48</v>
      </c>
      <c r="M436" s="33" t="n">
        <f>1695</f>
        <v>1695.0</v>
      </c>
      <c r="N436" s="34" t="s">
        <v>199</v>
      </c>
      <c r="O436" s="33" t="n">
        <f>1535</f>
        <v>1535.0</v>
      </c>
      <c r="P436" s="34" t="s">
        <v>50</v>
      </c>
      <c r="Q436" s="33" t="n">
        <f>1670</f>
        <v>1670.0</v>
      </c>
      <c r="R436" s="34" t="s">
        <v>51</v>
      </c>
      <c r="S436" s="35" t="n">
        <f>1631.2</f>
        <v>1631.2</v>
      </c>
      <c r="T436" s="32" t="n">
        <f>1251147</f>
        <v>1251147.0</v>
      </c>
      <c r="U436" s="32" t="n">
        <f>80100</f>
        <v>80100.0</v>
      </c>
      <c r="V436" s="32" t="n">
        <f>2027073406</f>
        <v>2.027073406E9</v>
      </c>
      <c r="W436" s="32" t="n">
        <f>126815860</f>
        <v>1.2681586E8</v>
      </c>
      <c r="X436" s="36" t="n">
        <f>20</f>
        <v>20.0</v>
      </c>
    </row>
    <row r="437">
      <c r="A437" s="27" t="s">
        <v>42</v>
      </c>
      <c r="B437" s="27" t="s">
        <v>1355</v>
      </c>
      <c r="C437" s="27" t="s">
        <v>1356</v>
      </c>
      <c r="D437" s="27" t="s">
        <v>1357</v>
      </c>
      <c r="E437" s="28" t="s">
        <v>1358</v>
      </c>
      <c r="F437" s="29" t="s">
        <v>1359</v>
      </c>
      <c r="G437" s="30" t="s">
        <v>1360</v>
      </c>
      <c r="H437" s="31"/>
      <c r="I437" s="31" t="s">
        <v>414</v>
      </c>
      <c r="J437" s="32" t="n">
        <v>1.0</v>
      </c>
      <c r="K437" s="33" t="n">
        <f>103800</f>
        <v>103800.0</v>
      </c>
      <c r="L437" s="34" t="s">
        <v>221</v>
      </c>
      <c r="M437" s="33" t="n">
        <f>110700</f>
        <v>110700.0</v>
      </c>
      <c r="N437" s="34" t="s">
        <v>51</v>
      </c>
      <c r="O437" s="33" t="n">
        <f>101500</f>
        <v>101500.0</v>
      </c>
      <c r="P437" s="34" t="s">
        <v>221</v>
      </c>
      <c r="Q437" s="33" t="n">
        <f>110700</f>
        <v>110700.0</v>
      </c>
      <c r="R437" s="34" t="s">
        <v>51</v>
      </c>
      <c r="S437" s="35" t="n">
        <f>105561.54</f>
        <v>105561.54</v>
      </c>
      <c r="T437" s="32" t="n">
        <f>167121</f>
        <v>167121.0</v>
      </c>
      <c r="U437" s="32" t="n">
        <f>1689</f>
        <v>1689.0</v>
      </c>
      <c r="V437" s="32" t="n">
        <f>17451126016</f>
        <v>1.7451126016E10</v>
      </c>
      <c r="W437" s="32" t="n">
        <f>178123816</f>
        <v>1.78123816E8</v>
      </c>
      <c r="X437" s="36" t="n">
        <f>13</f>
        <v>13.0</v>
      </c>
    </row>
    <row r="438">
      <c r="A438" s="27" t="s">
        <v>42</v>
      </c>
      <c r="B438" s="27" t="s">
        <v>1361</v>
      </c>
      <c r="C438" s="27" t="s">
        <v>1362</v>
      </c>
      <c r="D438" s="27" t="s">
        <v>1363</v>
      </c>
      <c r="E438" s="28" t="s">
        <v>1358</v>
      </c>
      <c r="F438" s="29" t="s">
        <v>1359</v>
      </c>
      <c r="G438" s="30" t="s">
        <v>1364</v>
      </c>
      <c r="H438" s="31"/>
      <c r="I438" s="31" t="s">
        <v>414</v>
      </c>
      <c r="J438" s="32" t="n">
        <v>1.0</v>
      </c>
      <c r="K438" s="33" t="n">
        <f>983</f>
        <v>983.0</v>
      </c>
      <c r="L438" s="34" t="s">
        <v>86</v>
      </c>
      <c r="M438" s="33" t="n">
        <f>1112</f>
        <v>1112.0</v>
      </c>
      <c r="N438" s="34" t="s">
        <v>51</v>
      </c>
      <c r="O438" s="33" t="n">
        <f>975</f>
        <v>975.0</v>
      </c>
      <c r="P438" s="34" t="s">
        <v>86</v>
      </c>
      <c r="Q438" s="33" t="n">
        <f>1103</f>
        <v>1103.0</v>
      </c>
      <c r="R438" s="34" t="s">
        <v>51</v>
      </c>
      <c r="S438" s="35" t="n">
        <f>1062.25</f>
        <v>1062.25</v>
      </c>
      <c r="T438" s="32" t="n">
        <f>1079597</f>
        <v>1079597.0</v>
      </c>
      <c r="U438" s="32" t="str">
        <f>"－"</f>
        <v>－</v>
      </c>
      <c r="V438" s="32" t="n">
        <f>1143326346</f>
        <v>1.143326346E9</v>
      </c>
      <c r="W438" s="32" t="str">
        <f>"－"</f>
        <v>－</v>
      </c>
      <c r="X438" s="36" t="n">
        <f>8</f>
        <v>8.0</v>
      </c>
    </row>
    <row r="439">
      <c r="A439" s="27" t="s">
        <v>42</v>
      </c>
      <c r="B439" s="27" t="s">
        <v>1365</v>
      </c>
      <c r="C439" s="27" t="s">
        <v>1366</v>
      </c>
      <c r="D439" s="27" t="s">
        <v>1367</v>
      </c>
      <c r="E439" s="28" t="s">
        <v>46</v>
      </c>
      <c r="F439" s="29" t="s">
        <v>46</v>
      </c>
      <c r="G439" s="30" t="s">
        <v>46</v>
      </c>
      <c r="H439" s="31"/>
      <c r="I439" s="31" t="s">
        <v>47</v>
      </c>
      <c r="J439" s="32" t="n">
        <v>1.0</v>
      </c>
      <c r="K439" s="33" t="n">
        <f>138600</f>
        <v>138600.0</v>
      </c>
      <c r="L439" s="34" t="s">
        <v>48</v>
      </c>
      <c r="M439" s="33" t="n">
        <f>150000</f>
        <v>150000.0</v>
      </c>
      <c r="N439" s="34" t="s">
        <v>86</v>
      </c>
      <c r="O439" s="33" t="n">
        <f>137900</f>
        <v>137900.0</v>
      </c>
      <c r="P439" s="34" t="s">
        <v>100</v>
      </c>
      <c r="Q439" s="33" t="n">
        <f>142200</f>
        <v>142200.0</v>
      </c>
      <c r="R439" s="34" t="s">
        <v>51</v>
      </c>
      <c r="S439" s="35" t="n">
        <f>141995</f>
        <v>141995.0</v>
      </c>
      <c r="T439" s="32" t="n">
        <f>586734</f>
        <v>586734.0</v>
      </c>
      <c r="U439" s="32" t="n">
        <f>140025</f>
        <v>140025.0</v>
      </c>
      <c r="V439" s="32" t="n">
        <f>83326423982</f>
        <v>8.3326423982E10</v>
      </c>
      <c r="W439" s="32" t="n">
        <f>19904607282</f>
        <v>1.9904607282E10</v>
      </c>
      <c r="X439" s="36" t="n">
        <f>20</f>
        <v>20.0</v>
      </c>
    </row>
    <row r="440">
      <c r="A440" s="27" t="s">
        <v>42</v>
      </c>
      <c r="B440" s="27" t="s">
        <v>1368</v>
      </c>
      <c r="C440" s="27" t="s">
        <v>1369</v>
      </c>
      <c r="D440" s="27" t="s">
        <v>1370</v>
      </c>
      <c r="E440" s="28" t="s">
        <v>46</v>
      </c>
      <c r="F440" s="29" t="s">
        <v>46</v>
      </c>
      <c r="G440" s="30" t="s">
        <v>46</v>
      </c>
      <c r="H440" s="31"/>
      <c r="I440" s="31" t="s">
        <v>47</v>
      </c>
      <c r="J440" s="32" t="n">
        <v>1.0</v>
      </c>
      <c r="K440" s="33" t="n">
        <f>123300</f>
        <v>123300.0</v>
      </c>
      <c r="L440" s="34" t="s">
        <v>48</v>
      </c>
      <c r="M440" s="33" t="n">
        <f>130800</f>
        <v>130800.0</v>
      </c>
      <c r="N440" s="34" t="s">
        <v>292</v>
      </c>
      <c r="O440" s="33" t="n">
        <f>122400</f>
        <v>122400.0</v>
      </c>
      <c r="P440" s="34" t="s">
        <v>50</v>
      </c>
      <c r="Q440" s="33" t="n">
        <f>127900</f>
        <v>127900.0</v>
      </c>
      <c r="R440" s="34" t="s">
        <v>51</v>
      </c>
      <c r="S440" s="35" t="n">
        <f>127400</f>
        <v>127400.0</v>
      </c>
      <c r="T440" s="32" t="n">
        <f>503540</f>
        <v>503540.0</v>
      </c>
      <c r="U440" s="32" t="n">
        <f>133483</f>
        <v>133483.0</v>
      </c>
      <c r="V440" s="32" t="n">
        <f>64261311136</f>
        <v>6.4261311136E10</v>
      </c>
      <c r="W440" s="32" t="n">
        <f>17046284436</f>
        <v>1.7046284436E10</v>
      </c>
      <c r="X440" s="36" t="n">
        <f>20</f>
        <v>20.0</v>
      </c>
    </row>
    <row r="441">
      <c r="A441" s="27" t="s">
        <v>42</v>
      </c>
      <c r="B441" s="27" t="s">
        <v>1371</v>
      </c>
      <c r="C441" s="27" t="s">
        <v>1372</v>
      </c>
      <c r="D441" s="27" t="s">
        <v>1373</v>
      </c>
      <c r="E441" s="28" t="s">
        <v>46</v>
      </c>
      <c r="F441" s="29" t="s">
        <v>46</v>
      </c>
      <c r="G441" s="30" t="s">
        <v>46</v>
      </c>
      <c r="H441" s="31"/>
      <c r="I441" s="31" t="s">
        <v>47</v>
      </c>
      <c r="J441" s="32" t="n">
        <v>1.0</v>
      </c>
      <c r="K441" s="33" t="n">
        <f>110000</f>
        <v>110000.0</v>
      </c>
      <c r="L441" s="34" t="s">
        <v>48</v>
      </c>
      <c r="M441" s="33" t="n">
        <f>115500</f>
        <v>115500.0</v>
      </c>
      <c r="N441" s="34" t="s">
        <v>86</v>
      </c>
      <c r="O441" s="33" t="n">
        <f>109100</f>
        <v>109100.0</v>
      </c>
      <c r="P441" s="34" t="s">
        <v>48</v>
      </c>
      <c r="Q441" s="33" t="n">
        <f>111900</f>
        <v>111900.0</v>
      </c>
      <c r="R441" s="34" t="s">
        <v>51</v>
      </c>
      <c r="S441" s="35" t="n">
        <f>112720</f>
        <v>112720.0</v>
      </c>
      <c r="T441" s="32" t="n">
        <f>455022</f>
        <v>455022.0</v>
      </c>
      <c r="U441" s="32" t="n">
        <f>97060</f>
        <v>97060.0</v>
      </c>
      <c r="V441" s="32" t="n">
        <f>51280255836</f>
        <v>5.1280255836E10</v>
      </c>
      <c r="W441" s="32" t="n">
        <f>10947059836</f>
        <v>1.0947059836E10</v>
      </c>
      <c r="X441" s="36" t="n">
        <f>20</f>
        <v>20.0</v>
      </c>
    </row>
    <row r="442">
      <c r="A442" s="27" t="s">
        <v>42</v>
      </c>
      <c r="B442" s="27" t="s">
        <v>1374</v>
      </c>
      <c r="C442" s="27" t="s">
        <v>1375</v>
      </c>
      <c r="D442" s="27" t="s">
        <v>1376</v>
      </c>
      <c r="E442" s="28" t="s">
        <v>1236</v>
      </c>
      <c r="F442" s="29" t="s">
        <v>1237</v>
      </c>
      <c r="G442" s="30" t="s">
        <v>46</v>
      </c>
      <c r="H442" s="31"/>
      <c r="I442" s="31" t="s">
        <v>47</v>
      </c>
      <c r="J442" s="32" t="n">
        <v>1.0</v>
      </c>
      <c r="K442" s="33" t="n">
        <f>197700</f>
        <v>197700.0</v>
      </c>
      <c r="L442" s="34" t="s">
        <v>48</v>
      </c>
      <c r="M442" s="33" t="n">
        <f>203400</f>
        <v>203400.0</v>
      </c>
      <c r="N442" s="34" t="s">
        <v>86</v>
      </c>
      <c r="O442" s="33" t="n">
        <f>197500</f>
        <v>197500.0</v>
      </c>
      <c r="P442" s="34" t="s">
        <v>50</v>
      </c>
      <c r="Q442" s="33" t="n">
        <f>202300</f>
        <v>202300.0</v>
      </c>
      <c r="R442" s="34" t="s">
        <v>77</v>
      </c>
      <c r="S442" s="35" t="n">
        <f>200561.11</f>
        <v>200561.11</v>
      </c>
      <c r="T442" s="32" t="n">
        <f>147461</f>
        <v>147461.0</v>
      </c>
      <c r="U442" s="32" t="n">
        <f>35909</f>
        <v>35909.0</v>
      </c>
      <c r="V442" s="32" t="n">
        <f>29601207636</f>
        <v>2.9601207636E10</v>
      </c>
      <c r="W442" s="32" t="n">
        <f>7209023336</f>
        <v>7.209023336E9</v>
      </c>
      <c r="X442" s="36" t="n">
        <f>18</f>
        <v>18.0</v>
      </c>
    </row>
    <row r="443">
      <c r="A443" s="27" t="s">
        <v>42</v>
      </c>
      <c r="B443" s="27" t="s">
        <v>1374</v>
      </c>
      <c r="C443" s="27" t="s">
        <v>1375</v>
      </c>
      <c r="D443" s="27" t="s">
        <v>1376</v>
      </c>
      <c r="E443" s="28" t="s">
        <v>1236</v>
      </c>
      <c r="F443" s="29" t="s">
        <v>1237</v>
      </c>
      <c r="G443" s="30" t="s">
        <v>46</v>
      </c>
      <c r="H443" s="31"/>
      <c r="I443" s="31" t="s">
        <v>47</v>
      </c>
      <c r="J443" s="32" t="n">
        <v>1.0</v>
      </c>
      <c r="K443" s="33" t="n">
        <f>99500</f>
        <v>99500.0</v>
      </c>
      <c r="L443" s="34" t="s">
        <v>81</v>
      </c>
      <c r="M443" s="33" t="n">
        <f>99700</f>
        <v>99700.0</v>
      </c>
      <c r="N443" s="34" t="s">
        <v>51</v>
      </c>
      <c r="O443" s="33" t="n">
        <f>97600</f>
        <v>97600.0</v>
      </c>
      <c r="P443" s="34" t="s">
        <v>51</v>
      </c>
      <c r="Q443" s="33" t="n">
        <f>98000</f>
        <v>98000.0</v>
      </c>
      <c r="R443" s="34" t="s">
        <v>51</v>
      </c>
      <c r="S443" s="35" t="n">
        <f>98700</f>
        <v>98700.0</v>
      </c>
      <c r="T443" s="32" t="n">
        <f>58276</f>
        <v>58276.0</v>
      </c>
      <c r="U443" s="32" t="n">
        <f>12844</f>
        <v>12844.0</v>
      </c>
      <c r="V443" s="32" t="n">
        <f>5751335378</f>
        <v>5.751335378E9</v>
      </c>
      <c r="W443" s="32" t="n">
        <f>1266980278</f>
        <v>1.266980278E9</v>
      </c>
      <c r="X443" s="36" t="n">
        <f>2</f>
        <v>2.0</v>
      </c>
    </row>
    <row r="444">
      <c r="A444" s="27" t="s">
        <v>42</v>
      </c>
      <c r="B444" s="27" t="s">
        <v>1377</v>
      </c>
      <c r="C444" s="27" t="s">
        <v>1378</v>
      </c>
      <c r="D444" s="27" t="s">
        <v>1379</v>
      </c>
      <c r="E444" s="28" t="s">
        <v>46</v>
      </c>
      <c r="F444" s="29" t="s">
        <v>46</v>
      </c>
      <c r="G444" s="30" t="s">
        <v>46</v>
      </c>
      <c r="H444" s="31"/>
      <c r="I444" s="31" t="s">
        <v>47</v>
      </c>
      <c r="J444" s="32" t="n">
        <v>1.0</v>
      </c>
      <c r="K444" s="33" t="n">
        <f>99500</f>
        <v>99500.0</v>
      </c>
      <c r="L444" s="34" t="s">
        <v>48</v>
      </c>
      <c r="M444" s="33" t="n">
        <f>105800</f>
        <v>105800.0</v>
      </c>
      <c r="N444" s="34" t="s">
        <v>81</v>
      </c>
      <c r="O444" s="33" t="n">
        <f>98800</f>
        <v>98800.0</v>
      </c>
      <c r="P444" s="34" t="s">
        <v>49</v>
      </c>
      <c r="Q444" s="33" t="n">
        <f>103400</f>
        <v>103400.0</v>
      </c>
      <c r="R444" s="34" t="s">
        <v>51</v>
      </c>
      <c r="S444" s="35" t="n">
        <f>102375</f>
        <v>102375.0</v>
      </c>
      <c r="T444" s="32" t="n">
        <f>221129</f>
        <v>221129.0</v>
      </c>
      <c r="U444" s="32" t="n">
        <f>64628</f>
        <v>64628.0</v>
      </c>
      <c r="V444" s="32" t="n">
        <f>22694301319</f>
        <v>2.2694301319E10</v>
      </c>
      <c r="W444" s="32" t="n">
        <f>6640870019</f>
        <v>6.640870019E9</v>
      </c>
      <c r="X444" s="36" t="n">
        <f>20</f>
        <v>20.0</v>
      </c>
    </row>
    <row r="445">
      <c r="A445" s="27" t="s">
        <v>42</v>
      </c>
      <c r="B445" s="27" t="s">
        <v>1380</v>
      </c>
      <c r="C445" s="27" t="s">
        <v>1381</v>
      </c>
      <c r="D445" s="27" t="s">
        <v>1382</v>
      </c>
      <c r="E445" s="28" t="s">
        <v>46</v>
      </c>
      <c r="F445" s="29" t="s">
        <v>46</v>
      </c>
      <c r="G445" s="30" t="s">
        <v>46</v>
      </c>
      <c r="H445" s="31"/>
      <c r="I445" s="31" t="s">
        <v>47</v>
      </c>
      <c r="J445" s="32" t="n">
        <v>1.0</v>
      </c>
      <c r="K445" s="33" t="n">
        <f>129700</f>
        <v>129700.0</v>
      </c>
      <c r="L445" s="34" t="s">
        <v>48</v>
      </c>
      <c r="M445" s="33" t="n">
        <f>138000</f>
        <v>138000.0</v>
      </c>
      <c r="N445" s="34" t="s">
        <v>81</v>
      </c>
      <c r="O445" s="33" t="n">
        <f>129300</f>
        <v>129300.0</v>
      </c>
      <c r="P445" s="34" t="s">
        <v>48</v>
      </c>
      <c r="Q445" s="33" t="n">
        <f>136000</f>
        <v>136000.0</v>
      </c>
      <c r="R445" s="34" t="s">
        <v>51</v>
      </c>
      <c r="S445" s="35" t="n">
        <f>133835</f>
        <v>133835.0</v>
      </c>
      <c r="T445" s="32" t="n">
        <f>69255</f>
        <v>69255.0</v>
      </c>
      <c r="U445" s="32" t="n">
        <f>16186</f>
        <v>16186.0</v>
      </c>
      <c r="V445" s="32" t="n">
        <f>9273778986</f>
        <v>9.273778986E9</v>
      </c>
      <c r="W445" s="32" t="n">
        <f>2176187886</f>
        <v>2.176187886E9</v>
      </c>
      <c r="X445" s="36" t="n">
        <f>20</f>
        <v>20.0</v>
      </c>
    </row>
    <row r="446">
      <c r="A446" s="27" t="s">
        <v>42</v>
      </c>
      <c r="B446" s="27" t="s">
        <v>1383</v>
      </c>
      <c r="C446" s="27" t="s">
        <v>1384</v>
      </c>
      <c r="D446" s="27" t="s">
        <v>1385</v>
      </c>
      <c r="E446" s="28" t="s">
        <v>46</v>
      </c>
      <c r="F446" s="29" t="s">
        <v>46</v>
      </c>
      <c r="G446" s="30" t="s">
        <v>46</v>
      </c>
      <c r="H446" s="31"/>
      <c r="I446" s="31" t="s">
        <v>47</v>
      </c>
      <c r="J446" s="32" t="n">
        <v>1.0</v>
      </c>
      <c r="K446" s="33" t="n">
        <f>196800</f>
        <v>196800.0</v>
      </c>
      <c r="L446" s="34" t="s">
        <v>48</v>
      </c>
      <c r="M446" s="33" t="n">
        <f>205300</f>
        <v>205300.0</v>
      </c>
      <c r="N446" s="34" t="s">
        <v>77</v>
      </c>
      <c r="O446" s="33" t="n">
        <f>196200</f>
        <v>196200.0</v>
      </c>
      <c r="P446" s="34" t="s">
        <v>48</v>
      </c>
      <c r="Q446" s="33" t="n">
        <f>201000</f>
        <v>201000.0</v>
      </c>
      <c r="R446" s="34" t="s">
        <v>51</v>
      </c>
      <c r="S446" s="35" t="n">
        <f>200270</f>
        <v>200270.0</v>
      </c>
      <c r="T446" s="32" t="n">
        <f>79853</f>
        <v>79853.0</v>
      </c>
      <c r="U446" s="32" t="n">
        <f>18739</f>
        <v>18739.0</v>
      </c>
      <c r="V446" s="32" t="n">
        <f>16007128408</f>
        <v>1.6007128408E10</v>
      </c>
      <c r="W446" s="32" t="n">
        <f>3758956008</f>
        <v>3.758956008E9</v>
      </c>
      <c r="X446" s="36" t="n">
        <f>20</f>
        <v>20.0</v>
      </c>
    </row>
    <row r="447">
      <c r="A447" s="27" t="s">
        <v>42</v>
      </c>
      <c r="B447" s="27" t="s">
        <v>1386</v>
      </c>
      <c r="C447" s="27" t="s">
        <v>1387</v>
      </c>
      <c r="D447" s="27" t="s">
        <v>1388</v>
      </c>
      <c r="E447" s="28" t="s">
        <v>46</v>
      </c>
      <c r="F447" s="29" t="s">
        <v>46</v>
      </c>
      <c r="G447" s="30" t="s">
        <v>46</v>
      </c>
      <c r="H447" s="31"/>
      <c r="I447" s="31" t="s">
        <v>47</v>
      </c>
      <c r="J447" s="32" t="n">
        <v>1.0</v>
      </c>
      <c r="K447" s="33" t="n">
        <f>143400</f>
        <v>143400.0</v>
      </c>
      <c r="L447" s="34" t="s">
        <v>48</v>
      </c>
      <c r="M447" s="33" t="n">
        <f>148600</f>
        <v>148600.0</v>
      </c>
      <c r="N447" s="34" t="s">
        <v>81</v>
      </c>
      <c r="O447" s="33" t="n">
        <f>141500</f>
        <v>141500.0</v>
      </c>
      <c r="P447" s="34" t="s">
        <v>48</v>
      </c>
      <c r="Q447" s="33" t="n">
        <f>147700</f>
        <v>147700.0</v>
      </c>
      <c r="R447" s="34" t="s">
        <v>51</v>
      </c>
      <c r="S447" s="35" t="n">
        <f>145190</f>
        <v>145190.0</v>
      </c>
      <c r="T447" s="32" t="n">
        <f>71730</f>
        <v>71730.0</v>
      </c>
      <c r="U447" s="32" t="n">
        <f>14511</f>
        <v>14511.0</v>
      </c>
      <c r="V447" s="32" t="n">
        <f>10431063054</f>
        <v>1.0431063054E10</v>
      </c>
      <c r="W447" s="32" t="n">
        <f>2115244354</f>
        <v>2.115244354E9</v>
      </c>
      <c r="X447" s="36" t="n">
        <f>20</f>
        <v>20.0</v>
      </c>
    </row>
    <row r="448">
      <c r="A448" s="27" t="s">
        <v>42</v>
      </c>
      <c r="B448" s="27" t="s">
        <v>1389</v>
      </c>
      <c r="C448" s="27" t="s">
        <v>1390</v>
      </c>
      <c r="D448" s="27" t="s">
        <v>1391</v>
      </c>
      <c r="E448" s="28" t="s">
        <v>46</v>
      </c>
      <c r="F448" s="29" t="s">
        <v>46</v>
      </c>
      <c r="G448" s="30" t="s">
        <v>46</v>
      </c>
      <c r="H448" s="31"/>
      <c r="I448" s="31" t="s">
        <v>47</v>
      </c>
      <c r="J448" s="32" t="n">
        <v>1.0</v>
      </c>
      <c r="K448" s="33" t="n">
        <f>166000</f>
        <v>166000.0</v>
      </c>
      <c r="L448" s="34" t="s">
        <v>48</v>
      </c>
      <c r="M448" s="33" t="n">
        <f>180700</f>
        <v>180700.0</v>
      </c>
      <c r="N448" s="34" t="s">
        <v>86</v>
      </c>
      <c r="O448" s="33" t="n">
        <f>165400</f>
        <v>165400.0</v>
      </c>
      <c r="P448" s="34" t="s">
        <v>48</v>
      </c>
      <c r="Q448" s="33" t="n">
        <f>177200</f>
        <v>177200.0</v>
      </c>
      <c r="R448" s="34" t="s">
        <v>51</v>
      </c>
      <c r="S448" s="35" t="n">
        <f>173975</f>
        <v>173975.0</v>
      </c>
      <c r="T448" s="32" t="n">
        <f>215376</f>
        <v>215376.0</v>
      </c>
      <c r="U448" s="32" t="n">
        <f>45254</f>
        <v>45254.0</v>
      </c>
      <c r="V448" s="32" t="n">
        <f>37512092125</f>
        <v>3.7512092125E10</v>
      </c>
      <c r="W448" s="32" t="n">
        <f>7896470325</f>
        <v>7.896470325E9</v>
      </c>
      <c r="X448" s="36" t="n">
        <f>20</f>
        <v>20.0</v>
      </c>
    </row>
    <row r="449">
      <c r="A449" s="27" t="s">
        <v>42</v>
      </c>
      <c r="B449" s="27" t="s">
        <v>1392</v>
      </c>
      <c r="C449" s="27" t="s">
        <v>1393</v>
      </c>
      <c r="D449" s="27" t="s">
        <v>1394</v>
      </c>
      <c r="E449" s="28" t="s">
        <v>46</v>
      </c>
      <c r="F449" s="29" t="s">
        <v>46</v>
      </c>
      <c r="G449" s="30" t="s">
        <v>46</v>
      </c>
      <c r="H449" s="31"/>
      <c r="I449" s="31" t="s">
        <v>47</v>
      </c>
      <c r="J449" s="32" t="n">
        <v>1.0</v>
      </c>
      <c r="K449" s="33" t="n">
        <f>73500</f>
        <v>73500.0</v>
      </c>
      <c r="L449" s="34" t="s">
        <v>48</v>
      </c>
      <c r="M449" s="33" t="n">
        <f>76500</f>
        <v>76500.0</v>
      </c>
      <c r="N449" s="34" t="s">
        <v>77</v>
      </c>
      <c r="O449" s="33" t="n">
        <f>73000</f>
        <v>73000.0</v>
      </c>
      <c r="P449" s="34" t="s">
        <v>48</v>
      </c>
      <c r="Q449" s="33" t="n">
        <f>74800</f>
        <v>74800.0</v>
      </c>
      <c r="R449" s="34" t="s">
        <v>51</v>
      </c>
      <c r="S449" s="35" t="n">
        <f>75025</f>
        <v>75025.0</v>
      </c>
      <c r="T449" s="32" t="n">
        <f>198405</f>
        <v>198405.0</v>
      </c>
      <c r="U449" s="32" t="n">
        <f>46505</f>
        <v>46505.0</v>
      </c>
      <c r="V449" s="32" t="n">
        <f>14883259150</f>
        <v>1.488325915E10</v>
      </c>
      <c r="W449" s="32" t="n">
        <f>3487355650</f>
        <v>3.48735565E9</v>
      </c>
      <c r="X449" s="36" t="n">
        <f>20</f>
        <v>20.0</v>
      </c>
    </row>
    <row r="450">
      <c r="A450" s="27" t="s">
        <v>42</v>
      </c>
      <c r="B450" s="27" t="s">
        <v>1395</v>
      </c>
      <c r="C450" s="27" t="s">
        <v>1396</v>
      </c>
      <c r="D450" s="27" t="s">
        <v>1397</v>
      </c>
      <c r="E450" s="28" t="s">
        <v>46</v>
      </c>
      <c r="F450" s="29" t="s">
        <v>46</v>
      </c>
      <c r="G450" s="30" t="s">
        <v>46</v>
      </c>
      <c r="H450" s="31"/>
      <c r="I450" s="31" t="s">
        <v>47</v>
      </c>
      <c r="J450" s="32" t="n">
        <v>1.0</v>
      </c>
      <c r="K450" s="33" t="n">
        <f>66900</f>
        <v>66900.0</v>
      </c>
      <c r="L450" s="34" t="s">
        <v>48</v>
      </c>
      <c r="M450" s="33" t="n">
        <f>70300</f>
        <v>70300.0</v>
      </c>
      <c r="N450" s="34" t="s">
        <v>221</v>
      </c>
      <c r="O450" s="33" t="n">
        <f>65900</f>
        <v>65900.0</v>
      </c>
      <c r="P450" s="34" t="s">
        <v>50</v>
      </c>
      <c r="Q450" s="33" t="n">
        <f>66800</f>
        <v>66800.0</v>
      </c>
      <c r="R450" s="34" t="s">
        <v>51</v>
      </c>
      <c r="S450" s="35" t="n">
        <f>68505</f>
        <v>68505.0</v>
      </c>
      <c r="T450" s="32" t="n">
        <f>767195</f>
        <v>767195.0</v>
      </c>
      <c r="U450" s="32" t="n">
        <f>194798</f>
        <v>194798.0</v>
      </c>
      <c r="V450" s="32" t="n">
        <f>52438941898</f>
        <v>5.2438941898E10</v>
      </c>
      <c r="W450" s="32" t="n">
        <f>13308013398</f>
        <v>1.3308013398E10</v>
      </c>
      <c r="X450" s="36" t="n">
        <f>20</f>
        <v>20.0</v>
      </c>
    </row>
    <row r="451">
      <c r="A451" s="27" t="s">
        <v>42</v>
      </c>
      <c r="B451" s="27" t="s">
        <v>1398</v>
      </c>
      <c r="C451" s="27" t="s">
        <v>1399</v>
      </c>
      <c r="D451" s="27" t="s">
        <v>1400</v>
      </c>
      <c r="E451" s="28" t="s">
        <v>46</v>
      </c>
      <c r="F451" s="29" t="s">
        <v>46</v>
      </c>
      <c r="G451" s="30" t="s">
        <v>46</v>
      </c>
      <c r="H451" s="31"/>
      <c r="I451" s="31" t="s">
        <v>47</v>
      </c>
      <c r="J451" s="32" t="n">
        <v>1.0</v>
      </c>
      <c r="K451" s="33" t="n">
        <f>86100</f>
        <v>86100.0</v>
      </c>
      <c r="L451" s="34" t="s">
        <v>48</v>
      </c>
      <c r="M451" s="33" t="n">
        <f>88900</f>
        <v>88900.0</v>
      </c>
      <c r="N451" s="34" t="s">
        <v>49</v>
      </c>
      <c r="O451" s="33" t="n">
        <f>85700</f>
        <v>85700.0</v>
      </c>
      <c r="P451" s="34" t="s">
        <v>48</v>
      </c>
      <c r="Q451" s="33" t="n">
        <f>87500</f>
        <v>87500.0</v>
      </c>
      <c r="R451" s="34" t="s">
        <v>51</v>
      </c>
      <c r="S451" s="35" t="n">
        <f>87415</f>
        <v>87415.0</v>
      </c>
      <c r="T451" s="32" t="n">
        <f>153877</f>
        <v>153877.0</v>
      </c>
      <c r="U451" s="32" t="n">
        <f>38280</f>
        <v>38280.0</v>
      </c>
      <c r="V451" s="32" t="n">
        <f>13449116521</f>
        <v>1.3449116521E10</v>
      </c>
      <c r="W451" s="32" t="n">
        <f>3348055821</f>
        <v>3.348055821E9</v>
      </c>
      <c r="X451" s="36" t="n">
        <f>20</f>
        <v>20.0</v>
      </c>
    </row>
    <row r="452">
      <c r="A452" s="27" t="s">
        <v>42</v>
      </c>
      <c r="B452" s="27" t="s">
        <v>1401</v>
      </c>
      <c r="C452" s="27" t="s">
        <v>1402</v>
      </c>
      <c r="D452" s="27" t="s">
        <v>1403</v>
      </c>
      <c r="E452" s="28" t="s">
        <v>46</v>
      </c>
      <c r="F452" s="29" t="s">
        <v>46</v>
      </c>
      <c r="G452" s="30" t="s">
        <v>46</v>
      </c>
      <c r="H452" s="31"/>
      <c r="I452" s="31" t="s">
        <v>47</v>
      </c>
      <c r="J452" s="32" t="n">
        <v>1.0</v>
      </c>
      <c r="K452" s="33" t="n">
        <f>142000</f>
        <v>142000.0</v>
      </c>
      <c r="L452" s="34" t="s">
        <v>48</v>
      </c>
      <c r="M452" s="33" t="n">
        <f>151400</f>
        <v>151400.0</v>
      </c>
      <c r="N452" s="34" t="s">
        <v>302</v>
      </c>
      <c r="O452" s="33" t="n">
        <f>141400</f>
        <v>141400.0</v>
      </c>
      <c r="P452" s="34" t="s">
        <v>48</v>
      </c>
      <c r="Q452" s="33" t="n">
        <f>150600</f>
        <v>150600.0</v>
      </c>
      <c r="R452" s="34" t="s">
        <v>51</v>
      </c>
      <c r="S452" s="35" t="n">
        <f>148160</f>
        <v>148160.0</v>
      </c>
      <c r="T452" s="32" t="n">
        <f>70054</f>
        <v>70054.0</v>
      </c>
      <c r="U452" s="32" t="n">
        <f>14309</f>
        <v>14309.0</v>
      </c>
      <c r="V452" s="32" t="n">
        <f>10376574023</f>
        <v>1.0376574023E10</v>
      </c>
      <c r="W452" s="32" t="n">
        <f>2124921223</f>
        <v>2.124921223E9</v>
      </c>
      <c r="X452" s="36" t="n">
        <f>20</f>
        <v>20.0</v>
      </c>
    </row>
    <row r="453">
      <c r="A453" s="27" t="s">
        <v>42</v>
      </c>
      <c r="B453" s="27" t="s">
        <v>1404</v>
      </c>
      <c r="C453" s="27" t="s">
        <v>1405</v>
      </c>
      <c r="D453" s="27" t="s">
        <v>1406</v>
      </c>
      <c r="E453" s="28" t="s">
        <v>46</v>
      </c>
      <c r="F453" s="29" t="s">
        <v>46</v>
      </c>
      <c r="G453" s="30" t="s">
        <v>46</v>
      </c>
      <c r="H453" s="31"/>
      <c r="I453" s="31" t="s">
        <v>47</v>
      </c>
      <c r="J453" s="32" t="n">
        <v>1.0</v>
      </c>
      <c r="K453" s="33" t="n">
        <f>93600</f>
        <v>93600.0</v>
      </c>
      <c r="L453" s="34" t="s">
        <v>48</v>
      </c>
      <c r="M453" s="33" t="n">
        <f>98400</f>
        <v>98400.0</v>
      </c>
      <c r="N453" s="34" t="s">
        <v>51</v>
      </c>
      <c r="O453" s="33" t="n">
        <f>93600</f>
        <v>93600.0</v>
      </c>
      <c r="P453" s="34" t="s">
        <v>48</v>
      </c>
      <c r="Q453" s="33" t="n">
        <f>98000</f>
        <v>98000.0</v>
      </c>
      <c r="R453" s="34" t="s">
        <v>51</v>
      </c>
      <c r="S453" s="35" t="n">
        <f>95355</f>
        <v>95355.0</v>
      </c>
      <c r="T453" s="32" t="n">
        <f>171398</f>
        <v>171398.0</v>
      </c>
      <c r="U453" s="32" t="n">
        <f>51738</f>
        <v>51738.0</v>
      </c>
      <c r="V453" s="32" t="n">
        <f>16405259206</f>
        <v>1.6405259206E10</v>
      </c>
      <c r="W453" s="32" t="n">
        <f>4960830106</f>
        <v>4.960830106E9</v>
      </c>
      <c r="X453" s="36" t="n">
        <f>20</f>
        <v>20.0</v>
      </c>
    </row>
    <row r="454">
      <c r="A454" s="27" t="s">
        <v>42</v>
      </c>
      <c r="B454" s="27" t="s">
        <v>1407</v>
      </c>
      <c r="C454" s="27" t="s">
        <v>1408</v>
      </c>
      <c r="D454" s="27" t="s">
        <v>1409</v>
      </c>
      <c r="E454" s="28" t="s">
        <v>46</v>
      </c>
      <c r="F454" s="29" t="s">
        <v>46</v>
      </c>
      <c r="G454" s="30" t="s">
        <v>46</v>
      </c>
      <c r="H454" s="31"/>
      <c r="I454" s="31" t="s">
        <v>47</v>
      </c>
      <c r="J454" s="32" t="n">
        <v>1.0</v>
      </c>
      <c r="K454" s="33" t="n">
        <f>181400</f>
        <v>181400.0</v>
      </c>
      <c r="L454" s="34" t="s">
        <v>48</v>
      </c>
      <c r="M454" s="33" t="n">
        <f>188900</f>
        <v>188900.0</v>
      </c>
      <c r="N454" s="34" t="s">
        <v>77</v>
      </c>
      <c r="O454" s="33" t="n">
        <f>180600</f>
        <v>180600.0</v>
      </c>
      <c r="P454" s="34" t="s">
        <v>48</v>
      </c>
      <c r="Q454" s="33" t="n">
        <f>184500</f>
        <v>184500.0</v>
      </c>
      <c r="R454" s="34" t="s">
        <v>51</v>
      </c>
      <c r="S454" s="35" t="n">
        <f>185190</f>
        <v>185190.0</v>
      </c>
      <c r="T454" s="32" t="n">
        <f>45565</f>
        <v>45565.0</v>
      </c>
      <c r="U454" s="32" t="n">
        <f>6817</f>
        <v>6817.0</v>
      </c>
      <c r="V454" s="32" t="n">
        <f>8436423549</f>
        <v>8.436423549E9</v>
      </c>
      <c r="W454" s="32" t="n">
        <f>1262081049</f>
        <v>1.262081049E9</v>
      </c>
      <c r="X454" s="36" t="n">
        <f>20</f>
        <v>20.0</v>
      </c>
    </row>
    <row r="455">
      <c r="A455" s="27" t="s">
        <v>42</v>
      </c>
      <c r="B455" s="27" t="s">
        <v>1410</v>
      </c>
      <c r="C455" s="27" t="s">
        <v>1411</v>
      </c>
      <c r="D455" s="27" t="s">
        <v>1412</v>
      </c>
      <c r="E455" s="28" t="s">
        <v>46</v>
      </c>
      <c r="F455" s="29" t="s">
        <v>46</v>
      </c>
      <c r="G455" s="30" t="s">
        <v>46</v>
      </c>
      <c r="H455" s="31"/>
      <c r="I455" s="31" t="s">
        <v>47</v>
      </c>
      <c r="J455" s="32" t="n">
        <v>1.0</v>
      </c>
      <c r="K455" s="33" t="n">
        <f>162300</f>
        <v>162300.0</v>
      </c>
      <c r="L455" s="34" t="s">
        <v>48</v>
      </c>
      <c r="M455" s="33" t="n">
        <f>170200</f>
        <v>170200.0</v>
      </c>
      <c r="N455" s="34" t="s">
        <v>51</v>
      </c>
      <c r="O455" s="33" t="n">
        <f>160900</f>
        <v>160900.0</v>
      </c>
      <c r="P455" s="34" t="s">
        <v>48</v>
      </c>
      <c r="Q455" s="33" t="n">
        <f>169200</f>
        <v>169200.0</v>
      </c>
      <c r="R455" s="34" t="s">
        <v>51</v>
      </c>
      <c r="S455" s="35" t="n">
        <f>166665</f>
        <v>166665.0</v>
      </c>
      <c r="T455" s="32" t="n">
        <f>246688</f>
        <v>246688.0</v>
      </c>
      <c r="U455" s="32" t="n">
        <f>79362</f>
        <v>79362.0</v>
      </c>
      <c r="V455" s="32" t="n">
        <f>41087666546</f>
        <v>4.1087666546E10</v>
      </c>
      <c r="W455" s="32" t="n">
        <f>13234873046</f>
        <v>1.3234873046E10</v>
      </c>
      <c r="X455" s="36" t="n">
        <f>20</f>
        <v>20.0</v>
      </c>
    </row>
    <row r="456">
      <c r="A456" s="27" t="s">
        <v>42</v>
      </c>
      <c r="B456" s="27" t="s">
        <v>1413</v>
      </c>
      <c r="C456" s="27" t="s">
        <v>1414</v>
      </c>
      <c r="D456" s="27" t="s">
        <v>1415</v>
      </c>
      <c r="E456" s="28" t="s">
        <v>46</v>
      </c>
      <c r="F456" s="29" t="s">
        <v>46</v>
      </c>
      <c r="G456" s="30" t="s">
        <v>46</v>
      </c>
      <c r="H456" s="31"/>
      <c r="I456" s="31" t="s">
        <v>47</v>
      </c>
      <c r="J456" s="32" t="n">
        <v>1.0</v>
      </c>
      <c r="K456" s="33" t="n">
        <f>95800</f>
        <v>95800.0</v>
      </c>
      <c r="L456" s="34" t="s">
        <v>48</v>
      </c>
      <c r="M456" s="33" t="n">
        <f>99200</f>
        <v>99200.0</v>
      </c>
      <c r="N456" s="34" t="s">
        <v>86</v>
      </c>
      <c r="O456" s="33" t="n">
        <f>94800</f>
        <v>94800.0</v>
      </c>
      <c r="P456" s="34" t="s">
        <v>48</v>
      </c>
      <c r="Q456" s="33" t="n">
        <f>96300</f>
        <v>96300.0</v>
      </c>
      <c r="R456" s="34" t="s">
        <v>51</v>
      </c>
      <c r="S456" s="35" t="n">
        <f>96920</f>
        <v>96920.0</v>
      </c>
      <c r="T456" s="32" t="n">
        <f>86378</f>
        <v>86378.0</v>
      </c>
      <c r="U456" s="32" t="n">
        <f>23323</f>
        <v>23323.0</v>
      </c>
      <c r="V456" s="32" t="n">
        <f>8350980916</f>
        <v>8.350980916E9</v>
      </c>
      <c r="W456" s="32" t="n">
        <f>2254427716</f>
        <v>2.254427716E9</v>
      </c>
      <c r="X456" s="36" t="n">
        <f>20</f>
        <v>20.0</v>
      </c>
    </row>
    <row r="457">
      <c r="A457" s="27" t="s">
        <v>42</v>
      </c>
      <c r="B457" s="27" t="s">
        <v>1416</v>
      </c>
      <c r="C457" s="27" t="s">
        <v>1417</v>
      </c>
      <c r="D457" s="27" t="s">
        <v>1418</v>
      </c>
      <c r="E457" s="28" t="s">
        <v>46</v>
      </c>
      <c r="F457" s="29" t="s">
        <v>46</v>
      </c>
      <c r="G457" s="30" t="s">
        <v>46</v>
      </c>
      <c r="H457" s="31"/>
      <c r="I457" s="31" t="s">
        <v>47</v>
      </c>
      <c r="J457" s="32" t="n">
        <v>1.0</v>
      </c>
      <c r="K457" s="33" t="n">
        <f>350000</f>
        <v>350000.0</v>
      </c>
      <c r="L457" s="34" t="s">
        <v>48</v>
      </c>
      <c r="M457" s="33" t="n">
        <f>368000</f>
        <v>368000.0</v>
      </c>
      <c r="N457" s="34" t="s">
        <v>77</v>
      </c>
      <c r="O457" s="33" t="n">
        <f>346000</f>
        <v>346000.0</v>
      </c>
      <c r="P457" s="34" t="s">
        <v>48</v>
      </c>
      <c r="Q457" s="33" t="n">
        <f>365500</f>
        <v>365500.0</v>
      </c>
      <c r="R457" s="34" t="s">
        <v>51</v>
      </c>
      <c r="S457" s="35" t="n">
        <f>358600</f>
        <v>358600.0</v>
      </c>
      <c r="T457" s="32" t="n">
        <f>47298</f>
        <v>47298.0</v>
      </c>
      <c r="U457" s="32" t="n">
        <f>13787</f>
        <v>13787.0</v>
      </c>
      <c r="V457" s="32" t="n">
        <f>17011807937</f>
        <v>1.7011807937E10</v>
      </c>
      <c r="W457" s="32" t="n">
        <f>4974694437</f>
        <v>4.974694437E9</v>
      </c>
      <c r="X457" s="36" t="n">
        <f>20</f>
        <v>20.0</v>
      </c>
    </row>
    <row r="458">
      <c r="A458" s="27" t="s">
        <v>42</v>
      </c>
      <c r="B458" s="27" t="s">
        <v>1419</v>
      </c>
      <c r="C458" s="27" t="s">
        <v>1420</v>
      </c>
      <c r="D458" s="27" t="s">
        <v>1421</v>
      </c>
      <c r="E458" s="28" t="s">
        <v>46</v>
      </c>
      <c r="F458" s="29" t="s">
        <v>46</v>
      </c>
      <c r="G458" s="30" t="s">
        <v>46</v>
      </c>
      <c r="H458" s="31"/>
      <c r="I458" s="31" t="s">
        <v>47</v>
      </c>
      <c r="J458" s="32" t="n">
        <v>1.0</v>
      </c>
      <c r="K458" s="33" t="n">
        <f>159600</f>
        <v>159600.0</v>
      </c>
      <c r="L458" s="34" t="s">
        <v>48</v>
      </c>
      <c r="M458" s="33" t="n">
        <f>174400</f>
        <v>174400.0</v>
      </c>
      <c r="N458" s="34" t="s">
        <v>77</v>
      </c>
      <c r="O458" s="33" t="n">
        <f>158400</f>
        <v>158400.0</v>
      </c>
      <c r="P458" s="34" t="s">
        <v>48</v>
      </c>
      <c r="Q458" s="33" t="n">
        <f>171300</f>
        <v>171300.0</v>
      </c>
      <c r="R458" s="34" t="s">
        <v>51</v>
      </c>
      <c r="S458" s="35" t="n">
        <f>168125</f>
        <v>168125.0</v>
      </c>
      <c r="T458" s="32" t="n">
        <f>38786</f>
        <v>38786.0</v>
      </c>
      <c r="U458" s="32" t="n">
        <f>6644</f>
        <v>6644.0</v>
      </c>
      <c r="V458" s="32" t="n">
        <f>6538863530</f>
        <v>6.53886353E9</v>
      </c>
      <c r="W458" s="32" t="n">
        <f>1127702530</f>
        <v>1.12770253E9</v>
      </c>
      <c r="X458" s="36" t="n">
        <f>20</f>
        <v>20.0</v>
      </c>
    </row>
    <row r="459">
      <c r="A459" s="27" t="s">
        <v>42</v>
      </c>
      <c r="B459" s="27" t="s">
        <v>1422</v>
      </c>
      <c r="C459" s="27" t="s">
        <v>1423</v>
      </c>
      <c r="D459" s="27" t="s">
        <v>1424</v>
      </c>
      <c r="E459" s="28" t="s">
        <v>46</v>
      </c>
      <c r="F459" s="29" t="s">
        <v>46</v>
      </c>
      <c r="G459" s="30" t="s">
        <v>46</v>
      </c>
      <c r="H459" s="31"/>
      <c r="I459" s="31" t="s">
        <v>414</v>
      </c>
      <c r="J459" s="32" t="n">
        <v>1.0</v>
      </c>
      <c r="K459" s="33" t="n">
        <f>189600</f>
        <v>189600.0</v>
      </c>
      <c r="L459" s="34" t="s">
        <v>48</v>
      </c>
      <c r="M459" s="33" t="n">
        <f>201000</f>
        <v>201000.0</v>
      </c>
      <c r="N459" s="34" t="s">
        <v>51</v>
      </c>
      <c r="O459" s="33" t="n">
        <f>187500</f>
        <v>187500.0</v>
      </c>
      <c r="P459" s="34" t="s">
        <v>50</v>
      </c>
      <c r="Q459" s="33" t="n">
        <f>198500</f>
        <v>198500.0</v>
      </c>
      <c r="R459" s="34" t="s">
        <v>51</v>
      </c>
      <c r="S459" s="35" t="n">
        <f>193890</f>
        <v>193890.0</v>
      </c>
      <c r="T459" s="32" t="n">
        <f>12036</f>
        <v>12036.0</v>
      </c>
      <c r="U459" s="32" t="n">
        <f>1875</f>
        <v>1875.0</v>
      </c>
      <c r="V459" s="32" t="n">
        <f>2340270344</f>
        <v>2.340270344E9</v>
      </c>
      <c r="W459" s="32" t="n">
        <f>365280644</f>
        <v>3.65280644E8</v>
      </c>
      <c r="X459" s="36" t="n">
        <f>20</f>
        <v>20.0</v>
      </c>
    </row>
    <row r="460">
      <c r="A460" s="27" t="s">
        <v>42</v>
      </c>
      <c r="B460" s="27" t="s">
        <v>1425</v>
      </c>
      <c r="C460" s="27" t="s">
        <v>1426</v>
      </c>
      <c r="D460" s="27" t="s">
        <v>1427</v>
      </c>
      <c r="E460" s="28" t="s">
        <v>1236</v>
      </c>
      <c r="F460" s="29" t="s">
        <v>1237</v>
      </c>
      <c r="G460" s="30" t="s">
        <v>46</v>
      </c>
      <c r="H460" s="31"/>
      <c r="I460" s="31" t="s">
        <v>47</v>
      </c>
      <c r="J460" s="32" t="n">
        <v>1.0</v>
      </c>
      <c r="K460" s="33" t="n">
        <f>253100</f>
        <v>253100.0</v>
      </c>
      <c r="L460" s="34" t="s">
        <v>48</v>
      </c>
      <c r="M460" s="33" t="n">
        <f>263400</f>
        <v>263400.0</v>
      </c>
      <c r="N460" s="34" t="s">
        <v>86</v>
      </c>
      <c r="O460" s="33" t="n">
        <f>252200</f>
        <v>252200.0</v>
      </c>
      <c r="P460" s="34" t="s">
        <v>48</v>
      </c>
      <c r="Q460" s="33" t="n">
        <f>261900</f>
        <v>261900.0</v>
      </c>
      <c r="R460" s="34" t="s">
        <v>77</v>
      </c>
      <c r="S460" s="35" t="n">
        <f>259344.44</f>
        <v>259344.44</v>
      </c>
      <c r="T460" s="32" t="n">
        <f>137166</f>
        <v>137166.0</v>
      </c>
      <c r="U460" s="32" t="n">
        <f>24426</f>
        <v>24426.0</v>
      </c>
      <c r="V460" s="32" t="n">
        <f>35519182679</f>
        <v>3.5519182679E10</v>
      </c>
      <c r="W460" s="32" t="n">
        <f>6331370079</f>
        <v>6.331370079E9</v>
      </c>
      <c r="X460" s="36" t="n">
        <f>18</f>
        <v>18.0</v>
      </c>
    </row>
    <row r="461">
      <c r="A461" s="27" t="s">
        <v>42</v>
      </c>
      <c r="B461" s="27" t="s">
        <v>1425</v>
      </c>
      <c r="C461" s="27" t="s">
        <v>1426</v>
      </c>
      <c r="D461" s="27" t="s">
        <v>1427</v>
      </c>
      <c r="E461" s="28" t="s">
        <v>1236</v>
      </c>
      <c r="F461" s="29" t="s">
        <v>1237</v>
      </c>
      <c r="G461" s="30" t="s">
        <v>46</v>
      </c>
      <c r="H461" s="31"/>
      <c r="I461" s="31" t="s">
        <v>47</v>
      </c>
      <c r="J461" s="32" t="n">
        <v>1.0</v>
      </c>
      <c r="K461" s="33" t="n">
        <f>127700</f>
        <v>127700.0</v>
      </c>
      <c r="L461" s="34" t="s">
        <v>81</v>
      </c>
      <c r="M461" s="33" t="n">
        <f>128900</f>
        <v>128900.0</v>
      </c>
      <c r="N461" s="34" t="s">
        <v>81</v>
      </c>
      <c r="O461" s="33" t="n">
        <f>126400</f>
        <v>126400.0</v>
      </c>
      <c r="P461" s="34" t="s">
        <v>51</v>
      </c>
      <c r="Q461" s="33" t="n">
        <f>126900</f>
        <v>126900.0</v>
      </c>
      <c r="R461" s="34" t="s">
        <v>51</v>
      </c>
      <c r="S461" s="35" t="n">
        <f>127900</f>
        <v>127900.0</v>
      </c>
      <c r="T461" s="32" t="n">
        <f>36166</f>
        <v>36166.0</v>
      </c>
      <c r="U461" s="32" t="n">
        <f>9097</f>
        <v>9097.0</v>
      </c>
      <c r="V461" s="32" t="n">
        <f>4622771230</f>
        <v>4.62277123E9</v>
      </c>
      <c r="W461" s="32" t="n">
        <f>1162207530</f>
        <v>1.16220753E9</v>
      </c>
      <c r="X461" s="36" t="n">
        <f>2</f>
        <v>2.0</v>
      </c>
    </row>
    <row r="462">
      <c r="A462" s="27" t="s">
        <v>42</v>
      </c>
      <c r="B462" s="27" t="s">
        <v>1428</v>
      </c>
      <c r="C462" s="27" t="s">
        <v>1429</v>
      </c>
      <c r="D462" s="27" t="s">
        <v>1430</v>
      </c>
      <c r="E462" s="28" t="s">
        <v>46</v>
      </c>
      <c r="F462" s="29" t="s">
        <v>46</v>
      </c>
      <c r="G462" s="30" t="s">
        <v>46</v>
      </c>
      <c r="H462" s="31"/>
      <c r="I462" s="31" t="s">
        <v>47</v>
      </c>
      <c r="J462" s="32" t="n">
        <v>1.0</v>
      </c>
      <c r="K462" s="33" t="n">
        <f>82500</f>
        <v>82500.0</v>
      </c>
      <c r="L462" s="34" t="s">
        <v>48</v>
      </c>
      <c r="M462" s="33" t="n">
        <f>87200</f>
        <v>87200.0</v>
      </c>
      <c r="N462" s="34" t="s">
        <v>51</v>
      </c>
      <c r="O462" s="33" t="n">
        <f>81300</f>
        <v>81300.0</v>
      </c>
      <c r="P462" s="34" t="s">
        <v>48</v>
      </c>
      <c r="Q462" s="33" t="n">
        <f>86500</f>
        <v>86500.0</v>
      </c>
      <c r="R462" s="34" t="s">
        <v>51</v>
      </c>
      <c r="S462" s="35" t="n">
        <f>83950</f>
        <v>83950.0</v>
      </c>
      <c r="T462" s="32" t="n">
        <f>505692</f>
        <v>505692.0</v>
      </c>
      <c r="U462" s="32" t="n">
        <f>149532</f>
        <v>149532.0</v>
      </c>
      <c r="V462" s="32" t="n">
        <f>42497351438</f>
        <v>4.2497351438E10</v>
      </c>
      <c r="W462" s="32" t="n">
        <f>12583632438</f>
        <v>1.2583632438E10</v>
      </c>
      <c r="X462" s="36" t="n">
        <f>20</f>
        <v>20.0</v>
      </c>
    </row>
    <row r="463">
      <c r="A463" s="27" t="s">
        <v>42</v>
      </c>
      <c r="B463" s="27" t="s">
        <v>1431</v>
      </c>
      <c r="C463" s="27" t="s">
        <v>1432</v>
      </c>
      <c r="D463" s="27" t="s">
        <v>1433</v>
      </c>
      <c r="E463" s="28" t="s">
        <v>46</v>
      </c>
      <c r="F463" s="29" t="s">
        <v>46</v>
      </c>
      <c r="G463" s="30" t="s">
        <v>46</v>
      </c>
      <c r="H463" s="31"/>
      <c r="I463" s="31" t="s">
        <v>47</v>
      </c>
      <c r="J463" s="32" t="n">
        <v>1.0</v>
      </c>
      <c r="K463" s="33" t="n">
        <f>103000</f>
        <v>103000.0</v>
      </c>
      <c r="L463" s="34" t="s">
        <v>48</v>
      </c>
      <c r="M463" s="33" t="n">
        <f>108100</f>
        <v>108100.0</v>
      </c>
      <c r="N463" s="34" t="s">
        <v>51</v>
      </c>
      <c r="O463" s="33" t="n">
        <f>102300</f>
        <v>102300.0</v>
      </c>
      <c r="P463" s="34" t="s">
        <v>48</v>
      </c>
      <c r="Q463" s="33" t="n">
        <f>107600</f>
        <v>107600.0</v>
      </c>
      <c r="R463" s="34" t="s">
        <v>51</v>
      </c>
      <c r="S463" s="35" t="n">
        <f>106040</f>
        <v>106040.0</v>
      </c>
      <c r="T463" s="32" t="n">
        <f>105638</f>
        <v>105638.0</v>
      </c>
      <c r="U463" s="32" t="n">
        <f>21755</f>
        <v>21755.0</v>
      </c>
      <c r="V463" s="32" t="n">
        <f>11205105324</f>
        <v>1.1205105324E10</v>
      </c>
      <c r="W463" s="32" t="n">
        <f>2312448724</f>
        <v>2.312448724E9</v>
      </c>
      <c r="X463" s="36" t="n">
        <f>20</f>
        <v>20.0</v>
      </c>
    </row>
    <row r="464">
      <c r="A464" s="27" t="s">
        <v>42</v>
      </c>
      <c r="B464" s="27" t="s">
        <v>1434</v>
      </c>
      <c r="C464" s="27" t="s">
        <v>1435</v>
      </c>
      <c r="D464" s="27" t="s">
        <v>1436</v>
      </c>
      <c r="E464" s="28" t="s">
        <v>46</v>
      </c>
      <c r="F464" s="29" t="s">
        <v>46</v>
      </c>
      <c r="G464" s="30" t="s">
        <v>46</v>
      </c>
      <c r="H464" s="31"/>
      <c r="I464" s="31" t="s">
        <v>47</v>
      </c>
      <c r="J464" s="32" t="n">
        <v>1.0</v>
      </c>
      <c r="K464" s="33" t="n">
        <f>140100</f>
        <v>140100.0</v>
      </c>
      <c r="L464" s="34" t="s">
        <v>48</v>
      </c>
      <c r="M464" s="33" t="n">
        <f>149000</f>
        <v>149000.0</v>
      </c>
      <c r="N464" s="34" t="s">
        <v>77</v>
      </c>
      <c r="O464" s="33" t="n">
        <f>139400</f>
        <v>139400.0</v>
      </c>
      <c r="P464" s="34" t="s">
        <v>48</v>
      </c>
      <c r="Q464" s="33" t="n">
        <f>146300</f>
        <v>146300.0</v>
      </c>
      <c r="R464" s="34" t="s">
        <v>51</v>
      </c>
      <c r="S464" s="35" t="n">
        <f>144920</f>
        <v>144920.0</v>
      </c>
      <c r="T464" s="32" t="n">
        <f>85366</f>
        <v>85366.0</v>
      </c>
      <c r="U464" s="32" t="n">
        <f>22238</f>
        <v>22238.0</v>
      </c>
      <c r="V464" s="32" t="n">
        <f>12395905833</f>
        <v>1.2395905833E10</v>
      </c>
      <c r="W464" s="32" t="n">
        <f>3228966433</f>
        <v>3.228966433E9</v>
      </c>
      <c r="X464" s="36" t="n">
        <f>20</f>
        <v>20.0</v>
      </c>
    </row>
    <row r="465">
      <c r="A465" s="27" t="s">
        <v>42</v>
      </c>
      <c r="B465" s="27" t="s">
        <v>1437</v>
      </c>
      <c r="C465" s="27" t="s">
        <v>1438</v>
      </c>
      <c r="D465" s="27" t="s">
        <v>1439</v>
      </c>
      <c r="E465" s="28" t="s">
        <v>46</v>
      </c>
      <c r="F465" s="29" t="s">
        <v>46</v>
      </c>
      <c r="G465" s="30" t="s">
        <v>46</v>
      </c>
      <c r="H465" s="31"/>
      <c r="I465" s="31" t="s">
        <v>414</v>
      </c>
      <c r="J465" s="32" t="n">
        <v>1.0</v>
      </c>
      <c r="K465" s="33" t="n">
        <f>45750</f>
        <v>45750.0</v>
      </c>
      <c r="L465" s="34" t="s">
        <v>48</v>
      </c>
      <c r="M465" s="33" t="n">
        <f>49700</f>
        <v>49700.0</v>
      </c>
      <c r="N465" s="34" t="s">
        <v>51</v>
      </c>
      <c r="O465" s="33" t="n">
        <f>45600</f>
        <v>45600.0</v>
      </c>
      <c r="P465" s="34" t="s">
        <v>82</v>
      </c>
      <c r="Q465" s="33" t="n">
        <f>49450</f>
        <v>49450.0</v>
      </c>
      <c r="R465" s="34" t="s">
        <v>51</v>
      </c>
      <c r="S465" s="35" t="n">
        <f>46980</f>
        <v>46980.0</v>
      </c>
      <c r="T465" s="32" t="n">
        <f>4640</f>
        <v>4640.0</v>
      </c>
      <c r="U465" s="32" t="n">
        <f>84</f>
        <v>84.0</v>
      </c>
      <c r="V465" s="32" t="n">
        <f>217809850</f>
        <v>2.1780985E8</v>
      </c>
      <c r="W465" s="32" t="n">
        <f>3855600</f>
        <v>3855600.0</v>
      </c>
      <c r="X465" s="36" t="n">
        <f>20</f>
        <v>20.0</v>
      </c>
    </row>
    <row r="466">
      <c r="A466" s="27" t="s">
        <v>42</v>
      </c>
      <c r="B466" s="27" t="s">
        <v>1440</v>
      </c>
      <c r="C466" s="27" t="s">
        <v>1441</v>
      </c>
      <c r="D466" s="27" t="s">
        <v>1442</v>
      </c>
      <c r="E466" s="28" t="s">
        <v>46</v>
      </c>
      <c r="F466" s="29" t="s">
        <v>46</v>
      </c>
      <c r="G466" s="30" t="s">
        <v>46</v>
      </c>
      <c r="H466" s="31"/>
      <c r="I466" s="31" t="s">
        <v>414</v>
      </c>
      <c r="J466" s="32" t="n">
        <v>1.0</v>
      </c>
      <c r="K466" s="33" t="n">
        <f>84200</f>
        <v>84200.0</v>
      </c>
      <c r="L466" s="34" t="s">
        <v>48</v>
      </c>
      <c r="M466" s="33" t="n">
        <f>88400</f>
        <v>88400.0</v>
      </c>
      <c r="N466" s="34" t="s">
        <v>86</v>
      </c>
      <c r="O466" s="33" t="n">
        <f>83100</f>
        <v>83100.0</v>
      </c>
      <c r="P466" s="34" t="s">
        <v>82</v>
      </c>
      <c r="Q466" s="33" t="n">
        <f>87300</f>
        <v>87300.0</v>
      </c>
      <c r="R466" s="34" t="s">
        <v>51</v>
      </c>
      <c r="S466" s="35" t="n">
        <f>86090</f>
        <v>86090.0</v>
      </c>
      <c r="T466" s="32" t="n">
        <f>27945</f>
        <v>27945.0</v>
      </c>
      <c r="U466" s="32" t="n">
        <f>458</f>
        <v>458.0</v>
      </c>
      <c r="V466" s="32" t="n">
        <f>2399601615</f>
        <v>2.399601615E9</v>
      </c>
      <c r="W466" s="32" t="n">
        <f>39016615</f>
        <v>3.9016615E7</v>
      </c>
      <c r="X466" s="36" t="n">
        <f>20</f>
        <v>20.0</v>
      </c>
    </row>
    <row r="467">
      <c r="A467" s="27" t="s">
        <v>42</v>
      </c>
      <c r="B467" s="27" t="s">
        <v>1443</v>
      </c>
      <c r="C467" s="27" t="s">
        <v>1444</v>
      </c>
      <c r="D467" s="27" t="s">
        <v>1445</v>
      </c>
      <c r="E467" s="28" t="s">
        <v>46</v>
      </c>
      <c r="F467" s="29" t="s">
        <v>46</v>
      </c>
      <c r="G467" s="30" t="s">
        <v>46</v>
      </c>
      <c r="H467" s="31"/>
      <c r="I467" s="31" t="s">
        <v>414</v>
      </c>
      <c r="J467" s="32" t="n">
        <v>1.0</v>
      </c>
      <c r="K467" s="33" t="n">
        <f>47600</f>
        <v>47600.0</v>
      </c>
      <c r="L467" s="34" t="s">
        <v>48</v>
      </c>
      <c r="M467" s="33" t="n">
        <f>49800</f>
        <v>49800.0</v>
      </c>
      <c r="N467" s="34" t="s">
        <v>51</v>
      </c>
      <c r="O467" s="33" t="n">
        <f>47200</f>
        <v>47200.0</v>
      </c>
      <c r="P467" s="34" t="s">
        <v>116</v>
      </c>
      <c r="Q467" s="33" t="n">
        <f>49800</f>
        <v>49800.0</v>
      </c>
      <c r="R467" s="34" t="s">
        <v>51</v>
      </c>
      <c r="S467" s="35" t="n">
        <f>48600</f>
        <v>48600.0</v>
      </c>
      <c r="T467" s="32" t="n">
        <f>9635</f>
        <v>9635.0</v>
      </c>
      <c r="U467" s="32" t="n">
        <f>70</f>
        <v>70.0</v>
      </c>
      <c r="V467" s="32" t="n">
        <f>467306350</f>
        <v>4.6730635E8</v>
      </c>
      <c r="W467" s="32" t="n">
        <f>3360000</f>
        <v>3360000.0</v>
      </c>
      <c r="X467" s="36" t="n">
        <f>20</f>
        <v>20.0</v>
      </c>
    </row>
    <row r="468">
      <c r="A468" s="27" t="s">
        <v>42</v>
      </c>
      <c r="B468" s="27" t="s">
        <v>1446</v>
      </c>
      <c r="C468" s="27" t="s">
        <v>1447</v>
      </c>
      <c r="D468" s="27" t="s">
        <v>1448</v>
      </c>
      <c r="E468" s="28" t="s">
        <v>46</v>
      </c>
      <c r="F468" s="29" t="s">
        <v>46</v>
      </c>
      <c r="G468" s="30" t="s">
        <v>46</v>
      </c>
      <c r="H468" s="31"/>
      <c r="I468" s="31" t="s">
        <v>47</v>
      </c>
      <c r="J468" s="32" t="n">
        <v>1.0</v>
      </c>
      <c r="K468" s="33" t="n">
        <f>48950</f>
        <v>48950.0</v>
      </c>
      <c r="L468" s="34" t="s">
        <v>48</v>
      </c>
      <c r="M468" s="33" t="n">
        <f>53900</f>
        <v>53900.0</v>
      </c>
      <c r="N468" s="34" t="s">
        <v>64</v>
      </c>
      <c r="O468" s="33" t="n">
        <f>48800</f>
        <v>48800.0</v>
      </c>
      <c r="P468" s="34" t="s">
        <v>48</v>
      </c>
      <c r="Q468" s="33" t="n">
        <f>53200</f>
        <v>53200.0</v>
      </c>
      <c r="R468" s="34" t="s">
        <v>51</v>
      </c>
      <c r="S468" s="35" t="n">
        <f>51765</f>
        <v>51765.0</v>
      </c>
      <c r="T468" s="32" t="n">
        <f>27276</f>
        <v>27276.0</v>
      </c>
      <c r="U468" s="32" t="n">
        <f>729</f>
        <v>729.0</v>
      </c>
      <c r="V468" s="32" t="n">
        <f>1409874226</f>
        <v>1.409874226E9</v>
      </c>
      <c r="W468" s="32" t="n">
        <f>37088176</f>
        <v>3.7088176E7</v>
      </c>
      <c r="X468" s="36" t="n">
        <f>20</f>
        <v>20.0</v>
      </c>
    </row>
    <row r="469">
      <c r="A469" s="27" t="s">
        <v>42</v>
      </c>
      <c r="B469" s="27" t="s">
        <v>1449</v>
      </c>
      <c r="C469" s="27" t="s">
        <v>1450</v>
      </c>
      <c r="D469" s="27" t="s">
        <v>1451</v>
      </c>
      <c r="E469" s="28" t="s">
        <v>46</v>
      </c>
      <c r="F469" s="29" t="s">
        <v>46</v>
      </c>
      <c r="G469" s="30" t="s">
        <v>46</v>
      </c>
      <c r="H469" s="31"/>
      <c r="I469" s="31" t="s">
        <v>414</v>
      </c>
      <c r="J469" s="32" t="n">
        <v>1.0</v>
      </c>
      <c r="K469" s="33" t="n">
        <f>47000</f>
        <v>47000.0</v>
      </c>
      <c r="L469" s="34" t="s">
        <v>48</v>
      </c>
      <c r="M469" s="33" t="n">
        <f>52900</f>
        <v>52900.0</v>
      </c>
      <c r="N469" s="34" t="s">
        <v>64</v>
      </c>
      <c r="O469" s="33" t="n">
        <f>46550</f>
        <v>46550.0</v>
      </c>
      <c r="P469" s="34" t="s">
        <v>116</v>
      </c>
      <c r="Q469" s="33" t="n">
        <f>52000</f>
        <v>52000.0</v>
      </c>
      <c r="R469" s="34" t="s">
        <v>51</v>
      </c>
      <c r="S469" s="35" t="n">
        <f>50312.5</f>
        <v>50312.5</v>
      </c>
      <c r="T469" s="32" t="n">
        <f>34688</f>
        <v>34688.0</v>
      </c>
      <c r="U469" s="32" t="n">
        <f>1013</f>
        <v>1013.0</v>
      </c>
      <c r="V469" s="32" t="n">
        <f>1750540317</f>
        <v>1.750540317E9</v>
      </c>
      <c r="W469" s="32" t="n">
        <f>50416167</f>
        <v>5.0416167E7</v>
      </c>
      <c r="X469" s="36" t="n">
        <f>20</f>
        <v>20.0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2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