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315" windowHeight="12330"/>
  </bookViews>
  <sheets>
    <sheet name="BO_EM0004" sheetId="1" r:id="rId1"/>
  </sheets>
  <definedNames>
    <definedName name="_xlnm.Print_Titles" localSheetId="0">BO_EM0004!$1:$6</definedName>
  </definedNames>
  <calcPr calcId="145621"/>
</workbook>
</file>

<file path=xl/sharedStrings.xml><?xml version="1.0" encoding="utf-8"?>
<sst xmlns="http://schemas.openxmlformats.org/spreadsheetml/2006/main" count="5866" uniqueCount="1526">
  <si>
    <t>(注) 1.信用：制度信用銘柄                  　　　　　　　　　　 (Notes) 1."信用"：Issues eligible for Standardized margin transactions.
     2.貸借：制度信用銘柄及び貸借銘柄                                   2."貸借"：Issues eligible for Standardized margin transactions and loan transactions.
     3.審　：監理銘柄（審査中）　確　：監理銘柄（確認中）               3."審""確""監"：Securities Under Supervision(Examination/Confirmation).
       監　：監理銘柄（審査中・確認中）                                   "整"　　　　：Securities to be Delisted.
       整　：整理銘柄</t>
    <phoneticPr fontId="3"/>
  </si>
  <si>
    <t>投　信　等　相　場　表</t>
    <rPh sb="0" eb="1">
      <t>トウ</t>
    </rPh>
    <rPh sb="2" eb="3">
      <t>シン</t>
    </rPh>
    <rPh sb="4" eb="5">
      <t>トウ</t>
    </rPh>
    <rPh sb="6" eb="7">
      <t>ソウ</t>
    </rPh>
    <rPh sb="8" eb="9">
      <t>バ</t>
    </rPh>
    <rPh sb="10" eb="11">
      <t>ヒョウ</t>
    </rPh>
    <phoneticPr fontId="3"/>
  </si>
  <si>
    <t>Investment Trust Quotations</t>
    <phoneticPr fontId="3"/>
  </si>
  <si>
    <t>年月</t>
  </si>
  <si>
    <t>銘柄コード</t>
    <rPh sb="0" eb="2">
      <t>メイガラ</t>
    </rPh>
    <phoneticPr fontId="3"/>
  </si>
  <si>
    <t>銘柄名称</t>
    <rPh sb="0" eb="2">
      <t>メイガラ</t>
    </rPh>
    <rPh sb="2" eb="4">
      <t>メイショウ</t>
    </rPh>
    <phoneticPr fontId="3"/>
  </si>
  <si>
    <t>Issues</t>
  </si>
  <si>
    <t>銘柄属性</t>
    <phoneticPr fontId="3"/>
  </si>
  <si>
    <t>Attribute</t>
    <phoneticPr fontId="3"/>
  </si>
  <si>
    <t>日付</t>
    <rPh sb="0" eb="2">
      <t>ヒヅケ</t>
    </rPh>
    <phoneticPr fontId="3"/>
  </si>
  <si>
    <t>区分</t>
  </si>
  <si>
    <t>信用・貸借</t>
    <rPh sb="0" eb="2">
      <t>シンヨウ</t>
    </rPh>
    <rPh sb="3" eb="5">
      <t>タイシャク</t>
    </rPh>
    <phoneticPr fontId="3"/>
  </si>
  <si>
    <t>売買単位</t>
    <rPh sb="0" eb="2">
      <t>バイバイ</t>
    </rPh>
    <rPh sb="2" eb="4">
      <t>タンイ</t>
    </rPh>
    <phoneticPr fontId="3"/>
  </si>
  <si>
    <t>始値</t>
    <rPh sb="0" eb="2">
      <t>ハジメネ</t>
    </rPh>
    <phoneticPr fontId="3"/>
  </si>
  <si>
    <t>高値</t>
    <rPh sb="0" eb="1">
      <t>タカ</t>
    </rPh>
    <rPh sb="1" eb="2">
      <t>ネ</t>
    </rPh>
    <phoneticPr fontId="3"/>
  </si>
  <si>
    <t>安値</t>
    <rPh sb="0" eb="2">
      <t>ヤスネ</t>
    </rPh>
    <phoneticPr fontId="3"/>
  </si>
  <si>
    <t>終値</t>
    <rPh sb="0" eb="2">
      <t>オワリネ</t>
    </rPh>
    <phoneticPr fontId="3"/>
  </si>
  <si>
    <t>終値平均</t>
    <rPh sb="0" eb="2">
      <t>オワリネ</t>
    </rPh>
    <rPh sb="2" eb="4">
      <t>ヘイキン</t>
    </rPh>
    <phoneticPr fontId="3"/>
  </si>
  <si>
    <t>売買高</t>
    <rPh sb="0" eb="3">
      <t>バイバイダカ</t>
    </rPh>
    <phoneticPr fontId="3"/>
  </si>
  <si>
    <t>うちToSTNeT売買高</t>
  </si>
  <si>
    <t>売買代金</t>
    <rPh sb="0" eb="2">
      <t>バイバイ</t>
    </rPh>
    <rPh sb="2" eb="4">
      <t>ダイキン</t>
    </rPh>
    <phoneticPr fontId="3"/>
  </si>
  <si>
    <t>うちToSTNeT売買代金</t>
  </si>
  <si>
    <t>値付日数</t>
    <rPh sb="0" eb="2">
      <t>ネツ</t>
    </rPh>
    <rPh sb="2" eb="4">
      <t>ニッスウ</t>
    </rPh>
    <phoneticPr fontId="3"/>
  </si>
  <si>
    <t>Year/Month</t>
  </si>
  <si>
    <t>Code</t>
    <phoneticPr fontId="10"/>
  </si>
  <si>
    <t>Date</t>
    <phoneticPr fontId="3"/>
  </si>
  <si>
    <t>Sector</t>
  </si>
  <si>
    <t>margin/loan</t>
    <phoneticPr fontId="10"/>
  </si>
  <si>
    <t>Trading Unit</t>
    <phoneticPr fontId="3"/>
  </si>
  <si>
    <t>Open</t>
  </si>
  <si>
    <t>High</t>
    <phoneticPr fontId="3"/>
  </si>
  <si>
    <t>Low</t>
  </si>
  <si>
    <t>Close</t>
  </si>
  <si>
    <t>Average Closing Price</t>
    <phoneticPr fontId="10"/>
  </si>
  <si>
    <t>Trading Volume</t>
  </si>
  <si>
    <t>Trading Volume(ToSTNeT)</t>
    <phoneticPr fontId="10"/>
  </si>
  <si>
    <t>Trading Value</t>
  </si>
  <si>
    <t>Trading Value(ToSTNeT)</t>
    <phoneticPr fontId="10"/>
  </si>
  <si>
    <t>Days Traded</t>
    <phoneticPr fontId="3"/>
  </si>
  <si>
    <t>口(units）</t>
    <phoneticPr fontId="10"/>
  </si>
  <si>
    <t>円(￥)</t>
    <phoneticPr fontId="10"/>
  </si>
  <si>
    <t>口(units）</t>
  </si>
  <si>
    <t>2025/12</t>
  </si>
  <si>
    <t>1305</t>
  </si>
  <si>
    <t>ｉＦｒｅｅＥＴＦ　ＴＯＰＩＸ（年１回決算型）　受益証券</t>
  </si>
  <si>
    <t>iFreeETF TOPIX (Yearly Dividend Type)</t>
  </si>
  <si>
    <t/>
  </si>
  <si>
    <t>貸借</t>
  </si>
  <si>
    <t>1</t>
  </si>
  <si>
    <t>26</t>
  </si>
  <si>
    <t>3</t>
  </si>
  <si>
    <t>30</t>
  </si>
  <si>
    <t>1306</t>
  </si>
  <si>
    <t>ＮＥＸＴ　ＦＵＮＤＳ　ＴＯＰＩＸ連動型上場投信　受益証券</t>
  </si>
  <si>
    <t>NEXT FUNDS TOPIX Exchange Traded Fund</t>
  </si>
  <si>
    <t>15</t>
  </si>
  <si>
    <t>1308</t>
  </si>
  <si>
    <t>上場インデックスファンドＴＯＰＩＸ　受益証券</t>
  </si>
  <si>
    <t>Listed Index Fund TOPIX</t>
  </si>
  <si>
    <t>22</t>
  </si>
  <si>
    <t>1309</t>
  </si>
  <si>
    <t>ＮＥＸＴ　ＦＵＮＤＳ　ＣｈｉｎａＡＭＣ・中国株式・上証５０連動型上場投信　受益証券</t>
  </si>
  <si>
    <t>NEXT FUNDS ChinaAMC SSE50 Index Exchange Traded Fund</t>
  </si>
  <si>
    <t>17</t>
  </si>
  <si>
    <t>1311</t>
  </si>
  <si>
    <t>ＮＥＸＴ　ＦＵＮＤＳ　ＴＯＰＩＸ　Ｃｏｒｅ　３０連動型上場投信　受益証券</t>
  </si>
  <si>
    <t>NEXT FUNDS TOPIX Core 30 Exchange Traded Fund</t>
  </si>
  <si>
    <t>18</t>
  </si>
  <si>
    <t>1319</t>
  </si>
  <si>
    <t>ＮＥＸＴ　ＦＵＮＤＳ　日経３００株価指数連動型上場投信　受益証券</t>
  </si>
  <si>
    <t>NEXT FUNDS Nikkei 300 Index Exchange Traded Fund</t>
  </si>
  <si>
    <t>19</t>
  </si>
  <si>
    <t>1320</t>
  </si>
  <si>
    <t>ｉＦｒｅｅＥＴＦ　日経２２５（年１回決算型）　受益証券</t>
  </si>
  <si>
    <t>iFreeETF Nikkei225 (Yearly Dividend Type)</t>
  </si>
  <si>
    <t>12</t>
  </si>
  <si>
    <t>1321</t>
  </si>
  <si>
    <t>ＮＥＸＴ　ＦＵＮＤＳ　日経２２５連動型上場投信　受益証券</t>
  </si>
  <si>
    <t>NEXT FUNDS Nikkei 225 Exchange Traded Fund</t>
  </si>
  <si>
    <t>1322</t>
  </si>
  <si>
    <t>上場インデックスファンド中国Ａ株（パンダ）Ｅ　Ｆｕｎｄ　ＣＳＩ３００　受益証券</t>
  </si>
  <si>
    <t>Listed Index Fund China A Share (Panda) E Fund CSI300</t>
  </si>
  <si>
    <t>29</t>
  </si>
  <si>
    <t>1325</t>
  </si>
  <si>
    <t>ＮＥＸＴ　ＦＵＮＤＳ　ブラジル株式指数・ボベスパ連動型上場投信　受益証券</t>
  </si>
  <si>
    <t>NEXT FUNDS Ibovespa Linked Exchange Traded Fund</t>
  </si>
  <si>
    <t>5</t>
  </si>
  <si>
    <t>1326</t>
  </si>
  <si>
    <t>ＳＰＤＲゴールド・シェア　受益証券</t>
  </si>
  <si>
    <t>SPDR Gold Shares</t>
  </si>
  <si>
    <t>4</t>
  </si>
  <si>
    <t>1328</t>
  </si>
  <si>
    <t>ＮＥＸＴ　ＦＵＮＤＳ　金価格連動型上場投信　受益証券</t>
  </si>
  <si>
    <t>NEXT FUNDS Gold Price Exchange Traded Fund</t>
  </si>
  <si>
    <t>1329</t>
  </si>
  <si>
    <t>ｉシェアーズ・コア　日経２２５　ＥＴＦ　受益証券</t>
  </si>
  <si>
    <t>iShares Core Nikkei 225 ETF</t>
  </si>
  <si>
    <t>1330</t>
  </si>
  <si>
    <t>上場インデックスファンド２２５　受益証券</t>
  </si>
  <si>
    <t>Listed Index Fund 225</t>
  </si>
  <si>
    <t>133A</t>
  </si>
  <si>
    <t>グローバルＸ　超短期米国債　ＥＴＦ　受益証券</t>
  </si>
  <si>
    <t>Global X Ultra Short-Term T-Bill ETF</t>
  </si>
  <si>
    <t>1343</t>
  </si>
  <si>
    <t>ＮＥＸＴ　ＦＵＮＤＳ　東証ＲＥＩＴ　指数連動型上場投信　受益証券</t>
  </si>
  <si>
    <t>NEXT FUNDS REIT INDEX ETF</t>
  </si>
  <si>
    <t>9</t>
  </si>
  <si>
    <t>1345</t>
  </si>
  <si>
    <t>上場インデックスファンドＪリート（東証ＲＥＩＴ指数）隔月分配型　受益証券</t>
  </si>
  <si>
    <t>Listed Index Fund J-REIT (Tokyo Stock Exchange REIT Index)Bi-Monthly Dividend Payment Type</t>
  </si>
  <si>
    <t>1346</t>
  </si>
  <si>
    <t>ＭＡＸＩＳ　日経２２５上場投信　受益証券</t>
  </si>
  <si>
    <t>MAXIS NIKKEI 225 ETF</t>
  </si>
  <si>
    <t>1348</t>
  </si>
  <si>
    <t>ＭＡＸＩＳ　トピックス上場投信　受益証券</t>
  </si>
  <si>
    <t>MAXIS TOPIX ETF</t>
  </si>
  <si>
    <t>1349</t>
  </si>
  <si>
    <t>ABF汎アジア債券インデックス・ファンド　受益証券</t>
  </si>
  <si>
    <t>ABF PAN ASIA BOND INDEX FUND</t>
  </si>
  <si>
    <t>1356</t>
  </si>
  <si>
    <t>ＴＯＰＩＸベア２倍上場投信　受益証券</t>
  </si>
  <si>
    <t>TOPIX Bear -2x ETF</t>
  </si>
  <si>
    <t>1357</t>
  </si>
  <si>
    <t>ＮＥＸＴ　ＦＵＮＤＳ　日経平均ダブルインバース・インデックス連動型上場投信　受益証券</t>
  </si>
  <si>
    <t>NEXT FUNDS Nikkei 225 Double Inverse Index Exchange Traded Fund</t>
  </si>
  <si>
    <t>1358</t>
  </si>
  <si>
    <t>上場インデックスファンド日経レバレッジ指数　受益証券</t>
  </si>
  <si>
    <t>Listed Index Fund Nikkei Leveraged Index</t>
  </si>
  <si>
    <t>10</t>
  </si>
  <si>
    <t>1360</t>
  </si>
  <si>
    <t>日経平均ベア２倍上場投信　受益証券</t>
  </si>
  <si>
    <t>Nikkei225 Bear -2x ETF</t>
  </si>
  <si>
    <t>1364</t>
  </si>
  <si>
    <t>ｉシェアーズ　ＪＰＸ日経４００　ＥＴＦ　受益証券</t>
  </si>
  <si>
    <t>iShares JPX-Nikkei 400 ETF</t>
  </si>
  <si>
    <t>1365</t>
  </si>
  <si>
    <t>ｉＦｒｅｅＥＴＦ　日経平均レバレッジ・インデックス　受益証券</t>
  </si>
  <si>
    <t>iFreeETF Nikkei225 Leveraged Index</t>
  </si>
  <si>
    <t>1366</t>
  </si>
  <si>
    <t>ｉＦｒｅｅＥＴＦ　日経平均ダブルインバース・インデックス　受益証券</t>
  </si>
  <si>
    <t>iFreeETF Nikkei225 Double Inverse Index</t>
  </si>
  <si>
    <t>1367</t>
  </si>
  <si>
    <t>ｉＦｒｅｅＥＴＦ　ＴＯＰＩＸレバレッジ（２倍）指数　受益証券</t>
  </si>
  <si>
    <t>iFreeETF TOPIX Leveraged (2x) Index</t>
  </si>
  <si>
    <t>1368</t>
  </si>
  <si>
    <t>ｉＦｒｅｅＥＴＦ　ＴＯＰＩＸダブルインバース（－２倍）指数　受益証券</t>
  </si>
  <si>
    <t>iFreeETF TOPIX Double Inverse (-2x) Index</t>
  </si>
  <si>
    <t>1369</t>
  </si>
  <si>
    <t>Ｏｎｅ　ＥＴＦ　日経２２５　受益証券</t>
  </si>
  <si>
    <t>One ETF Nikkei225</t>
  </si>
  <si>
    <t>1397</t>
  </si>
  <si>
    <t>ＳＭＤＡＭ　日経２２５上場投信　受益証券</t>
  </si>
  <si>
    <t>SMDAM NIKKEI225 ETF</t>
  </si>
  <si>
    <t>1398</t>
  </si>
  <si>
    <t>ＳＭＤＡＭ　東証ＲＥＩＴ指数上場投信　受益証券</t>
  </si>
  <si>
    <t>SMDAM REIT Index ETF</t>
  </si>
  <si>
    <t>1399</t>
  </si>
  <si>
    <t>上場インデックスファンドＭＳＣＩ日本株高配当低ボラティリティ　受益証券</t>
  </si>
  <si>
    <t>Listed Index Fund MSCI Japan Equity High Dividend Low Volatility</t>
  </si>
  <si>
    <t>140A</t>
  </si>
  <si>
    <t>ｉＦｒｅｅＥＴＦ　米国１０年国債先物インバース　受益証券</t>
  </si>
  <si>
    <t>iFreeETF 10-Year U.S. Treasury Note Futures Inverse</t>
  </si>
  <si>
    <t>8</t>
  </si>
  <si>
    <t>1456</t>
  </si>
  <si>
    <t>ｉＦｒｅｅＥＴＦ　日経平均インバース・インデックス　受益証券</t>
  </si>
  <si>
    <t>iFreeETF Nikkei225 Inverse Index</t>
  </si>
  <si>
    <t>1457</t>
  </si>
  <si>
    <t>ｉＦｒｅｅＥＴＦ　ＴＯＰＩＸインバース（－１倍）指数　受益証券</t>
  </si>
  <si>
    <t>iFreeETF TOPIX Inverse (-1x) Index</t>
  </si>
  <si>
    <t>1458</t>
  </si>
  <si>
    <t>楽天ＥＴＦ‐日経レバレッジ指数連動型　受益証券</t>
  </si>
  <si>
    <t>Rakuten ETF - Nikkei 225 Leveraged Index</t>
  </si>
  <si>
    <t>1459</t>
  </si>
  <si>
    <t>楽天ＥＴＦ‐日経ダブルインバース指数連動型　受益証券</t>
  </si>
  <si>
    <t>Rakuten ETF - Nikkei 225 Double Inverse Index</t>
  </si>
  <si>
    <t>1466</t>
  </si>
  <si>
    <t>ｉＦｒｅｅＥＴＦ　ＪＰＸ日経４００ダブルインバース・インデックス　受益証券</t>
  </si>
  <si>
    <t>iFreeETF JPX-Nikkei400 Double Inverse (-2x) Index</t>
  </si>
  <si>
    <t>1469</t>
  </si>
  <si>
    <t>ＪＰＸ日経４００ベア２倍上場投信（ダブルインバース）　受益証券</t>
  </si>
  <si>
    <t>JPX-Nikkei 400 Bear -2x Double Inverse ETF</t>
  </si>
  <si>
    <t>2</t>
  </si>
  <si>
    <t>1472</t>
  </si>
  <si>
    <t>ＮＥＸＴ　ＦＵＮＤＳ　ＪＰＸ日経４００ダブルインバース・インデックス連動型上場投信　受益証券</t>
  </si>
  <si>
    <t>NEXT FUNDS JPX-Nikkei 400 Double Inverse Index Exchange Traded Fund</t>
  </si>
  <si>
    <t>1473</t>
  </si>
  <si>
    <t>Ｏｎｅ　ＥＴＦ　トピックス　受益証券</t>
  </si>
  <si>
    <t>One ETF TOPIX</t>
  </si>
  <si>
    <t>1474</t>
  </si>
  <si>
    <t>Ｏｎｅ　ＥＴＦ　ＪＰＸ日経４００　受益証券</t>
  </si>
  <si>
    <t>One ETF JPX-Nikkei 400</t>
  </si>
  <si>
    <t>1475</t>
  </si>
  <si>
    <t>ｉシェアーズ・コア　ＴＯＰＩＸ　ＥＴＦ　受益証券</t>
  </si>
  <si>
    <t>iShares Core TOPIX ETF</t>
  </si>
  <si>
    <t>1476</t>
  </si>
  <si>
    <t>ｉシェアーズ・コア　Ｊリート　ＥＴＦ　受益証券</t>
  </si>
  <si>
    <t>iShares Core Japan REIT ETF</t>
  </si>
  <si>
    <t>1477</t>
  </si>
  <si>
    <t>ｉシェアーズ　ＭＳＣＩ　日本株最小分散　ＥＴＦ　受益証券</t>
  </si>
  <si>
    <t>iShares MSCI Japan Minimum Volatility (ex-REITs) ETF</t>
  </si>
  <si>
    <t>16</t>
  </si>
  <si>
    <t>1478</t>
  </si>
  <si>
    <t>ｉシェアーズ　ＭＳＣＩ　ジャパン高配当利回り　ＥＴＦ　受益証券</t>
  </si>
  <si>
    <t>iShares MSCI Japan High Dividend ETF</t>
  </si>
  <si>
    <t>1479</t>
  </si>
  <si>
    <t>ｉＦｒｅｅＥＴＦ　ＭＳＣＩ日本株人材設備投資指数　受益証券</t>
  </si>
  <si>
    <t>iFreeETF MSCI Japan Human and Physical Investment Index</t>
  </si>
  <si>
    <t>1480</t>
  </si>
  <si>
    <t>ＮＥＸＴ　ＦＵＮＤＳ　野村企業価値分配指数連動型上場投信　受益証券</t>
  </si>
  <si>
    <t>NEXT FUNDS Nomura Enterprise Value Allocation Index Exchange Traded Fund</t>
  </si>
  <si>
    <t>25</t>
  </si>
  <si>
    <t>1481</t>
  </si>
  <si>
    <t>上場インデックスファンド日本経済貢献株　受益証券</t>
  </si>
  <si>
    <t>Listed Index Fund Japanese Economy Contributor Stocks</t>
  </si>
  <si>
    <t>1482</t>
  </si>
  <si>
    <t>ｉシェアーズ・コア　米国債７－１０年　ＥＴＦ（為替ヘッジあり）　受益証券</t>
  </si>
  <si>
    <t>iShares Core 7-10 Year US Treasury Bond JPY Hedged ETF</t>
  </si>
  <si>
    <t>1483</t>
  </si>
  <si>
    <t>ｉシェアーズ　ＪＰＸ／Ｓ＆Ｐ設備・人材投資　ＥＴＦ　受益証券</t>
  </si>
  <si>
    <t>iShares JPX/S&amp;P CAPEX &amp; Human Capital ETF</t>
  </si>
  <si>
    <t>1484</t>
  </si>
  <si>
    <t>Ｏｎｅ　ＥＴＦ　ＪＰＸ／Ｓ＆Ｐ　設備・人材投資指数　受益証券</t>
  </si>
  <si>
    <t>One ETF JPX/S&amp;P CAPEX &amp; Human Capital Index</t>
  </si>
  <si>
    <t>1485</t>
  </si>
  <si>
    <t>ＭＡＸＩＳ　ＪＡＰＡＮ　設備・人材積極投資企業２００上場投信　受益証券</t>
  </si>
  <si>
    <t>MAXIS JAPAN Proactive Investment in Physical and Human Capital 200 Index ETF</t>
  </si>
  <si>
    <t>1486</t>
  </si>
  <si>
    <t>上場インデックスファンド米国債券（為替ヘッジなし）　受益証券</t>
  </si>
  <si>
    <t>Listed Index Fund US Bond (No Currency Hedge)</t>
  </si>
  <si>
    <t>1487</t>
  </si>
  <si>
    <t>上場インデックスファンド米国債券（為替ヘッジあり）　受益証券</t>
  </si>
  <si>
    <t>Listed Index Fund US Bond (Currency Hedge)</t>
  </si>
  <si>
    <t>1488</t>
  </si>
  <si>
    <t>ｉＦｒｅｅＥＴＦ　東証ＲＥＩＴ指数　受益証券</t>
  </si>
  <si>
    <t>iFreeETF Tokyo Stock Exchange REIT Index</t>
  </si>
  <si>
    <t>1489</t>
  </si>
  <si>
    <t>ＮＥＸＴ　ＦＵＮＤＳ　日経平均高配当株５０指数連動型上場投信　受益証券</t>
  </si>
  <si>
    <t>NEXT FUNDS Nikkei 225 High Dividend Yield Stock 50 Index Exchange Traded Fund</t>
  </si>
  <si>
    <t>1490</t>
  </si>
  <si>
    <t>上場インデックスファンドＭＳＣＩ日本株高配当低ボラティリティ（βヘッジ）　受益証券</t>
  </si>
  <si>
    <t>Listed Index Fund MSCI Japan Equity High Dividend Low Volatility (Beta Hedged)</t>
  </si>
  <si>
    <t>1493</t>
  </si>
  <si>
    <t>Ｏｎｅ　ＥＴＦ　ＪＰＸ日経中小型　受益証券</t>
  </si>
  <si>
    <t>One ETF JPX-Nikkei Mid Small</t>
  </si>
  <si>
    <t>1494</t>
  </si>
  <si>
    <t>Ｏｎｅ　ＥＴＦ　高配当日本株　受益証券</t>
  </si>
  <si>
    <t>One ETF High Dividend Japan Equity</t>
  </si>
  <si>
    <t>1495</t>
  </si>
  <si>
    <t>上場インデックスファンドアジアリート　受益証券</t>
  </si>
  <si>
    <t>Listed Index Fund Asian REIT</t>
  </si>
  <si>
    <t>1496</t>
  </si>
  <si>
    <t>ｉシェアーズ　米ドル建て投資適格社債　ＥＴＦ（為替ヘッジあり）　受益証券</t>
  </si>
  <si>
    <t>iShares USD Investment Grade Corporate Bond JPY Hedged ETF</t>
  </si>
  <si>
    <t>1497</t>
  </si>
  <si>
    <t>ｉシェアーズ　米ドル建てハイイールド社債　ＥＴＦ（為替ヘッジあり）　受益証券</t>
  </si>
  <si>
    <t>iShares USD High Yield Corporate Bond JPY Hedged ETF</t>
  </si>
  <si>
    <t>1498</t>
  </si>
  <si>
    <t>Ｏｎｅ　ＥＴＦ　ＥＳＧ　受益証券</t>
  </si>
  <si>
    <t>One ETF ESG</t>
  </si>
  <si>
    <t>1499</t>
  </si>
  <si>
    <t>ＭＡＸＩＳ日本株高配当７０マーケットニュートラル上場投信　受益証券</t>
  </si>
  <si>
    <t>MAXIS Japan Equity High Dividend 70 Market Neutral ETF</t>
  </si>
  <si>
    <t>1540</t>
  </si>
  <si>
    <t>純金上場信託（現物国内保管型）　受益証券</t>
  </si>
  <si>
    <t>Japan Physical Gold ETF</t>
  </si>
  <si>
    <t>1541</t>
  </si>
  <si>
    <t>純プラチナ上場信託（現物国内保管型）　受益証券</t>
  </si>
  <si>
    <t>Japan Physical Platinum ETF</t>
  </si>
  <si>
    <t>1542</t>
  </si>
  <si>
    <t>純銀上場信託（現物国内保管型）　受益証券</t>
  </si>
  <si>
    <t>Japan Physical Silver ETF</t>
  </si>
  <si>
    <t>1543</t>
  </si>
  <si>
    <t>純パラジウム上場信託（現物国内保管型）　受益証券</t>
  </si>
  <si>
    <t>Japan Physical Palladium ETF</t>
  </si>
  <si>
    <t>1545</t>
  </si>
  <si>
    <t>ＮＥＸＴ　ＦＵＮＤＳ　ＮＡＳＤＡＱ－１００（為替ヘッジなし）連動型上場投信　受益証券</t>
  </si>
  <si>
    <t>NEXT FUNDS NASDAQ-100(R) (Unhedged) Exchange Traded Fund</t>
  </si>
  <si>
    <t>1546</t>
  </si>
  <si>
    <t>ＮＥＸＴ　ＦＵＮＤＳ　ダウ・ジョーンズ工業株３０種平均株価（為替ヘッジなし）連動型上場投信　受益証券</t>
  </si>
  <si>
    <t>NEXT FUNDS DJIA (Unhedged) Exchange Traded Fund</t>
  </si>
  <si>
    <t>1547</t>
  </si>
  <si>
    <t>上場インデックスファンド米国株式（Ｓ＆Ｐ５００）　受益証券</t>
  </si>
  <si>
    <t>Listed Index Fund US Equity (S&amp;P500)</t>
  </si>
  <si>
    <t>1550</t>
  </si>
  <si>
    <t>ＭＡＸＩＳ　海外株式（ＭＳＣＩコクサイ）上場投信　受益証券</t>
  </si>
  <si>
    <t>MAXIS Global Equity (MSCI Kokusai) ETF</t>
  </si>
  <si>
    <t>1551</t>
  </si>
  <si>
    <t>東証スタンダードＴＯＰ２０ＥＴＦ　受益証券</t>
  </si>
  <si>
    <t>TSE Standard Top 20 ETF</t>
  </si>
  <si>
    <t>23</t>
  </si>
  <si>
    <t>1554</t>
  </si>
  <si>
    <t>上場インデックスファンド世界株式（ＭＳＣＩ　ＡＣＷＩ）除く日本　受益証券</t>
  </si>
  <si>
    <t>Listed Index Fund World Equity (MSCI ACWI) ex Japan</t>
  </si>
  <si>
    <t>1555</t>
  </si>
  <si>
    <t>上場インデックスファンド豪州リート（Ｓ＆Ｐ／ＡＳＸ２００　Ａ－ＲＥＩＴ）　受益証券</t>
  </si>
  <si>
    <t>Listed Index Fund Australian REIT (S&amp;P/ASX200 A-REIT)</t>
  </si>
  <si>
    <t>1557</t>
  </si>
  <si>
    <t>ＳＰＤＲ　Ｓ＆Ｐ５００　ＥＴＦ　受益証券</t>
  </si>
  <si>
    <t>SPDR S&amp;P500 ETF Trust</t>
  </si>
  <si>
    <t>1559</t>
  </si>
  <si>
    <t>ＮＥＸＴ　ＦＵＮＤＳ　タイ株式ＳＥＴ５０指数連動型上場投信　受益証券</t>
  </si>
  <si>
    <t>NEXT FUNDS Thai Stock SET50 Exchange Traded Fund</t>
  </si>
  <si>
    <t>1560</t>
  </si>
  <si>
    <t>ＮＥＸＴ　ＦＵＮＤＳ　ＦＴＳＥブルサ・マレーシアＫＬＣＩ連動型上場投信　受益証券</t>
  </si>
  <si>
    <t>NEXT FUNDS FTSE Bursa Malaysia KLCI Exchange Traded Fund</t>
  </si>
  <si>
    <t>1563</t>
  </si>
  <si>
    <t>東証グロース・コアＥＴＦ　受益証券</t>
  </si>
  <si>
    <t>TSE Growth Core ETF</t>
  </si>
  <si>
    <t>1566</t>
  </si>
  <si>
    <t>上場インデックスファンド新興国債券　受益証券</t>
  </si>
  <si>
    <t>Listed Index Fund Emerging Bond</t>
  </si>
  <si>
    <t>1568</t>
  </si>
  <si>
    <t>ＴＯＰＩＸブル２倍上場投信　受益証券</t>
  </si>
  <si>
    <t>TOPIX Bull 2x ETF</t>
  </si>
  <si>
    <t>1569</t>
  </si>
  <si>
    <t>ＴＯＰＩＸベア上場投信　受益証券</t>
  </si>
  <si>
    <t>TOPIX Bear -1x ETF</t>
  </si>
  <si>
    <t>1570</t>
  </si>
  <si>
    <t>ＮＥＸＴ　ＦＵＮＤＳ　日経平均レバレッジ・インデックス連動型上場投信　受益証券</t>
  </si>
  <si>
    <t>NEXT FUNDS Nikkei 225 Leveraged Index Exchange Traded Fund</t>
  </si>
  <si>
    <t>1571</t>
  </si>
  <si>
    <t>ＮＥＸＴ　ＦＵＮＤＳ　日経平均インバース・インデックス連動型上場投信　受益証券</t>
  </si>
  <si>
    <t>NEXT FUNDS Nikkei 225 Inverse Index Exchange Traded Fund</t>
  </si>
  <si>
    <t>1572</t>
  </si>
  <si>
    <t>中国Ｈ株ブル２倍上場投信　受益証券</t>
  </si>
  <si>
    <t>China Bull 2x HSCEI ETF</t>
  </si>
  <si>
    <t>1573</t>
  </si>
  <si>
    <t>中国Ｈ株ベア上場投信　受益証券</t>
  </si>
  <si>
    <t>China Bear -1x HSCEI ETF</t>
  </si>
  <si>
    <t>1577</t>
  </si>
  <si>
    <t>ＮＥＸＴ　ＦＵＮＤＳ　野村日本株高配当７０連動型上場投信　受益証券</t>
  </si>
  <si>
    <t>NEXT FUNDS Nomura Japan Equity High Dividend 70 Exchange Traded Fund</t>
  </si>
  <si>
    <t>1578</t>
  </si>
  <si>
    <t>上場インデックスファンド日経２２５（ミニ）　受益証券</t>
  </si>
  <si>
    <t>Listed Index Fund Nikkei 225 (Mini)</t>
  </si>
  <si>
    <t>1579</t>
  </si>
  <si>
    <t>日経平均ブル２倍上場投信　受益証券</t>
  </si>
  <si>
    <t>Nikkei 225 Bull 2x ETF</t>
  </si>
  <si>
    <t>1580</t>
  </si>
  <si>
    <t>日経平均ベア上場投信　受益証券</t>
  </si>
  <si>
    <t>Nikkei 225 Bear -1x ETF</t>
  </si>
  <si>
    <t>1585</t>
  </si>
  <si>
    <t>ｉＦｒｅｅＥＴＦ　ＴＯＰＩＸ　Ｅｘ－Ｆｉｎａｎｃｉａｌｓ　受益証券</t>
  </si>
  <si>
    <t>iFreeETF TOPIX Ex-Financials</t>
  </si>
  <si>
    <t>1586</t>
  </si>
  <si>
    <t>上場インデックスファンドＴＯＰＩＸ　Ｅｘ－Ｆｉｎａｎｃｉａｌｓ　受益証券</t>
  </si>
  <si>
    <t>Listed Index Fund TOPIX Ex-Financials</t>
  </si>
  <si>
    <t>1591</t>
  </si>
  <si>
    <t>ＮＥＸＴ　ＦＵＮＤＳ　ＪＰＸ日経インデックス４００連動型上場投信　受益証券</t>
  </si>
  <si>
    <t>NEXT FUNDS JPX-Nikkei Index 400 Exchange Traded Fund</t>
  </si>
  <si>
    <t>1592</t>
  </si>
  <si>
    <t>上場インデックスファンドＪＰＸ日経インデックス４００　受益証券</t>
  </si>
  <si>
    <t>Listed Index Fund JPX-Nikkei Index 400</t>
  </si>
  <si>
    <t>1593</t>
  </si>
  <si>
    <t>ＭＡＸＩＳ　ＪＰＸ日経インデックス４００上場投信　受益証券</t>
  </si>
  <si>
    <t>MAXIS JPX-Nikkei Index 400 ETF</t>
  </si>
  <si>
    <t>1595</t>
  </si>
  <si>
    <t>ＮＺＡＭ　上場投信　東証ＲＥＩＴ指数　受益証券</t>
  </si>
  <si>
    <t>NZAM ETF J-REIT Index</t>
  </si>
  <si>
    <t>1596</t>
  </si>
  <si>
    <t>ＮＺＡＭ　上場投信　ＴＯＰＩＸ　Ｅｘ－Ｆｉｎａｎｃｉａｌｓ　受益証券</t>
  </si>
  <si>
    <t>NZAM ETF TOPIX Ex-Financials</t>
  </si>
  <si>
    <t>11</t>
  </si>
  <si>
    <t>1597</t>
  </si>
  <si>
    <t>ＭＡＸＩＳ　Ｊリート上場投信　受益証券</t>
  </si>
  <si>
    <t>MAXIS J-REIT ETF</t>
  </si>
  <si>
    <t>1599</t>
  </si>
  <si>
    <t>ｉＦｒｅｅＥＴＦ　ＪＰＸ日経４００　受益証券</t>
  </si>
  <si>
    <t>iFreeETF JPX-Nikkei400</t>
  </si>
  <si>
    <t>24</t>
  </si>
  <si>
    <t>159A</t>
  </si>
  <si>
    <t>ＮＥＸＴ　ＦＵＮＤＳ　ＪＰＸプライム１５０指数連動型上場投信　受益証券</t>
  </si>
  <si>
    <t>NEXT FUNDS JPX Prime 150 Index Exchange Traded Fund</t>
  </si>
  <si>
    <t>1615</t>
  </si>
  <si>
    <t>ＮＥＸＴ　ＦＵＮＤＳ　東証銀行業株価指数連動型上場投信　受益証券</t>
  </si>
  <si>
    <t>NEXT FUNDS TOPIX Banks Exchange Traded Fund</t>
  </si>
  <si>
    <t>1617</t>
  </si>
  <si>
    <t>ＮＥＸＴ　ＦＵＮＤＳ　食品（ＴＯＰＩＸ－１７）上場投信　受益証券</t>
  </si>
  <si>
    <t>NEXT FUNDS TOPIX-17 FOODS ETF</t>
  </si>
  <si>
    <t>1618</t>
  </si>
  <si>
    <t>ＮＥＸＴ　ＦＵＮＤＳ　エネルギー資源（ＴＯＰＩＸ－１７）上場投信　受益証券</t>
  </si>
  <si>
    <t>NEXT FUNDS TOPIX-17 ENERGY RESOURCES ETF</t>
  </si>
  <si>
    <t>1619</t>
  </si>
  <si>
    <t>ＮＥＸＴ　ＦＵＮＤＳ　建設・資材（ＴＯＰＩＸ－１７）上場投信　受益証券</t>
  </si>
  <si>
    <t>NEXT FUNDS TOPIX-17 CONSTRUCTION &amp; MATERIALS ETF</t>
  </si>
  <si>
    <t>1620</t>
  </si>
  <si>
    <t>ＮＥＸＴ　ＦＵＮＤＳ　素材・化学（ＴＯＰＩＸ－１７）上場投信　受益証券</t>
  </si>
  <si>
    <t>NEXT FUNDS TOPIX-17 RAW MATERIALS &amp; CHEMICALS ETF</t>
  </si>
  <si>
    <t>1621</t>
  </si>
  <si>
    <t>ＮＥＸＴ　ＦＵＮＤＳ　医薬品（ＴＯＰＩＸ－１７）上場投信　受益証券</t>
  </si>
  <si>
    <t>NEXT FUNDS TOPIX-17 PHARMACEUTICAL ETF</t>
  </si>
  <si>
    <t>1622</t>
  </si>
  <si>
    <t>ＮＥＸＴ　ＦＵＮＤＳ　自動車・輸送機（ＴＯＰＩＸ－１７）上場投信　受益証券</t>
  </si>
  <si>
    <t>NEXT FUNDS TOPIX-17 AUTOMOBILES TRANSPORTATION EQUIPMENT ETF</t>
  </si>
  <si>
    <t>1623</t>
  </si>
  <si>
    <t>ＮＥＸＴ　ＦＵＮＤＳ　鉄鋼・非鉄（ＴＯＰＩＸ－１７）上場投信　受益証券</t>
  </si>
  <si>
    <t>NEXT FUNDS TOPIX-17 STEEL &amp; NONFERROUS ETF</t>
  </si>
  <si>
    <t>1624</t>
  </si>
  <si>
    <t>ＮＥＸＴ　ＦＵＮＤＳ　機械（ＴＯＰＩＸ－１７）上場投信　受益証券</t>
  </si>
  <si>
    <t>NEXT FUNDS TOPIX-17 MACHINERY ETF</t>
  </si>
  <si>
    <t>1625</t>
  </si>
  <si>
    <t>ＮＥＸＴ　ＦＵＮＤＳ　電機・精密（ＴＯＰＩＸ－１７）上場投信　受益証券</t>
  </si>
  <si>
    <t>NEXT FUNDS TOPIX-17 ELECTRIC &amp; PRECISION INSTRUMENTS ETF</t>
  </si>
  <si>
    <t>1626</t>
  </si>
  <si>
    <t>ＮＥＸＴ　ＦＵＮＤＳ　情報通信・サービスその他（ＴＯＰＩＸ－１７）上場投信　受益証券</t>
  </si>
  <si>
    <t>NEXT FUNDS TOPIX-17 IT &amp; SERVICES,OTHERS ETF</t>
  </si>
  <si>
    <t>1627</t>
  </si>
  <si>
    <t>ＮＥＸＴ　ＦＵＮＤＳ　電力・ガス（ＴＯＰＩＸ－１７）上場投信　受益証券</t>
  </si>
  <si>
    <t>NEXT FUNDS TOPIX-17 ELECTRIC POWER &amp; GAS ETF</t>
  </si>
  <si>
    <t>1628</t>
  </si>
  <si>
    <t>ＮＥＸＴ　ＦＵＮＤＳ　運輸・物流（ＴＯＰＩＸ－１７）上場投信　受益証券</t>
  </si>
  <si>
    <t>NEXT FUNDS TOPIX-17 TRANSPORTATION &amp; LOGISTICS ETF</t>
  </si>
  <si>
    <t>1629</t>
  </si>
  <si>
    <t>ＮＥＸＴ　ＦＵＮＤＳ　商社・卸売（ＴＯＰＩＸ－１７）上場投信　受益証券</t>
  </si>
  <si>
    <t>NEXT FUNDS TOPIX-17 COMMERCIAL &amp; WHOLESALE TRADE ETF</t>
  </si>
  <si>
    <t>162A</t>
  </si>
  <si>
    <t>ＡＩセレクトメガトレンド　日本株（ネットリターン）ＥＴＮ　受益証券</t>
  </si>
  <si>
    <t>AI Select Megatrend Japan Equity Net Return ETN</t>
  </si>
  <si>
    <t>信用</t>
  </si>
  <si>
    <t>1630</t>
  </si>
  <si>
    <t>ＮＥＸＴ　ＦＵＮＤＳ　小売（ＴＯＰＩＸ－１７）上場投信　受益証券</t>
  </si>
  <si>
    <t>NEXT FUNDS TOPIX-17 RETAIL TRADE ETF</t>
  </si>
  <si>
    <t>1631</t>
  </si>
  <si>
    <t>ＮＥＸＴ　ＦＵＮＤＳ　銀行（ＴＯＰＩＸ－１７）上場投信　受益証券</t>
  </si>
  <si>
    <t>NEXT FUNDS TOPIX-17 BANKS ETF</t>
  </si>
  <si>
    <t>1632</t>
  </si>
  <si>
    <t>ＮＥＸＴ　ＦＵＮＤＳ　金融（除く銀行）（ＴＯＰＩＸ－１７）上場投信　受益証券</t>
  </si>
  <si>
    <t>NEXT FUNDS TOPIX-17 FINANCIALS (EX BANKS) ETF</t>
  </si>
  <si>
    <t>1633</t>
  </si>
  <si>
    <t>ＮＥＸＴ　ＦＵＮＤＳ　不動産（ＴＯＰＩＸ－１７）上場投信　受益証券</t>
  </si>
  <si>
    <t>NEXT FUNDS TOPIX-17 REAL ESTATE ETF</t>
  </si>
  <si>
    <t>163A</t>
  </si>
  <si>
    <t>半導体フォーカス　日本株（ネットリターン）ＥＴＮ　受益証券</t>
  </si>
  <si>
    <t>Semiconductor Focus Japan Equity Net Return ETN</t>
  </si>
  <si>
    <t>1651</t>
  </si>
  <si>
    <t>ｉＦｒｅｅＥＴＦ　ＴＯＰＩＸ高配当４０指数　受益証券</t>
  </si>
  <si>
    <t>iFreeETF TOPIX High Dividend Yield 40 Index</t>
  </si>
  <si>
    <t>1652</t>
  </si>
  <si>
    <t>ｉＦｒｅｅＥＴＦ　ＭＳＣＩ日本株女性活躍指数（ＷＩＮ）　受益証券</t>
  </si>
  <si>
    <t>iFreeETF MSCI Japan Empowering Women Index (WIN)</t>
  </si>
  <si>
    <t>1653</t>
  </si>
  <si>
    <t>ｉＦｒｅｅＥＴＦ　ＭＳＣＩジャパンＥＳＧセレクト・リーダーズ指数　受益証券</t>
  </si>
  <si>
    <t>iFreeETF MSCI Japan ESG Select Leaders Index</t>
  </si>
  <si>
    <t>1654</t>
  </si>
  <si>
    <t>ｉＦｒｅｅＥＴＦ　ＦＴＳＥ　ＪＰＸ　Ｂｌｏｓｓｏｍ　Ｊａｐａｎ　Ｉｎｄｅｘ　受益証券</t>
  </si>
  <si>
    <t>iFreeETF FTSE JPX Blossom Japan Index</t>
  </si>
  <si>
    <t>1655</t>
  </si>
  <si>
    <t>ｉシェアーズ　Ｓ＆Ｐ　５００　米国株　ＥＴＦ　受益証券</t>
  </si>
  <si>
    <t>iShares S&amp;P 500 ETF</t>
  </si>
  <si>
    <t>1656</t>
  </si>
  <si>
    <t>ｉシェアーズ・コア　米国債７－１０年　ＥＴＦ　受益証券</t>
  </si>
  <si>
    <t>iShares Core 7-10 Year US Treasury Bond ETF</t>
  </si>
  <si>
    <t>1657</t>
  </si>
  <si>
    <t>ｉシェアーズ・コア　ＭＳＣＩ　先進国株（除く日本）ＥＴＦ　受益証券</t>
  </si>
  <si>
    <t>iShares Core MSCI Kokusai ETF</t>
  </si>
  <si>
    <t>1658</t>
  </si>
  <si>
    <t>ｉシェアーズ・コア　ＭＳＣＩ　新興国株　ＥＴＦ　受益証券</t>
  </si>
  <si>
    <t>iShares Core MSCI Emerging Markets IMI ETF</t>
  </si>
  <si>
    <t>1659</t>
  </si>
  <si>
    <t>ｉシェアーズ　米国リート　ＥＴＦ　受益証券</t>
  </si>
  <si>
    <t>iShares US REIT ETF</t>
  </si>
  <si>
    <t>1660</t>
  </si>
  <si>
    <t>ＭＡＸＩＳ高利回りＪリート上場投信　受益証券</t>
  </si>
  <si>
    <t>MAXIS High Yield J-REIT ETF</t>
  </si>
  <si>
    <t>1671</t>
  </si>
  <si>
    <t>ＷＴＩ原油価格連動型上場投信　受益証券</t>
  </si>
  <si>
    <t>Simplex WTI ETF</t>
  </si>
  <si>
    <t>1672</t>
  </si>
  <si>
    <t>ＥＴＦＳ　金上場投資信託　投資証券</t>
  </si>
  <si>
    <t>WisdomTree Physical Gold Individual Securities</t>
  </si>
  <si>
    <t>1673</t>
  </si>
  <si>
    <t>ＥＴＦＳ　銀上場投資信託　投資証券</t>
  </si>
  <si>
    <t>WisdomTree Physical Silver Individual Securities</t>
  </si>
  <si>
    <t>1674</t>
  </si>
  <si>
    <t>ＥＴＦＳ　白金上場投資信託　投資証券</t>
  </si>
  <si>
    <t>WisdomTree Physical Platinum Individual Securities</t>
  </si>
  <si>
    <t>1675</t>
  </si>
  <si>
    <t>ＥＴＦＳ　パラジウム上場投資信託　投資証券</t>
  </si>
  <si>
    <t>WisdomTree Physical Palladium Individual Securities</t>
  </si>
  <si>
    <t>1676</t>
  </si>
  <si>
    <t>ＥＴＦＳ　貴金属バスケット上場投資信託　投資証券</t>
  </si>
  <si>
    <t>WisdomTree Physical Precious Metals Basket Securities</t>
  </si>
  <si>
    <t>1677</t>
  </si>
  <si>
    <t>上場インデックスファンド海外債券（ＦＴＳＥ　ＷＧＢＩ）毎月分配型　受益証券</t>
  </si>
  <si>
    <t>Listed Index Fund International Bond (FTSE WGBI) Monthly Dividend Payment Type</t>
  </si>
  <si>
    <t>1678</t>
  </si>
  <si>
    <t>ＮＥＸＴ　ＦＵＮＤＳ　インド株式指数・Ｎｉｆｔｙ　５０　連動型上場投信　受益証券</t>
  </si>
  <si>
    <t>NEXT FUNDS Nifty 50 Linked Exchange Traded Fund</t>
  </si>
  <si>
    <t>1679</t>
  </si>
  <si>
    <t>Ｓｉｍｐｌｅ－Ｘ　ＮＹ　ダウ・ジョーンズ・インデックス上場投信　受益証券</t>
  </si>
  <si>
    <t>Simple-X NY Dow Jones Index ETF</t>
  </si>
  <si>
    <t>1680</t>
  </si>
  <si>
    <t>上場インデックスファンド海外先進国株式（ＭＳＣＩ－ＫＯＫＵＳＡＩ）　受益証券</t>
  </si>
  <si>
    <t>Listed Index Fund International Developed Countries Equity (MSCI-KOKUSAI)</t>
  </si>
  <si>
    <t>1681</t>
  </si>
  <si>
    <t>上場インデックスファンド海外新興国株式（ＭＳＣＩ　エマージング）　受益証券</t>
  </si>
  <si>
    <t>Listed Index Fund International Emerging Countries Equity (MSCI EMERGING)</t>
  </si>
  <si>
    <t>1684</t>
  </si>
  <si>
    <t>ＥＴＦＳ　総合上場投資信託　投資証券</t>
  </si>
  <si>
    <t>WisdomTree Broad Commodities</t>
  </si>
  <si>
    <t>1685</t>
  </si>
  <si>
    <t>ＥＴＦＳ　エネルギー上場投資信託　投資証券</t>
  </si>
  <si>
    <t>WisdomTree Energy</t>
  </si>
  <si>
    <t>1686</t>
  </si>
  <si>
    <t>ＥＴＦＳ　産業用金属上場投資信託　投資証券</t>
  </si>
  <si>
    <t>WisdomTree Industrial Metals</t>
  </si>
  <si>
    <t>1687</t>
  </si>
  <si>
    <t>ＥＴＦＳ　農産物上場投資信託　投資証券</t>
  </si>
  <si>
    <t>WisdomTree Agriculture</t>
  </si>
  <si>
    <t>1688</t>
  </si>
  <si>
    <t>ＥＴＦＳ　穀物上場投資信託　投資証券</t>
  </si>
  <si>
    <t>WisdomTree Grains</t>
  </si>
  <si>
    <t>1689</t>
  </si>
  <si>
    <t>ＥＴＦＳ　天然ガス上場投資信託　投資証券</t>
  </si>
  <si>
    <t>WisdomTree Natural Gas</t>
  </si>
  <si>
    <t>1690</t>
  </si>
  <si>
    <t>ＥＴＦＳ　ＷＴＩ　原油上場投資信託　投資証券</t>
  </si>
  <si>
    <t>WisdomTree WTI Crude Oil</t>
  </si>
  <si>
    <t>1691</t>
  </si>
  <si>
    <t>ＥＴＦＳ　ガソリン上場投資信託　投資証券</t>
  </si>
  <si>
    <t>WisdomTree Gasoline</t>
  </si>
  <si>
    <t>1692</t>
  </si>
  <si>
    <t>ＥＴＦＳ　アルミニウム上場投資信託　投資証券</t>
  </si>
  <si>
    <t>WisdomTree Aluminium</t>
  </si>
  <si>
    <t>1693</t>
  </si>
  <si>
    <t>ＥＴＦＳ　銅上場投資信託　投資証券</t>
  </si>
  <si>
    <t>WisdomTree Copper</t>
  </si>
  <si>
    <t>1694</t>
  </si>
  <si>
    <t>ＥＴＦＳ　ニッケル上場投資信託　投資証券</t>
  </si>
  <si>
    <t>WisdomTree Nickel</t>
  </si>
  <si>
    <t>1695</t>
  </si>
  <si>
    <t>ＥＴＦＳ　小麦上場投資信託　投資証券</t>
  </si>
  <si>
    <t>WisdomTree Wheat</t>
  </si>
  <si>
    <t>1696</t>
  </si>
  <si>
    <t>ＥＴＦＳ　とうもろこし上場投資信託　投資証券</t>
  </si>
  <si>
    <t>WisdomTree Corn</t>
  </si>
  <si>
    <t>1697</t>
  </si>
  <si>
    <t>ＥＴＦＳ　大豆上場投資信託　投資証券</t>
  </si>
  <si>
    <t>WisdomTree Soybeans</t>
  </si>
  <si>
    <t>1698</t>
  </si>
  <si>
    <t>上場インデックスファンド日本高配当（東証配当フォーカス１００）　受益証券</t>
  </si>
  <si>
    <t>Listed Index Fund Japan High Dividend (TSE Dividend Focus 100)</t>
  </si>
  <si>
    <t>1699</t>
  </si>
  <si>
    <t>ＮＥＸＴ　ＦＵＮＤＳ　ＮＯＭＵＲＡ　原油インデックス連動型上場投信　受益証券</t>
  </si>
  <si>
    <t>NEXT FUNDS NOMURA Crude Oil Long Index Linked Exchange Traded Fund</t>
  </si>
  <si>
    <t>170A</t>
  </si>
  <si>
    <t>ＳＭＴ　ＥＴＦ日本好配当株アクティブ　受益証券</t>
  </si>
  <si>
    <t>SMT ETF Japan Equity Income Strategy Active</t>
  </si>
  <si>
    <t>178A</t>
  </si>
  <si>
    <t>グローバルＸ　革新的優良企業　ＥＴＦ　受益証券</t>
  </si>
  <si>
    <t>Global X Innovative Bluechip Top 10+ ETF</t>
  </si>
  <si>
    <t>179A</t>
  </si>
  <si>
    <t>グローバルＸ　超長期米国債　ＥＴＦ（為替ヘッジあり）　受益証券</t>
  </si>
  <si>
    <t>Global X 25+ Year T-Bond ETF (JPY Hedged)</t>
  </si>
  <si>
    <t>180A</t>
  </si>
  <si>
    <t>グローバルＸ　超長期米国債　ＥＴＦ　受益証券</t>
  </si>
  <si>
    <t>Global X 25+ Year T-Bond ETF</t>
  </si>
  <si>
    <t>181A</t>
  </si>
  <si>
    <t>ＭＡＸＩＳ米国国債１－３年上場投信（為替ヘッジなし）　受益証券</t>
  </si>
  <si>
    <t>MAXIS US Treasury Bond 1-3 Year ETF (Unhedged)</t>
  </si>
  <si>
    <t>182A</t>
  </si>
  <si>
    <t>ＭＡＸＩＳ米国国債２０年超上場投信（為替ヘッジなし）　受益証券</t>
  </si>
  <si>
    <t>MAXIS US Treasury Bond 20+ Year ETF (Unhedged)</t>
  </si>
  <si>
    <t>183A</t>
  </si>
  <si>
    <t>ＭＡＸＩＳ米国国債２０年超上場投信（為替ヘッジあり）　受益証券</t>
  </si>
  <si>
    <t>MAXIS US Treasury Bond 20+ Year ETF (JPY Hedged)</t>
  </si>
  <si>
    <t>188A</t>
  </si>
  <si>
    <t>グローバルＸ　インド・トップ１０＋　ＥＴＦ　受益証券</t>
  </si>
  <si>
    <t>Global X India Top 10+ ETF</t>
  </si>
  <si>
    <t>200A</t>
  </si>
  <si>
    <t>ＮＥＸＴ　ＦＵＮＤＳ　日経半導体株指数連動型上場投信　受益証券</t>
  </si>
  <si>
    <t>NEXT FUNDS Nikkei Semiconductor Stock Index Exchange Traded Fund</t>
  </si>
  <si>
    <t>2011</t>
  </si>
  <si>
    <t>ＳＭＤＡＭ　Ａｃｔｉｖｅ　ＥＴＦ　日本高配当株式　受益証券</t>
  </si>
  <si>
    <t>SMDAM Active ETF Japan High Dividend Equity</t>
  </si>
  <si>
    <t>2012</t>
  </si>
  <si>
    <t>ｉシェアーズ　米国債０－３ヶ月　ＥＴＦ　受益証券</t>
  </si>
  <si>
    <t>iShares 0-3 Month US Treasury Bond ETF</t>
  </si>
  <si>
    <t>2013</t>
  </si>
  <si>
    <t>ｉシェアーズ　米国高配当株　ＥＴＦ　受益証券</t>
  </si>
  <si>
    <t>iShares US High Dividend ETF</t>
  </si>
  <si>
    <t>2014</t>
  </si>
  <si>
    <t>ｉシェアーズ　米国連続増配株　ＥＴＦ　受益証券</t>
  </si>
  <si>
    <t>iShares US Dividend Growth ETF</t>
  </si>
  <si>
    <t>2015</t>
  </si>
  <si>
    <t>ｉＦｒｅｅＥＴＦ　米国国債７－１０年（為替ヘッジなし）　受益証券</t>
  </si>
  <si>
    <t>iFreeETF US Treasury Bond 7-10 Year (NON HEDGED)</t>
  </si>
  <si>
    <t>2016</t>
  </si>
  <si>
    <t>ｉＦｒｅｅＥＴＦ　米国国債７－１０年（為替ヘッジあり）　受益証券</t>
  </si>
  <si>
    <t>iFreeETF US Treasury Bond 7-10 Year (JPY HEDGED)</t>
  </si>
  <si>
    <t>2017</t>
  </si>
  <si>
    <t>ｉＦｒｅｅＥＴＦ　ＪＰＸプライム１５０　受益証券</t>
  </si>
  <si>
    <t>iFreeETF JPX Prime 150</t>
  </si>
  <si>
    <t>2018</t>
  </si>
  <si>
    <t>グローバルＸ　ＵＳ　ＲＥＩＴ・トップ２０　ＥＴＦ　受益証券</t>
  </si>
  <si>
    <t>Global X US REIT Top 20 ETF</t>
  </si>
  <si>
    <t>2019</t>
  </si>
  <si>
    <t>グローバルＸ　米国優先証券　ＥＴＦ（隔月分配型）　受益証券</t>
  </si>
  <si>
    <t>Global X U.S. Preferred Security ETF (Bi-monthly dividend type)</t>
  </si>
  <si>
    <t>201A</t>
  </si>
  <si>
    <t>ｉシェアーズ　Ｎｉｆｔｙ　５０　インド株　ＥＴＦ　受益証券</t>
  </si>
  <si>
    <t>iShares Nifty 50 ETF</t>
  </si>
  <si>
    <t>2031</t>
  </si>
  <si>
    <t>ＮＥＸＴ　ＮＯＴＥＳ　香港ハンセン・ダブル・ブル　ＥＴＮ　受益証券</t>
  </si>
  <si>
    <t>NEXT NOTES HSI Leveraged ETN</t>
  </si>
  <si>
    <t>2032</t>
  </si>
  <si>
    <t>ＮＥＸＴ　ＮＯＴＥＳ　香港ハンセン・ベア　ＥＴＮ　受益証券</t>
  </si>
  <si>
    <t>NEXT NOTES HSI Short ETN</t>
  </si>
  <si>
    <t>2033</t>
  </si>
  <si>
    <t>ＮＥＸＴ　ＮＯＴＥＳ　韓国ＫＯＳＰＩ・ダブル・ブル　ＥＴＮ　受益証券</t>
  </si>
  <si>
    <t>NEXT NOTES KOSPI200 Leverage ETN</t>
  </si>
  <si>
    <t>2034</t>
  </si>
  <si>
    <t>ＮＥＸＴ　ＮＯＴＥＳ　韓国ＫＯＳＰＩ・ベア　ＥＴＮ　受益証券</t>
  </si>
  <si>
    <t>NEXT NOTES F-KOSPI200 Inverse ETN</t>
  </si>
  <si>
    <t>2036</t>
  </si>
  <si>
    <t>ＮＥＸＴ　ＮＯＴＥＳ　金先物　ダブル・ブル　ＥＴＮ　受益証券</t>
  </si>
  <si>
    <t>NEXT NOTES Gold Futures Double Bull ETN</t>
  </si>
  <si>
    <t>2037</t>
  </si>
  <si>
    <t>ＮＥＸＴ　ＮＯＴＥＳ　金先物　ベア　ＥＴＮ　受益証券</t>
  </si>
  <si>
    <t>NEXT NOTES Gold Futures Bear ETN</t>
  </si>
  <si>
    <t>2038</t>
  </si>
  <si>
    <t>ＮＥＸＴ　ＮＯＴＥＳ　ドバイ原油先物　ダブル・ブル　ＥＴＮ　受益証券</t>
  </si>
  <si>
    <t>NEXT NOTES Dubai Crude Oil Futures Double Bull ETN</t>
  </si>
  <si>
    <t>2039</t>
  </si>
  <si>
    <t>ＮＥＸＴ　ＮＯＴＥＳ　ドバイ原油先物　ベア　ＥＴＮ　受益証券</t>
  </si>
  <si>
    <t>NEXT NOTES Dubai Crude Oil Futures Bear ETN</t>
  </si>
  <si>
    <t>2040</t>
  </si>
  <si>
    <t>ＮＥＸＴ　ＮＯＴＥＳ　ＮＹダウ・ダブル・ブル・ドルヘッジ　ＥＴＮ　受益証券</t>
  </si>
  <si>
    <t>NEXT NOTES DJIA PR JPY-Monthly Hedged Leveraged (x2) ETN</t>
  </si>
  <si>
    <t>2041</t>
  </si>
  <si>
    <t>ＮＥＸＴ　ＮＯＴＥＳ　ＮＹダウ・ベア・ドルヘッジ　ＥＴＮ　受益証券</t>
  </si>
  <si>
    <t>NEXT NOTES DJIA TR JPY-Monthly Hedged Inverse (x1) ETN</t>
  </si>
  <si>
    <t>2042</t>
  </si>
  <si>
    <t>ＮＥＸＴ　ＮＯＴＥＳ　東証グロース市場２５０　ＥＴＮ　受益証券</t>
  </si>
  <si>
    <t>NEXT NOTES Tokyo Stock Exchange Growth Market 250 Index ETN</t>
  </si>
  <si>
    <t>2043</t>
  </si>
  <si>
    <t>ＮＥＸＴ　ＮＯＴＥＳ　ＳＴＯＸＸ　アセアン好配当５０（円、ネットリターン）ＥＴＮ　受益証券</t>
  </si>
  <si>
    <t>NEXT NOTES STOXX ASEAN-Five Select Dividend 50(NR-JPY) ETN</t>
  </si>
  <si>
    <t>2044</t>
  </si>
  <si>
    <t>ＮＥＸＴ　ＮＯＴＥＳ　Ｓ＆Ｐ５００　配当貴族（ネットリターン）　ＥＴＮ　受益証券</t>
  </si>
  <si>
    <t>NEXT NOTES S&amp;P 500 Dividend Aristocrats Net Total Return Index ETN</t>
  </si>
  <si>
    <t>2045</t>
  </si>
  <si>
    <t>ＮＥＸＴ　ＮＯＴＥＳ　Ｓ＆Ｐ　シンガポール　リート（ネットリターン）　ＥＴＮ　受益証券</t>
  </si>
  <si>
    <t>NEXT NOTES S&amp;P Singapore REIT Net Total Return Index ETN</t>
  </si>
  <si>
    <t>2046</t>
  </si>
  <si>
    <t>ＮＥＸＴ　ＮＯＴＥＳ　インドＮｉｆｔｙ・ダブル・ブル　ＥＴＮ　受益証券</t>
  </si>
  <si>
    <t>NEXT NOTES Nifty PR 2x Leverage Index ETN</t>
  </si>
  <si>
    <t>2047</t>
  </si>
  <si>
    <t>ＮＥＸＴ　ＮＯＴＥＳ　インドＮｉｆｔｙ・ベア　ＥＴＮ　受益証券</t>
  </si>
  <si>
    <t>NEXT NOTES Nifty Total Returns(TR) Daily Inverse Index ETN</t>
  </si>
  <si>
    <t>2048</t>
  </si>
  <si>
    <t>ＮＥＸＴ　ＮＯＴＥＳ　野村日本株高配当７０（ドルヘッジ、ネットリターン）ＥＴＮ　受益証券</t>
  </si>
  <si>
    <t>NEXT NOTES Nomura Japan Equity High Dividend 70,Net Total Return US Dollar Hedged Index ETN</t>
  </si>
  <si>
    <t>2050</t>
  </si>
  <si>
    <t>ＮＥＸＴ　ＮＯＴＥＳ　ニッチトップ　中小型日本株（ネットリターン）ＥＴＮ　受益証券</t>
  </si>
  <si>
    <t>NEXT NOTES Niche Top Mid Small Cap Japan Equity, Net Total Return ETN</t>
  </si>
  <si>
    <t>2065</t>
  </si>
  <si>
    <t>ＮＥＸＴ　ＮＯＴＥＳ　日本株配当貴族（ドルヘッジ、ネットリターン）ＥＴＮ　受益証券</t>
  </si>
  <si>
    <t>NEXT NOTES S&amp;P/JPX Dividend Aristocrats Index USD Hedged NTR ETN</t>
  </si>
  <si>
    <t>2066</t>
  </si>
  <si>
    <t>ＮＥＸＴ　ＮＯＴＥＳ　東証ＲＥＩＴ（ドルヘッジ、ネットリターン）ＥＴＮ　受益証券</t>
  </si>
  <si>
    <t>NEXT NOTES Tokyo Stock Exchange REIT Net Total Return US Dollar Hedged Index ETN</t>
  </si>
  <si>
    <t>2067</t>
  </si>
  <si>
    <t>ＮＥＸＴ　ＮＯＴＥＳ　野村ＡＩビジネス７０（ネットリターン）ＥＴＮ　受益証券</t>
  </si>
  <si>
    <t>NEXT NOTES AI Companies 70,Net Total Return ETN</t>
  </si>
  <si>
    <t>2068</t>
  </si>
  <si>
    <t>ＮＥＸＴ　ＮＯＴＥＳ　高ベータ３０（ネットリターン）ＥＴＮ　受益証券</t>
  </si>
  <si>
    <t>NEXT NOTES Japan Equity High Beta Select 30,Net Total Return ETN</t>
  </si>
  <si>
    <t>2069</t>
  </si>
  <si>
    <t>ＮＥＸＴ　ＮＯＴＥＳ　低ベータ５０（ネットリターン）ＥＴＮ　受益証券</t>
  </si>
  <si>
    <t>NEXT NOTES Japan Equity Low Beta Select 50,Net Total Return ETN</t>
  </si>
  <si>
    <t>2070</t>
  </si>
  <si>
    <t>スマートＥＳＧ３０女性活躍（ネットリターン）ＥＴＮ　受益証券</t>
  </si>
  <si>
    <t>Smart ESG 30 Empowering Women Net Return ETN</t>
  </si>
  <si>
    <t>2071</t>
  </si>
  <si>
    <t>スマートＥＳＧ３０総合（ネットリターン）ＥＴＮ　受益証券</t>
  </si>
  <si>
    <t>Smart ESG 30 Net Return ETN</t>
  </si>
  <si>
    <t>2072</t>
  </si>
  <si>
    <t>トップシェアインデックス（ネットリターン）ＥＴＮ　受益証券</t>
  </si>
  <si>
    <t>Market Share Leaders Net Return ETN</t>
  </si>
  <si>
    <t>2073</t>
  </si>
  <si>
    <t>スマートＥＳＧ３０低カーボンリスク（ネットリターン）ＥＴＮ　受益証券</t>
  </si>
  <si>
    <t>Smart ESG 30 Low Carbon Risk Net Return ETN</t>
  </si>
  <si>
    <t>2080</t>
  </si>
  <si>
    <t>ＰＢＲ１倍割れ解消推進ＥＴＦ　受益証券</t>
  </si>
  <si>
    <t>PBR Improvement over 1x ETF</t>
  </si>
  <si>
    <t>2081</t>
  </si>
  <si>
    <t>政策保有解消推進ＥＴＦ　受益証券</t>
  </si>
  <si>
    <t>Strategic Shareholding Disposal Promotion ETF</t>
  </si>
  <si>
    <t>2082</t>
  </si>
  <si>
    <t>投資家経営者一心同体ＥＴＦ　受益証券</t>
  </si>
  <si>
    <t>Investor-Management Unite as One ETF</t>
  </si>
  <si>
    <t>2083</t>
  </si>
  <si>
    <t>ＮＥＸＴ　ＦＵＮＤＳ　日本成長株アクティブ上場投信　受益証券</t>
  </si>
  <si>
    <t>NEXT FUNDS Japan Growth Equity Active Exchange Traded Fund</t>
  </si>
  <si>
    <t>2084</t>
  </si>
  <si>
    <t>ＮＥＸＴ　ＦＵＮＤＳ　日本高配当株アクティブ上場投信　受益証券</t>
  </si>
  <si>
    <t>NEXT FUNDS Japan High Dividend Equity Active Exchange Traded Fund</t>
  </si>
  <si>
    <t>2085</t>
  </si>
  <si>
    <t>ＭＡＸＩＳ高配当日本株アクティブ上場投信　受益証券</t>
  </si>
  <si>
    <t>MAXIS High Dividend Japan Equity Actively Managed ETF</t>
  </si>
  <si>
    <t>2086</t>
  </si>
  <si>
    <t>ＮＺＡＭ　上場投信　Ｓ＆Ｐ５００（為替ヘッジあり）　受益証券</t>
  </si>
  <si>
    <t>NZAM ETF S&amp;P500 (JPY Hedged)</t>
  </si>
  <si>
    <t>2087</t>
  </si>
  <si>
    <t>ＮＺＡＭ　上場投信　ＮＡＳＤＡＱ１００（為替ヘッジあり）　受益証券</t>
  </si>
  <si>
    <t>NZAM ETF NASDAQ100 (JPY Hedged)</t>
  </si>
  <si>
    <t>2088</t>
  </si>
  <si>
    <t>ＮＺＡＭ　上場投信　ＮＹダウ３０（為替ヘッジあり）　受益証券</t>
  </si>
  <si>
    <t>NZAM ETF NY Dow30 (JPY Hedged)</t>
  </si>
  <si>
    <t>2089</t>
  </si>
  <si>
    <t>ＮＺＡＭ　上場投信　ＤＡＸ（為替ヘッジあり）　受益証券</t>
  </si>
  <si>
    <t>NZAM ETF DAX (JPY Hedged)</t>
  </si>
  <si>
    <t>2090</t>
  </si>
  <si>
    <t>ＮＺＡＭ　上場投信　米国国債７－１０年（為替ヘッジあり）　受益証券</t>
  </si>
  <si>
    <t>NZAM ETF US Treasury 7-10Y (JPY Hedged)</t>
  </si>
  <si>
    <t>2091</t>
  </si>
  <si>
    <t>ＮＺＡＭ　上場投信　ドイツ国債７－１０年（為替ヘッジあり）　受益証券</t>
  </si>
  <si>
    <t>NZAM ETF German Government Bond 7-10Y (JPY Hedged)</t>
  </si>
  <si>
    <t>2092</t>
  </si>
  <si>
    <t>ＮＺＡＭ　上場投信　フランス国債７－１０年（為替ヘッジあり）　受益証券</t>
  </si>
  <si>
    <t>NZAM ETF France Government Bond 7-10Y (JPY Hedged)</t>
  </si>
  <si>
    <t>2093</t>
  </si>
  <si>
    <t>上場Ｔｒａｃｅｒｓ　米国債０－２年ラダー（為替ヘッジなし）　受益証券</t>
  </si>
  <si>
    <t>Listed Tracers US Government Bond 0-2years Ladder (No Currency Hedge)</t>
  </si>
  <si>
    <t>2094</t>
  </si>
  <si>
    <t>東証ＲＥＩＴインバースＥＴＦ　受益証券</t>
  </si>
  <si>
    <t>TSE REIT Inverse ETF</t>
  </si>
  <si>
    <t>2095</t>
  </si>
  <si>
    <t>グローバルＸ　Ｓ＆Ｐ５００配当貴族　ＥＴＦ（為替ヘッジあり）　受益証券</t>
  </si>
  <si>
    <t>Global X S&amp;P 500 Dividend Aristocrats ETF (JPY Hedged)</t>
  </si>
  <si>
    <t>2096</t>
  </si>
  <si>
    <t>グローバルＸ　オフィス・Ｊ－ＲＥＩＴ　ＥＴＦ　受益証券</t>
  </si>
  <si>
    <t>Global X Office J-REIT ETF</t>
  </si>
  <si>
    <t>2097</t>
  </si>
  <si>
    <t>グローバルＸ　レジデンシャル・Ｊ－ＲＥＩＴ　ＥＴＦ　受益証券</t>
  </si>
  <si>
    <t>Global X Residential J-REIT ETF</t>
  </si>
  <si>
    <t>2098</t>
  </si>
  <si>
    <t>グローバルＸ　ホテル＆リテール・Ｊ－ＲＥＩＴ　ＥＴＦ　受益証券</t>
  </si>
  <si>
    <t>Global X Hotel &amp; Retail J-REIT ETF</t>
  </si>
  <si>
    <t>210A</t>
  </si>
  <si>
    <t>ｉＦｒｅｅＥＴＦ　日経高利回りＲＥＩＴ指数　受益証券</t>
  </si>
  <si>
    <t>iFreeETF Nikkei High Yield REIT Index</t>
  </si>
  <si>
    <t>213A</t>
  </si>
  <si>
    <t>上場インデックスファンド日経半導体株　受益証券</t>
  </si>
  <si>
    <t>Listed Index Fund Nikkei Semiconductor Stock</t>
  </si>
  <si>
    <t>221A</t>
  </si>
  <si>
    <t>ＭＡＸＩＳ日経半導体株上場投信　受益証券</t>
  </si>
  <si>
    <t>MAXIS Nikkei Semiconductor Stock (Japan) ETF</t>
  </si>
  <si>
    <t>2235</t>
  </si>
  <si>
    <t>上場インデックスファンド米国株式（ダウ平均）為替ヘッジなし　受益証券</t>
  </si>
  <si>
    <t>Listed Index Fund US Equity (Dow Average) No Currency Hedge</t>
  </si>
  <si>
    <t>2236</t>
  </si>
  <si>
    <t>グローバルＸ　Ｓ＆Ｐ５００配当貴族ＥＴＦ　受益証券</t>
  </si>
  <si>
    <t>Global X S&amp;P 500 Dividend Aristocrats ETF</t>
  </si>
  <si>
    <t>2237</t>
  </si>
  <si>
    <t>ｉＦｒｅｅＥＴＦ　Ｓ＆Ｐ５００レバレッジ　受益証券</t>
  </si>
  <si>
    <t>iFreeETF S&amp;P500 Leveraged (2x)</t>
  </si>
  <si>
    <t>2238</t>
  </si>
  <si>
    <t>ｉＦｒｅｅＥＴＦ　Ｓ＆Ｐ５００インバース　受益証券</t>
  </si>
  <si>
    <t>iFreeETF S&amp;P500 Inverse</t>
  </si>
  <si>
    <t>2239</t>
  </si>
  <si>
    <t>上場インデックスファンドＳ＆Ｐ５００先物レバレッジ２倍　受益証券</t>
  </si>
  <si>
    <t>Listed Index Fund S&amp;P500 Futures Leveraged Two Times</t>
  </si>
  <si>
    <t>223A</t>
  </si>
  <si>
    <t>グローバルＸ　ＡＩ＆ビッグデータ　ＥＴＦ　受益証券</t>
  </si>
  <si>
    <t>Global X Artificial Intelligence &amp; Technology ETF</t>
  </si>
  <si>
    <t>2240</t>
  </si>
  <si>
    <t>上場インデックスファンドＳ＆Ｐ５００先物インバース　受益証券</t>
  </si>
  <si>
    <t>Listed Index Fund S&amp;P500 Futures Inverse</t>
  </si>
  <si>
    <t>2241</t>
  </si>
  <si>
    <t>ＭＡＸＩＳ　ＮＹダウ上場投信　受益証券</t>
  </si>
  <si>
    <t>MAXIS NY Dow Industrial Average ETF</t>
  </si>
  <si>
    <t>2242</t>
  </si>
  <si>
    <t>ＭＡＸＩＳ　ＮＹダウ上場投信（為替ヘッジあり）　受益証券</t>
  </si>
  <si>
    <t>MAXIS NY Dow Industrial Average ETF (JPY Hedged)</t>
  </si>
  <si>
    <t>2243</t>
  </si>
  <si>
    <t>グローバルＸ　半導体　ＥＴＦ　受益証券</t>
  </si>
  <si>
    <t>Global X Semiconductor ETF</t>
  </si>
  <si>
    <t>2244</t>
  </si>
  <si>
    <t>グローバルＸ　ＵＳ　テック・トップ２０　ＥＴＦ　受益証券</t>
  </si>
  <si>
    <t>Global X US Tech Top 20 ETF</t>
  </si>
  <si>
    <t>2245</t>
  </si>
  <si>
    <t>ＮＥＸＴ　ＦＵＮＤＳ　ブルームバーグ・ドイツ国債（７－１０年）インデックス（為替ヘッジあり）連動型上場投信　受益証券</t>
  </si>
  <si>
    <t>NEXT FUNDS Bloomberg Germany Treasury Bond (7-10 year) Index (Yen-Hedged) Exchange Traded Fund</t>
  </si>
  <si>
    <t>2246</t>
  </si>
  <si>
    <t>ＮＥＸＴ　ＦＵＮＤＳ　ブルームバーグ・フランス国債（７－１０年）インデックス（為替ヘッジあり）連動型上場投信　受益証券</t>
  </si>
  <si>
    <t>NEXT FUNDS Bloomberg France Treasury Bond (7-10 year) Index (Yen-Hedged) Exchange Traded Fund</t>
  </si>
  <si>
    <t>2247</t>
  </si>
  <si>
    <t>ｉＦｒｅｅＥＴＦ　Ｓ＆Ｐ５００（為替ヘッジなし）　受益証券</t>
  </si>
  <si>
    <t>iFreeETF S&amp;P500 (NON HEDGED)</t>
  </si>
  <si>
    <t>2248</t>
  </si>
  <si>
    <t>ｉＦｒｅｅＥＴＦ　Ｓ＆Ｐ５００（為替ヘッジあり）　受益証券</t>
  </si>
  <si>
    <t>iFreeETF S&amp;P500 (JPY HEDGED)</t>
  </si>
  <si>
    <t>2249</t>
  </si>
  <si>
    <t>ｉＦｒｅｅＥＴＦ　Ｓ＆Ｐ５００ダブルインバース　受益証券</t>
  </si>
  <si>
    <t>iFreeETF S&amp;P500 Double Inverse (-2x)</t>
  </si>
  <si>
    <t>224A</t>
  </si>
  <si>
    <t>グローバルＸ　ウラニウムビジネス　ＥＴＦ　受益証券</t>
  </si>
  <si>
    <t>Global X Uranium ETF</t>
  </si>
  <si>
    <t>2250</t>
  </si>
  <si>
    <t>ｉシェアーズ　ＭＳＣＩ　ジャパン気候変動アクション　ＥＴＦ　受益証券</t>
  </si>
  <si>
    <t>iShares MSCI Japan Climate Action ETF</t>
  </si>
  <si>
    <t>2251</t>
  </si>
  <si>
    <t>ＮＥＸＴ　ＦＵＮＤＳ　ＪＰＸ国債先物ダブルインバース指数連動型上場投信　受益証券</t>
  </si>
  <si>
    <t>NEXT FUNDS JPX JGB Futures Double Inverse Index Exchange Traded Fund</t>
  </si>
  <si>
    <t>2252</t>
  </si>
  <si>
    <t>グローバルＸ　Ｍｏｒｎｉｎｇｓｔａｒ　米国中小型　Ｍｏａｔ　ＥＴＦ　受益証券</t>
  </si>
  <si>
    <t>Global X Morningstar US Small Mid Moat ETF</t>
  </si>
  <si>
    <t>2253</t>
  </si>
  <si>
    <t>グローバルＸ　スーパーディビィデンド－ＵＳ　ＥＴＦ　受益証券</t>
  </si>
  <si>
    <t>Global X SuperDividend U.S. ETF</t>
  </si>
  <si>
    <t>2254</t>
  </si>
  <si>
    <t>グローバルＸ　チャイナＥＶ＆バッテリー　ＥＴＦ　受益証券</t>
  </si>
  <si>
    <t>Global X China Electric Vehicle and Battery ETF</t>
  </si>
  <si>
    <t>2255</t>
  </si>
  <si>
    <t>ｉシェアーズ　米国債２０年超　ＥＴＦ　受益証券</t>
  </si>
  <si>
    <t>iShares 20+ Year US Treasury Bond ETF</t>
  </si>
  <si>
    <t>2256</t>
  </si>
  <si>
    <t>ｉシェアーズ　米国総合債券　ＥＴＦ　受益証券</t>
  </si>
  <si>
    <t>iShares US Aggregate Bond ETF</t>
  </si>
  <si>
    <t>2257</t>
  </si>
  <si>
    <t>ｉシェアーズ　米ドル建て投資適格社債　ＥＴＦ　受益証券</t>
  </si>
  <si>
    <t>iShares USD Investment Grade Corporate Bond ETF</t>
  </si>
  <si>
    <t>2258</t>
  </si>
  <si>
    <t>ｉシェアーズ　米ドル建てハイイールド社債　ＥＴＦ　受益証券</t>
  </si>
  <si>
    <t>iShares USD High Yield Corporate Bond ETF</t>
  </si>
  <si>
    <t>2259</t>
  </si>
  <si>
    <t>ｉシェアーズ　フランス国債７－１０年　ＥＴＦ（為替ヘッジあり）　受益証券</t>
  </si>
  <si>
    <t>iShares 7-10 Year France Government Bond JPY Hedged ETF</t>
  </si>
  <si>
    <t>233A</t>
  </si>
  <si>
    <t>ｉＦｒｅｅＥＴＦ　インドＮｉｆｔｙ５０　受益証券</t>
  </si>
  <si>
    <t>iFreeETF Nifty50</t>
  </si>
  <si>
    <t>234A</t>
  </si>
  <si>
    <t>グローバルＸ　ＭＳＣＩ　キャッシュフローキング－日本株式　ＥＴＦ　受益証券</t>
  </si>
  <si>
    <t>Global X MSCI Japan Cash Flow Kings ETF</t>
  </si>
  <si>
    <t>235A</t>
  </si>
  <si>
    <t>グローバルＸ　高配当３０－日本株式　ＥＴＦ　受益証券</t>
  </si>
  <si>
    <t>Global X Japan High Dividend 30 ETF</t>
  </si>
  <si>
    <t>236A</t>
  </si>
  <si>
    <t>ｉシェアーズ　日本国債７－１０年　ＥＴＦ　受益証券</t>
  </si>
  <si>
    <t>iShares 7-10 Year Japan Government Bond ETF</t>
  </si>
  <si>
    <t>237A</t>
  </si>
  <si>
    <t>ｉシェアーズ　米国債２５年超　ロングデュレーション　ＥＴＦ　受益証券</t>
  </si>
  <si>
    <t>iShares 25+ Year US Treasury Bond Long Duration ETF</t>
  </si>
  <si>
    <t>238A</t>
  </si>
  <si>
    <t>ｉシェアーズ　米国債２５年超　ロングデュレーション　ＥＴＦ（為替ヘッジあり）　受益証券</t>
  </si>
  <si>
    <t>iShares 25+ Year US Treasury Bond Long Duration JPY Hedged ETF</t>
  </si>
  <si>
    <t>2510</t>
  </si>
  <si>
    <t>ＮＥＸＴ　ＦＵＮＤＳ　国内債券・ＮＯＭＵＲＡ－ＢＰＩ総合連動型上場投信　受益証券</t>
  </si>
  <si>
    <t>NEXT FUNDS Japan Bond NOMURA-BPI Exchange Traded Fund</t>
  </si>
  <si>
    <t>2511</t>
  </si>
  <si>
    <t>ＮＥＸＴ　ＦＵＮＤＳ　外国債券・ＦＴＳＥ世界国債インデックス（除く日本・為替ヘッジなし）連動型上場投信　受益証券</t>
  </si>
  <si>
    <t>NEXT FUNDS International Bond FTSE World Government Bond Index (ex Japan Unhedged) Exchange Traded Fund</t>
  </si>
  <si>
    <t>2512</t>
  </si>
  <si>
    <t>ＮＥＸＴ　ＦＵＮＤＳ　外国債券・ＦＴＳＥ世界国債インデックス（除く日本・為替ヘッジあり）連動型上場投信　受益証券</t>
  </si>
  <si>
    <t>NEXT FUNDS International Bond FTSE World Government Bond Index (ex Japan Yen-Hedged) Exchange Traded Fund</t>
  </si>
  <si>
    <t>2513</t>
  </si>
  <si>
    <t>ＮＥＸＴ　ＦＵＮＤＳ　外国株式・ＭＳＣＩ－ＫＯＫＵＳＡＩ指数（為替ヘッジなし）連動型上場投信　受益証券</t>
  </si>
  <si>
    <t>NEXT FUNDS International Equity MSCI-KOKUSAI (Unhedged) Exchange Traded Fund</t>
  </si>
  <si>
    <t>2514</t>
  </si>
  <si>
    <t>ＮＥＸＴ　ＦＵＮＤＳ　外国株式・ＭＳＣＩ－ＫＯＫＵＳＡＩ指数（為替ヘッジあり）連動型上場投信　受益証券</t>
  </si>
  <si>
    <t>NEXT FUNDS International Equity MSCI-KOKUSAI (Yen-Hedged) Exchange Traded Fund</t>
  </si>
  <si>
    <t>2515</t>
  </si>
  <si>
    <t>ＮＥＸＴ　ＦＵＮＤＳ　外国ＲＥＩＴ・Ｓ＆Ｐ先進国ＲＥＩＴ指数（除く日本・為替ヘッジなし）連動型上場投信　受益証券</t>
  </si>
  <si>
    <t>NEXT FUNDS International REIT S&amp;P Developed REIT Index (ex Japan Unhedged) Exchange Traded Fund</t>
  </si>
  <si>
    <t>2516</t>
  </si>
  <si>
    <t>東証グロース２５０ＥＴＦ　受益証券</t>
  </si>
  <si>
    <t>TSE Growth 250 ETF</t>
  </si>
  <si>
    <t>2517</t>
  </si>
  <si>
    <t>ＭＡＸＩＳ　Ｊリート・コア上場投信　受益証券</t>
  </si>
  <si>
    <t>MAXIS J-REIT Core ETF</t>
  </si>
  <si>
    <t>2518</t>
  </si>
  <si>
    <t>ＮＥＸＴ　ＦＵＮＤＳ　ＭＳＣＩ日本株女性活躍指数（セレクト）連動型上場投信　受益証券</t>
  </si>
  <si>
    <t>NEXT FUNDS MSCI Japan Empowering Women Select Index Exchange Traded Fund</t>
  </si>
  <si>
    <t>2519</t>
  </si>
  <si>
    <t>ＮＥＸＴ　ＦＵＮＤＳ　新興国債券・Ｊ．Ｐ．モルガン・エマージング・マーケット・ボンド・インデックス・プラス（為替ヘッジなし）連動型上場投信　受益証券</t>
  </si>
  <si>
    <t>NEXT FUNDS Emerging Market Bond J.P. Morgan EMBI Plus (Unhedged) Exchange Traded Fund</t>
  </si>
  <si>
    <t>2520</t>
  </si>
  <si>
    <t>ＮＥＸＴ　ＦＵＮＤＳ　新興国株式・ＭＳＣＩエマージング・マーケット・インデックス（為替ヘッジなし）連動型上場投信　受益証券</t>
  </si>
  <si>
    <t>NEXT FUNDS Emerging Market Equity MSCI-EM (Unhedged) Exchange Traded Fund</t>
  </si>
  <si>
    <t>2521</t>
  </si>
  <si>
    <t>上場インデックスファンド米国株式（Ｓ＆Ｐ５００）為替ヘッジあり　受益証券</t>
  </si>
  <si>
    <t>Listed Index Fund US Equity (S&amp;P500) Currency Hedge</t>
  </si>
  <si>
    <t>2522</t>
  </si>
  <si>
    <t>ｉシェアーズ　オートメーション　＆　ロボット　ＥＴＦ　受益証券</t>
  </si>
  <si>
    <t>iShares Automation &amp; Robot ETF</t>
  </si>
  <si>
    <t>2523</t>
  </si>
  <si>
    <t>ＭＡＸＩＳトピックス（除く金融）上場投信　受益証券</t>
  </si>
  <si>
    <t>MAXIS TOPIX Ex-Financials ETF</t>
  </si>
  <si>
    <t>2524</t>
  </si>
  <si>
    <t>ＮＺＡＭ　上場投信　ＴＯＰＩＸ　受益証券</t>
  </si>
  <si>
    <t>NZAM ETF TOPIX</t>
  </si>
  <si>
    <t>2525</t>
  </si>
  <si>
    <t>ＮＺＡＭ　上場投信　日経２２５　受益証券</t>
  </si>
  <si>
    <t>NZAM ETF Nikkei 225</t>
  </si>
  <si>
    <t>2526</t>
  </si>
  <si>
    <t>ＮＺＡＭ　上場投信　ＪＰＸ日経４００　受益証券</t>
  </si>
  <si>
    <t>NZAM ETF JPX-Nikkei400</t>
  </si>
  <si>
    <t>2527</t>
  </si>
  <si>
    <t>ＮＺＡＭ　上場投信　東証ＲＥＩＴ　Ｃｏｒｅ指数　受益証券</t>
  </si>
  <si>
    <t>NZAM ETF J-REIT Core Index</t>
  </si>
  <si>
    <t>2528</t>
  </si>
  <si>
    <t>ｉＦｒｅｅＥＴＦ　東証ＲＥＩＴ　Ｃｏｒｅ指数　受益証券</t>
  </si>
  <si>
    <t>iFreeETF Tokyo Stock Exchange REIT Core Index</t>
  </si>
  <si>
    <t>2529</t>
  </si>
  <si>
    <t>ＮＥＸＴ　ＦＵＮＤＳ　野村株主還元７０連動型上場投信　受益証券</t>
  </si>
  <si>
    <t>NEXT FUNDS Nomura Shareholder Yield 70 Exchange Traded Fund</t>
  </si>
  <si>
    <t>2530</t>
  </si>
  <si>
    <t>ＭＡＸＩＳ　ＨｕａＡｎ中国株式（上海１８０Ａ株）上場投信　受益証券</t>
  </si>
  <si>
    <t>MAXIS HuaAn China Equity (SSE 180 index) ETF</t>
  </si>
  <si>
    <t>2552</t>
  </si>
  <si>
    <t>上場インデックスファンドＪリート（東証ＲＥＩＴ指数）隔月分配型（ミニ）　受益証券</t>
  </si>
  <si>
    <t>Listed Index Fund J-REIT (Tokyo Stock Exchange REIT Index) Bi-Monthly Dividend Payment Type (Mini)</t>
  </si>
  <si>
    <t>2553</t>
  </si>
  <si>
    <t>Ｏｎｅ　ＥＴＦ　南方　中国Ａ株　ＣＳＩ５００　受益証券</t>
  </si>
  <si>
    <t>One ETF Southern China A-Share CSI 500</t>
  </si>
  <si>
    <t>2554</t>
  </si>
  <si>
    <t>ＮＥＸＴ　ＦＵＮＤＳ　ブルームバーグ米国投資適格社債（１－１０年）インデックス（為替ヘッジあり）連動型上場投信　受益証券</t>
  </si>
  <si>
    <t>NEXT FUNDS Bloomberg US Intermediate Corporate Index (JPY Hedged) Exchange Traded Fund</t>
  </si>
  <si>
    <t>2555</t>
  </si>
  <si>
    <t>東証ＲＥＩＴ　ＥＴＦ　受益証券</t>
  </si>
  <si>
    <t>TSE REIT ETF</t>
  </si>
  <si>
    <t>2556</t>
  </si>
  <si>
    <t>Ｏｎｅ　ＥＴＦ　東証ＲＥＩＴ指数　受益証券</t>
  </si>
  <si>
    <t>One ETF Tokyo Stock Exchange REIT Index</t>
  </si>
  <si>
    <t>2557</t>
  </si>
  <si>
    <t>ＳＭＤＡＭ　トピックス上場投信　受益証券</t>
  </si>
  <si>
    <t>SMDAM TOPIX ETF</t>
  </si>
  <si>
    <t>2558</t>
  </si>
  <si>
    <t>ＭＡＸＩＳ米国株式（Ｓ＆Ｐ５００）上場投信　受益証券</t>
  </si>
  <si>
    <t>MAXIS S&amp;P500 US Equity ETF</t>
  </si>
  <si>
    <t>2559</t>
  </si>
  <si>
    <t>ＭＡＸＩＳ全世界株式（オール・カントリー）上場投信　受益証券</t>
  </si>
  <si>
    <t>MAXIS World Equity (MSCI ACWI) ETF</t>
  </si>
  <si>
    <t>2560</t>
  </si>
  <si>
    <t>ＭＡＸＩＳカーボン・エフィシェント日本株上場投信　受益証券</t>
  </si>
  <si>
    <t>MAXIS Carbon Efficient Japan Equity ETF</t>
  </si>
  <si>
    <t>2561</t>
  </si>
  <si>
    <t>ｉシェアーズ・コア　日本国債　ＥＴＦ　受益証券</t>
  </si>
  <si>
    <t>iShares Core Japan Government Bond ETF</t>
  </si>
  <si>
    <t>2562</t>
  </si>
  <si>
    <t>上場インデックスファンド米国株式（ダウ平均）為替ヘッジあり　受益証券</t>
  </si>
  <si>
    <t>Listed Index Fund US Equity (Dow Average) Currency Hedge</t>
  </si>
  <si>
    <t>2563</t>
  </si>
  <si>
    <t>ｉシェアーズ　Ｓ＆Ｐ　５００　米国株　ＥＴＦ（為替ヘッジあり）　受益証券</t>
  </si>
  <si>
    <t>iShares S&amp;P 500 JPY Hedged ETF</t>
  </si>
  <si>
    <t>2564</t>
  </si>
  <si>
    <t>グローバルＸ　ＭＳＣＩスーパーディビィデンド－日本株式　ＥＴＦ　受益証券</t>
  </si>
  <si>
    <t>Global X MSCI SuperDividend Japan ETF</t>
  </si>
  <si>
    <t>2565</t>
  </si>
  <si>
    <t>グローバルＸ　ロジスティクス・Ｊ－ＲＥＩＴ　ＥＴＦ　受益証券</t>
  </si>
  <si>
    <t>Global X Logistics J-REIT ETF</t>
  </si>
  <si>
    <t>2566</t>
  </si>
  <si>
    <t>上場インデックスファンド日経ＥＳＧリート　受益証券</t>
  </si>
  <si>
    <t>Listed Index Fund Nikkei ESG REIT</t>
  </si>
  <si>
    <t>2567</t>
  </si>
  <si>
    <t>ＮＺＡＭ　上場投信　Ｓ＆Ｐ／ＪＰＸカーボン・エフィシェント指数　受益証券</t>
  </si>
  <si>
    <t>NZAM ETF S&amp;P/JPX Carbon Efficient Index</t>
  </si>
  <si>
    <t>2568</t>
  </si>
  <si>
    <t>上場インデックスファンド米国株式（ＮＡＳＤＡＱ１００）為替ヘッジなし　受益証券</t>
  </si>
  <si>
    <t>Listed Index Fund US Equity (NASDAQ100) No Currency Hedge</t>
  </si>
  <si>
    <t>2569</t>
  </si>
  <si>
    <t>上場インデックスファンド米国株式（ＮＡＳＤＡＱ１００）為替ヘッジあり　受益証券</t>
  </si>
  <si>
    <t>Listed Index Fund US Equity (NASDAQ100) Currency Hedge</t>
  </si>
  <si>
    <t>257A</t>
  </si>
  <si>
    <t>ＳＭＴ　ＥＴＦ日本株厳選投資アクティブ　受益証券</t>
  </si>
  <si>
    <t>SMT ETF Selected Japan Equity Active</t>
  </si>
  <si>
    <t>258A</t>
  </si>
  <si>
    <t>ＳＭＴ　ＥＴＦ国内リート厳選投資アクティブ　受益証券</t>
  </si>
  <si>
    <t>SMT ETF Selected J-REIT Active</t>
  </si>
  <si>
    <t>2620</t>
  </si>
  <si>
    <t>ｉシェアーズ　米国債１－３年　ＥＴＦ　受益証券</t>
  </si>
  <si>
    <t>iShares 1-3 Year US Treasury Bond ETF</t>
  </si>
  <si>
    <t>2621</t>
  </si>
  <si>
    <t>ｉシェアーズ　米国債２０年超　ＥＴＦ（為替ヘッジあり）　受益証券</t>
  </si>
  <si>
    <t>iShares 20+ Year US Treasury Bond JPY Hedged ETF</t>
  </si>
  <si>
    <t>2622</t>
  </si>
  <si>
    <t>ｉシェアーズ　米ドル建て新興国債券　ＥＴＦ（為替ヘッジあり）　受益証券</t>
  </si>
  <si>
    <t>iShares USD Emerging Markets Bond JPY Hedged ETF</t>
  </si>
  <si>
    <t>2623</t>
  </si>
  <si>
    <t>ｉシェアーズ　ユーロ建て投資適格社債　ＥＴＦ（為替ヘッジあり）　受益証券</t>
  </si>
  <si>
    <t>iShares Euro Investment Grade Corporate Bond JPY Hedged ETF</t>
  </si>
  <si>
    <t>2624</t>
  </si>
  <si>
    <t>ｉＦｒｅｅＥＴＦ　日経２２５（年４回決算型）　受益証券</t>
  </si>
  <si>
    <t>iFreeETF Nikkei225 (Quarterly Dividend Type)</t>
  </si>
  <si>
    <t>2625</t>
  </si>
  <si>
    <t>ｉＦｒｅｅＥＴＦ　ＴＯＰＩＸ（年４回決算型）　受益証券</t>
  </si>
  <si>
    <t>iFreeETF TOPIX (Quarterly Dividend Type)</t>
  </si>
  <si>
    <t>2626</t>
  </si>
  <si>
    <t>グローバルＸ　デジタル・イノベーション－日本株式　ＥＴＦ　受益証券</t>
  </si>
  <si>
    <t>Global X Digital Innovation Japan ETF</t>
  </si>
  <si>
    <t>2627</t>
  </si>
  <si>
    <t>グローバルＸ　ｅコマース－日本株式　ＥＴＦ　受益証券</t>
  </si>
  <si>
    <t>Global X E-Commerce Japan ETF</t>
  </si>
  <si>
    <t>2628</t>
  </si>
  <si>
    <t>ｉＦｒｅｅＥＴＦ　中国科創板５０（ＳＴＡＲ５０）　受益証券</t>
  </si>
  <si>
    <t>iFreeETF China STAR50</t>
  </si>
  <si>
    <t>2629</t>
  </si>
  <si>
    <t>ｉＦｒｅｅＥＴＦ　中国グレーターベイエリア・イノベーション１００（ＧＢＡ１００）　受益証券</t>
  </si>
  <si>
    <t>iFreeETF China GBA100</t>
  </si>
  <si>
    <t>2630</t>
  </si>
  <si>
    <t>ＭＡＸＩＳ米国株式（Ｓ＆Ｐ５００）上場投信（為替ヘッジあり）　受益証券</t>
  </si>
  <si>
    <t>MAXIS S&amp;P500 US Equity ETF (JPY Hedged)</t>
  </si>
  <si>
    <t>2631</t>
  </si>
  <si>
    <t>ＭＡＸＩＳナスダック１００上場投信　受益証券</t>
  </si>
  <si>
    <t>MAXIS NASDAQ100 ETF</t>
  </si>
  <si>
    <t>2632</t>
  </si>
  <si>
    <t>ＭＡＸＩＳナスダック１００上場投信（為替ヘッジあり）　受益証券</t>
  </si>
  <si>
    <t>MAXIS NASDAQ100 ETF (JPY Hedged)</t>
  </si>
  <si>
    <t>2633</t>
  </si>
  <si>
    <t>ＮＥＸＴ　ＦＵＮＤＳ　Ｓ＆Ｐ　５００　指数（為替ヘッジなし）連動型上場投信　受益証券</t>
  </si>
  <si>
    <t>NEXT FUNDS S&amp;P 500 (Unhedged) Exchange Traded Fund</t>
  </si>
  <si>
    <t>2634</t>
  </si>
  <si>
    <t>ＮＥＸＴ　ＦＵＮＤＳ　Ｓ＆Ｐ　５００　指数（為替ヘッジあり）連動型上場投信　受益証券</t>
  </si>
  <si>
    <t>NEXT FUNDS S&amp;P 500 (Yen-Hedged) Exchange Traded Fund</t>
  </si>
  <si>
    <t>2636</t>
  </si>
  <si>
    <t>グローバルＸ　ＭＳＣＩ　ガバナンス・クオリティ－日本株式　ＥＴＦ　受益証券</t>
  </si>
  <si>
    <t>Global X MSCI Governance-Quality Japan ETF</t>
  </si>
  <si>
    <t>2637</t>
  </si>
  <si>
    <t>グローバルＸ　クリーンテック－日本株式　ＥＴＦ　受益証券</t>
  </si>
  <si>
    <t>Global X CleanTech Japan ETF</t>
  </si>
  <si>
    <t>2638</t>
  </si>
  <si>
    <t>グローバルＸ　ロボティクス＆ＡＩ－日本株式　ＥＴＦ　受益証券</t>
  </si>
  <si>
    <t>Global X Japan Robotics &amp; AI ETF</t>
  </si>
  <si>
    <t>2639</t>
  </si>
  <si>
    <t>グローバルＸ　バイオ＆メドテック－日本株式　ＥＴＦ　受益証券</t>
  </si>
  <si>
    <t>Global X Japan Bio &amp; Med Tech ETF</t>
  </si>
  <si>
    <t>2640</t>
  </si>
  <si>
    <t>グローバルＸ　ゲーム＆アニメ－日本株式　ＥＴＦ　受益証券</t>
  </si>
  <si>
    <t>Global X Japan Games &amp; Animation ETF</t>
  </si>
  <si>
    <t>2641</t>
  </si>
  <si>
    <t>グローバルＸ　グローバルリーダーズ－日本株式　ＥＴＦ　受益証券</t>
  </si>
  <si>
    <t>Global X Japan Global Leaders ETF</t>
  </si>
  <si>
    <t>2642</t>
  </si>
  <si>
    <t>ＳＭＴ　ＥＴＦカーボン・エフィシェント日本株　受益証券</t>
  </si>
  <si>
    <t>SMT ETF Carbon Efficient Index Japan Equity</t>
  </si>
  <si>
    <t>2643</t>
  </si>
  <si>
    <t>ＮＥＸＴ　ＦＵＮＤＳ　ＭＳＣＩジャパンカントリー指数（セレクト）連動型上場投信　受益証券</t>
  </si>
  <si>
    <t>NEXT FUNDS MSCI Japan Country Selection Index Exchange Traded Fund</t>
  </si>
  <si>
    <t>2644</t>
  </si>
  <si>
    <t>グローバルＸ　半導体関連－日本株式　ＥＴＦ　受益証券</t>
  </si>
  <si>
    <t>Global X Japan Semiconductor ETF</t>
  </si>
  <si>
    <t>2645</t>
  </si>
  <si>
    <t>グローバルＸ　レジャー＆エンターテインメント－日本株式　ＥＴＦ　受益証券</t>
  </si>
  <si>
    <t>Global X Japan Leisure &amp; Entertainment ETF</t>
  </si>
  <si>
    <t>2646</t>
  </si>
  <si>
    <t>グローバルＸ　メタルビジネス－日本株式　ＥＴＦ　受益証券</t>
  </si>
  <si>
    <t>Global X Japan Metal Business ETF</t>
  </si>
  <si>
    <t>2647</t>
  </si>
  <si>
    <t>ＮＥＸＴ　ＦＵＮＤＳ　ブルームバーグ米国国債（７－１０年）インデックス（為替ヘッジなし）連動型上場投信　受益証券</t>
  </si>
  <si>
    <t>NEXT FUNDS Bloomberg US Treasury Bond (7-10 year) Index (Unhedged) Exchange Traded Fund</t>
  </si>
  <si>
    <t>2648</t>
  </si>
  <si>
    <t>ＮＥＸＴ　ＦＵＮＤＳ　ブルームバーグ米国国債（７－１０年）インデックス（為替ヘッジあり）連動型上場投信　受益証券</t>
  </si>
  <si>
    <t>NEXT FUNDS Bloomberg US Treasury Bond (7-10 year) Index (Yen-Hedged) Exchange Traded Fund</t>
  </si>
  <si>
    <t>2649</t>
  </si>
  <si>
    <t>ｉシェアーズ　米国政府系機関ジニーメイＭＢＳ　ＥＴＦ（為替ヘッジあり）　受益証券</t>
  </si>
  <si>
    <t>iShares Ginnie Mae MBS JPY Hedged ETF</t>
  </si>
  <si>
    <t>273A</t>
  </si>
  <si>
    <t>ＳＢＩ　サウジアラビア株式上場投信　受益証券</t>
  </si>
  <si>
    <t>SBI Saudi Arabia Equity Exchange Traded Fund</t>
  </si>
  <si>
    <t>282A</t>
  </si>
  <si>
    <t>グローバルＸ　半導体・トップ１０－日本株式　ＥＴＦ　受益証券</t>
  </si>
  <si>
    <t>Global X Japan Semiconductor Top 10 ETF</t>
  </si>
  <si>
    <t>2836</t>
  </si>
  <si>
    <t>グローバルＸ　フィンテック－日本株式　ＥＴＦ　受益証券</t>
  </si>
  <si>
    <t>Global X Japan Fintech ETF</t>
  </si>
  <si>
    <t>2837</t>
  </si>
  <si>
    <t>グローバルＸ　中小型リーダーズ－日本株式　ＥＴＦ　受益証券</t>
  </si>
  <si>
    <t>Global X Japan Mid &amp; Small Cap Leaders ETF</t>
  </si>
  <si>
    <t>2838</t>
  </si>
  <si>
    <t>ＭＡＸＩＳ米国国債７－１０年上場投信（為替ヘッジなし）　受益証券</t>
  </si>
  <si>
    <t>MAXIS US Treasury Bond 7-10 Year ETF (Unhedged)</t>
  </si>
  <si>
    <t>2839</t>
  </si>
  <si>
    <t>ＭＡＸＩＳ米国国債７－１０年上場投信（為替ヘッジあり）　受益証券</t>
  </si>
  <si>
    <t>MAXIS US Treasury Bond 7-10 Year ETF (JPY Hedged)</t>
  </si>
  <si>
    <t>283A</t>
  </si>
  <si>
    <t>グローバルＸ　ＵＳ　テック・配当貴族　ＥＴＦ　受益証券</t>
  </si>
  <si>
    <t>Global X US Tech Dividend Aristocrats ETF</t>
  </si>
  <si>
    <t>2840</t>
  </si>
  <si>
    <t>ｉＦｒｅｅＥＴＦ　ＮＡＳＤＡＱ１００（為替ヘッジなし）　受益証券</t>
  </si>
  <si>
    <t>iFreeETF NASDAQ100 (NON HEDGED)</t>
  </si>
  <si>
    <t>2841</t>
  </si>
  <si>
    <t>ｉＦｒｅｅＥＴＦ　ＮＡＳＤＡＱ１００（為替ヘッジあり）　受益証券</t>
  </si>
  <si>
    <t>iFreeETF NASDAQ100 (JPY HEDGED)</t>
  </si>
  <si>
    <t>2842</t>
  </si>
  <si>
    <t>ｉＦｒｅｅＥＴＦ　ＮＡＳＤＡＱ１００インバース　受益証券</t>
  </si>
  <si>
    <t>iFreeETF NASDAQ100 Inverse</t>
  </si>
  <si>
    <t>2843</t>
  </si>
  <si>
    <t>上場インデックスファンド豪州国債（為替ヘッジあり）　受益証券</t>
  </si>
  <si>
    <t>Listed Index Fund Australian Government Bond (Currency Hedge)</t>
  </si>
  <si>
    <t>2844</t>
  </si>
  <si>
    <t>上場インデックスファンド豪州国債（為替ヘッジなし）　受益証券</t>
  </si>
  <si>
    <t>Listed Index Fund Australian Government Bond (No Currency Hedge)</t>
  </si>
  <si>
    <t>2845</t>
  </si>
  <si>
    <t>ＮＥＸＴ　ＦＵＮＤＳ　ＮＡＳＤＡＱ－１００（為替ヘッジあり）連動型上場投信　受益証券</t>
  </si>
  <si>
    <t>NEXT FUNDS NASDAQ-100(R) (Yen-Hedged) Exchange Traded Fund</t>
  </si>
  <si>
    <t>2846</t>
  </si>
  <si>
    <t>ＮＥＸＴ　ＦＵＮＤＳ　ダウ・ジョーンズ工業株３０種平均株価（為替ヘッジあり）連動型上場投信　受益証券</t>
  </si>
  <si>
    <t>NEXT FUNDS DJIA (Yen-Hedged) Exchange Traded Fund</t>
  </si>
  <si>
    <t>2847</t>
  </si>
  <si>
    <t>グローバルＸ　新成長インフラ－日本株式　ＥＴＦ　受益証券</t>
  </si>
  <si>
    <t>Global X Japan New Growth Infrastructure ETF</t>
  </si>
  <si>
    <t>2848</t>
  </si>
  <si>
    <t>グローバルＸ　ＭＳＣＩ　気候変動対応－日本株式　ＥＴＦ　受益証券</t>
  </si>
  <si>
    <t>Global X MSCI Japan Climate Change ETF</t>
  </si>
  <si>
    <t>2849</t>
  </si>
  <si>
    <t>グローバルＸ　Ｍｏｒｎｉｎｇｓｔａｒ　高配当　ＥＳＧ－日本株式　ＥＴＦ　受益証券</t>
  </si>
  <si>
    <t>Global X Morningstar Japan High Dividend ESG ETF</t>
  </si>
  <si>
    <t>2851</t>
  </si>
  <si>
    <t>ｉシェアーズ　ＭＳＣＩ　ジャパンＳＲＩ　ＥＴＦ　受益証券</t>
  </si>
  <si>
    <t>iShares MSCI Japan SRI ETF</t>
  </si>
  <si>
    <t>2852</t>
  </si>
  <si>
    <t>ｉシェアーズ　グリーンＪリート　ＥＴＦ　受益証券</t>
  </si>
  <si>
    <t>iShares Japan Green REIT ETF</t>
  </si>
  <si>
    <t>2853</t>
  </si>
  <si>
    <t>ｉシェアーズ　気候リスク調整世界国債　ＥＴＦ（除く日本・為替ヘッジあり）　受益証券</t>
  </si>
  <si>
    <t>iShares Climate Risk-Adjusted Global ex Japan Government Bond JPY Hedged ETF</t>
  </si>
  <si>
    <t>2854</t>
  </si>
  <si>
    <t>グローバルＸ　テック・トップ２０－日本株式　ＥＴＦ　受益証券</t>
  </si>
  <si>
    <t>Global X Japan Tech Top 20 ETF</t>
  </si>
  <si>
    <t>2855</t>
  </si>
  <si>
    <t>グローバルＸ　グリーン・Ｊ－ＲＥＩＴ　ＥＴＦ　受益証券</t>
  </si>
  <si>
    <t>Global X Green J-REIT ETF</t>
  </si>
  <si>
    <t>2856</t>
  </si>
  <si>
    <t>ｉシェアーズ　米国債３－７年　ＥＴＦ（為替ヘッジあり）　受益証券</t>
  </si>
  <si>
    <t>iShares 3-7 Year US Treasury Bond JPY Hedged ETF</t>
  </si>
  <si>
    <t>2857</t>
  </si>
  <si>
    <t>ｉシェアーズ　ドイツ国債　ＥＴＦ（為替ヘッジあり）　受益証券</t>
  </si>
  <si>
    <t>iShares Germany Government Bond JPY Hedged ETF</t>
  </si>
  <si>
    <t>2858</t>
  </si>
  <si>
    <t>グローバルＸ　日経２２５　カバード・コール　ＥＴＦ（プレミアム再投資型）　受益証券</t>
  </si>
  <si>
    <t>Global X Nikkei 225 Covered Call ETF (option premium reinvestment type)</t>
  </si>
  <si>
    <t>2859</t>
  </si>
  <si>
    <t>ＮＥＸＴ　ＦＵＮＤＳ　ユーロ・ストックス５０指数（為替ヘッジあり）連動型上場投信　受益証券</t>
  </si>
  <si>
    <t>NEXT FUNDS EURO STOXX 50 (Yen-Hedged) Exchange Traded Fund</t>
  </si>
  <si>
    <t>2860</t>
  </si>
  <si>
    <t>ＮＥＸＴ　ＦＵＮＤＳ　ドイツ株式・ＤＡＸ（為替ヘッジあり）連動型上場投信　受益証券</t>
  </si>
  <si>
    <t>NEXT FUNDS German Equity DAX (Yen-Hedged) Exchange Traded Fund</t>
  </si>
  <si>
    <t>2861</t>
  </si>
  <si>
    <t>上場インデックスファンドフランス国債（為替ヘッジなし）　受益証券</t>
  </si>
  <si>
    <t>Listed Index Fund France Government Bond (No Currency Hedge)</t>
  </si>
  <si>
    <t>2862</t>
  </si>
  <si>
    <t>上場インデックスファンドフランス国債（為替ヘッジあり）　受益証券</t>
  </si>
  <si>
    <t>Listed Index Fund France Government Bond (Currency Hedge)</t>
  </si>
  <si>
    <t>2864</t>
  </si>
  <si>
    <t>グローバルＸ　ロジスティクス・ＲＥＩＴ　ＥＴＦ　受益証券</t>
  </si>
  <si>
    <t>Global X Logistics REIT ETF</t>
  </si>
  <si>
    <t>2865</t>
  </si>
  <si>
    <t>グローバルＸ　ＮＡＳＤＡＱ１００・カバード・コール　ＥＴＦ　受益証券</t>
  </si>
  <si>
    <t>Global X Nasdaq 100 Covered Call ETF</t>
  </si>
  <si>
    <t>2866</t>
  </si>
  <si>
    <t>グローバルＸ　米国優先証券　ＥＴＦ　受益証券</t>
  </si>
  <si>
    <t>Global X U.S. Preferred Security ETF</t>
  </si>
  <si>
    <t>2867</t>
  </si>
  <si>
    <t>グローバルＸ　自動運転＆ＥＶ　ＥＴＦ　受益証券</t>
  </si>
  <si>
    <t>Global X Autonomous &amp; EV ETF</t>
  </si>
  <si>
    <t>2868</t>
  </si>
  <si>
    <t>グローバルＸ　Ｓ＆Ｐ５００・カバード・コール　ＥＴＦ　受益証券</t>
  </si>
  <si>
    <t>Global X S&amp;P 500 Covered Call ETF</t>
  </si>
  <si>
    <t>2869</t>
  </si>
  <si>
    <t>ｉＦｒｅｅＥＴＦ　ＮＡＳＤＡＱ１００レバレッジ　受益証券</t>
  </si>
  <si>
    <t>iFreeETF NASDAQ100 Leveraged (2x)</t>
  </si>
  <si>
    <t>2870</t>
  </si>
  <si>
    <t>ｉＦｒｅｅＥＴＦ　ＮＡＳＤＡＱ１００ダブルインバース　受益証券</t>
  </si>
  <si>
    <t>iFreeETF NASDAQ100 Double Inverse (-2x)</t>
  </si>
  <si>
    <t>294A</t>
  </si>
  <si>
    <t>ＮＥＸＴ　ＦＵＮＤＳ　ＭＳＣＩジャパン気候変動指数（セレクト）連動型上場投信　受益証券</t>
  </si>
  <si>
    <t>NEXT FUNDS MSCI Global Climate 500 Japan Selection Index Exchange Traded Fund</t>
  </si>
  <si>
    <t>295A</t>
  </si>
  <si>
    <t>Ｏｎｅ　ＥＴＦ　ＦＴＳＥ・サウジアラビア・インデックス　受益証券</t>
  </si>
  <si>
    <t>One ETF FTSE Saudi Arabia Index</t>
  </si>
  <si>
    <t>2971</t>
  </si>
  <si>
    <t>エスコンジャパンリート投資法人　投資証券</t>
  </si>
  <si>
    <t>ESCON JAPAN REIT Investment Corporation</t>
  </si>
  <si>
    <t>2972</t>
  </si>
  <si>
    <t>サンケイリアルエステート投資法人　投資証券</t>
  </si>
  <si>
    <t>SANKEI REAL ESTATE Inc.</t>
  </si>
  <si>
    <t>2979</t>
  </si>
  <si>
    <t>ＳＯＳｉＬＡ物流リート投資法人　投資証券</t>
  </si>
  <si>
    <t>SOSiLA Logistics REIT,Inc.</t>
  </si>
  <si>
    <t>2989</t>
  </si>
  <si>
    <t>東海道リート投資法人　投資証券</t>
  </si>
  <si>
    <t>Tokaido REIT,Inc.</t>
  </si>
  <si>
    <t>313A</t>
  </si>
  <si>
    <t>ｉシェアーズ　Ｓ＆Ｐ　５００　トップ　２０　ＥＴＦ　受益証券</t>
  </si>
  <si>
    <t>iShares S&amp;P 500 Top 20 ETF</t>
  </si>
  <si>
    <t>314A</t>
  </si>
  <si>
    <t>ｉシェアーズ　ゴールド　ＥＴＦ　受益証券</t>
  </si>
  <si>
    <t>iShares Gold ETF</t>
  </si>
  <si>
    <t>315A</t>
  </si>
  <si>
    <t>グローバルＸ　銀行　高配当－日本株式　ＥＴＦ　受益証券</t>
  </si>
  <si>
    <t>Global X Japan Bank High Dividend ETF</t>
  </si>
  <si>
    <t>316A</t>
  </si>
  <si>
    <t>ｉＦｒｅｅＥＴＦ　ＦＡＮＧ＋　受益証券</t>
  </si>
  <si>
    <t>iFreeETF FANG+</t>
  </si>
  <si>
    <t>318A</t>
  </si>
  <si>
    <t>ＶＩＸ短期先物指数ＥＴＦ　受益証券</t>
  </si>
  <si>
    <t>SIMPLEX VIX Short-Term Futures ETF</t>
  </si>
  <si>
    <t>3226</t>
  </si>
  <si>
    <t>三井不動産アコモデーションファンド投資法人　投資証券</t>
  </si>
  <si>
    <t>Mitsui Fudosan Accommodations Fund Inc.</t>
  </si>
  <si>
    <t>3234</t>
  </si>
  <si>
    <t>森ヒルズリート投資法人　投資証券</t>
  </si>
  <si>
    <t>MORI HILLS REIT INVESTMENT CORPORATION</t>
  </si>
  <si>
    <t>3249</t>
  </si>
  <si>
    <t>産業ファンド投資法人　投資証券</t>
  </si>
  <si>
    <t>Industrial &amp; Infrastructure Fund Investment Corporation</t>
  </si>
  <si>
    <t>3269</t>
  </si>
  <si>
    <t>アドバンス・レジデンス投資法人　投資証券</t>
  </si>
  <si>
    <t>Advance Residence Investment Corporation</t>
  </si>
  <si>
    <t>3279</t>
  </si>
  <si>
    <t>アクティビア・プロパティーズ投資法人　投資証券</t>
  </si>
  <si>
    <t>Activia Properties Inc.</t>
  </si>
  <si>
    <t>3281</t>
  </si>
  <si>
    <t>ＧＬＰ投資法人　投資証券</t>
  </si>
  <si>
    <t>GLP J-REIT</t>
  </si>
  <si>
    <t>3282</t>
  </si>
  <si>
    <t>コンフォリア・レジデンシャル投資法人　投資証券</t>
  </si>
  <si>
    <t>Comforia Residential REIT,Inc</t>
  </si>
  <si>
    <t>3283</t>
  </si>
  <si>
    <t>日本プロロジスリート投資法人　投資証券</t>
  </si>
  <si>
    <t>Nippon Prologis REIT,Inc.</t>
  </si>
  <si>
    <t>3287</t>
  </si>
  <si>
    <t>星野リゾート・リート投資法人　投資証券</t>
  </si>
  <si>
    <t>Hoshino Resorts REIT,Inc.</t>
  </si>
  <si>
    <t>328A</t>
  </si>
  <si>
    <t>グローバルＸ　プライシングパワー・リーダーズ－日本株式　ＥＴＦ　受益証券</t>
  </si>
  <si>
    <t>Global X Japan Pricing Power Leaders ETF</t>
  </si>
  <si>
    <t>3290</t>
  </si>
  <si>
    <t>Ｏｎｅリート投資法人　投資証券</t>
  </si>
  <si>
    <t>One REIT,Inc.</t>
  </si>
  <si>
    <t>3292</t>
  </si>
  <si>
    <t>イオンリート投資法人　投資証券</t>
  </si>
  <si>
    <t>AEON REIT Investment Corporation</t>
  </si>
  <si>
    <t>3295</t>
  </si>
  <si>
    <t>ヒューリックリート投資法人　投資証券</t>
  </si>
  <si>
    <t>Hulic Reit,Inc.</t>
  </si>
  <si>
    <t>3296</t>
  </si>
  <si>
    <t>日本リート投資法人　投資証券</t>
  </si>
  <si>
    <t>NIPPON REIT Investment Corporation</t>
  </si>
  <si>
    <t>3309</t>
  </si>
  <si>
    <t>積水ハウス・リート投資法人　投資証券</t>
  </si>
  <si>
    <t>Sekisui House Reit,Inc.</t>
  </si>
  <si>
    <t>3451</t>
  </si>
  <si>
    <t>トーセイ・リート投資法人　投資証券</t>
  </si>
  <si>
    <t>Tosei Reit Investment Corporation</t>
  </si>
  <si>
    <t>3455</t>
  </si>
  <si>
    <t>ヘルスケア＆メディカル投資法人　投資証券</t>
  </si>
  <si>
    <t>Healthcare &amp; Medical Investment Corporation</t>
  </si>
  <si>
    <t>3459</t>
  </si>
  <si>
    <t>サムティ・レジデンシャル投資法人　投資証券</t>
  </si>
  <si>
    <t>Samty Residential Investment Corporation</t>
  </si>
  <si>
    <t>345A</t>
  </si>
  <si>
    <t>高配当成長　日本株（ネットリターン）ＥＴＮ　受益証券</t>
  </si>
  <si>
    <t>High Dividend Growth Japan Equity Net Return ETN</t>
  </si>
  <si>
    <t>3462</t>
  </si>
  <si>
    <t>野村不動産マスターファンド投資法人　投資証券</t>
  </si>
  <si>
    <t>Nomura Real Estate Master Fund,Inc.</t>
  </si>
  <si>
    <t>3463</t>
  </si>
  <si>
    <t>いちごホテルリート投資法人　投資証券</t>
  </si>
  <si>
    <t>Ichigo Hotel REIT Investment Corporation</t>
  </si>
  <si>
    <t>3466</t>
  </si>
  <si>
    <t>ラサールロジポート投資法人　投資証券</t>
  </si>
  <si>
    <t>LaSalle LOGIPORT REIT</t>
  </si>
  <si>
    <t>3468</t>
  </si>
  <si>
    <t>スターアジア不動産投資法人　投資証券</t>
  </si>
  <si>
    <t>Star Asia Investment Corporation</t>
  </si>
  <si>
    <t>346A</t>
  </si>
  <si>
    <t>ＮＥＸＴ　ＦＵＮＤＳ　Ｓ＆Ｐ　５００　半導体・半導体製造装置３５％キャップ指数連動型上場投信　受益証券</t>
  </si>
  <si>
    <t>NEXT FUNDS S&amp;P 500 Semiconductors &amp; Semiconductor Equipment (Industry Group) 35% Capped Index Exchange Traded Fund</t>
  </si>
  <si>
    <t>3470</t>
  </si>
  <si>
    <t>マリモ地方創生リート投資法人　投資証券</t>
  </si>
  <si>
    <t>Marimo Regional Revitalization REIT,Inc.</t>
  </si>
  <si>
    <t>3471</t>
  </si>
  <si>
    <t>三井不動産ロジスティクスパーク投資法人　投資証券</t>
  </si>
  <si>
    <t>Mitsui Fudosan Logistics Park Inc.</t>
  </si>
  <si>
    <t>3472</t>
  </si>
  <si>
    <t>日本ホテル＆レジデンシャル投資法人　投資証券</t>
  </si>
  <si>
    <t>Nippon Hotel &amp; Residential Investment Corporation</t>
  </si>
  <si>
    <t>3476</t>
  </si>
  <si>
    <t>投資法人みらい　投資証券</t>
  </si>
  <si>
    <t>MIRAI Corporation</t>
  </si>
  <si>
    <t>3481</t>
  </si>
  <si>
    <t>三菱地所物流リート投資法人　投資証券</t>
  </si>
  <si>
    <t>Mitsubishi Estate Logistics REIT Investment Corporation</t>
  </si>
  <si>
    <t>3487</t>
  </si>
  <si>
    <t>ＣＲＥロジスティクスファンド投資法人　投資証券</t>
  </si>
  <si>
    <t>CRE Logistics REIT,Inc.</t>
  </si>
  <si>
    <t>3488</t>
  </si>
  <si>
    <t>セントラル・リート投資法人　投資証券</t>
  </si>
  <si>
    <t>CENTRAL REIT Investment Corporation</t>
  </si>
  <si>
    <t>348A</t>
  </si>
  <si>
    <t>ＭＡＸＩＳ読売３３３日本株上場投信　受益証券</t>
  </si>
  <si>
    <t>MAXIS Yomiuri333 Japan Stock ETF</t>
  </si>
  <si>
    <t>3492</t>
  </si>
  <si>
    <t>ＭＩＲＡＲＴＨ不動産投資法人　投資証券</t>
  </si>
  <si>
    <t>MIRARTH Real Estate Investment Corporation</t>
  </si>
  <si>
    <t>349A</t>
  </si>
  <si>
    <t>ＳＭＤＡＭ　Ａｃｔｉｖｅ　ＥＴＦ　日本グロース株式　受益証券</t>
  </si>
  <si>
    <t>SMDAM Active ETF Japan Growth Equity</t>
  </si>
  <si>
    <t>354A</t>
  </si>
  <si>
    <t>ｉＦｒｅｅＥＴＦ　ブルームバーグ日本株高配当５０指数　受益証券</t>
  </si>
  <si>
    <t>iFreeETF Bloomberg Japan High Dividend 50 Index</t>
  </si>
  <si>
    <t>356A</t>
  </si>
  <si>
    <t>グローバルＸ　Ｓ＆Ｐ５００　キャッシュフロー・トップ１００　ＥＴＦ　受益証券</t>
  </si>
  <si>
    <t>Global X S&amp;P 500 Cash Flow Top 100 ETF</t>
  </si>
  <si>
    <t>360A</t>
  </si>
  <si>
    <t>東証ＲＥＩＴ　Ｃｏｒｅ　ＥＴＦ　受益証券</t>
  </si>
  <si>
    <t>TSE REIT Core ETF</t>
  </si>
  <si>
    <t>363A</t>
  </si>
  <si>
    <t>ｉＦｒｅｅＥＴＦ　英国ＦＴＳＥ１００　受益証券</t>
  </si>
  <si>
    <t>iFreeETF FTSE100</t>
  </si>
  <si>
    <t>364A</t>
  </si>
  <si>
    <t>ＮＥＸＴ　ＦＵＮＤＳ　Ｓ＆Ｐ　５００　配当貴族指数連動型上場投信　受益証券</t>
  </si>
  <si>
    <t>NEXT FUNDS S&amp;P 500 Dividend Aristocrats Index Exchange Traded Fund</t>
  </si>
  <si>
    <t>376A</t>
  </si>
  <si>
    <t>ＮＥＸＴ　ＦＵＮＤＳ　ブルームバーグ米国国債（７－１０年）インデックス（７５％為替ヘッジあり）連動型上場投信　受益証券</t>
  </si>
  <si>
    <t>NEXT FUNDS Bloomberg US Treasury Bond (7-10 year) Index (75% Yen-Hedged) Exchange Traded Fund</t>
  </si>
  <si>
    <t>379A</t>
  </si>
  <si>
    <t>グローバルＸ　Ｓ＆Ｐ５００　ＥＴＦ（ダイナミック・プロテクション）　受益証券</t>
  </si>
  <si>
    <t>Global X S&amp;P 500 ETF (Dynamic Protection)</t>
  </si>
  <si>
    <t>380A</t>
  </si>
  <si>
    <t>グローバルＸ　チャイナテック　ＥＴＦ　受益証券</t>
  </si>
  <si>
    <t>Global X China Tech ETF</t>
  </si>
  <si>
    <t>381A</t>
  </si>
  <si>
    <t>ｉＦｒｅｅＥＴＦ　米国国債３－５年（為替ヘッジなし）　受益証券</t>
  </si>
  <si>
    <t>iFreeETF US Treasury Bond 3-5 Year (NON HEDGED)</t>
  </si>
  <si>
    <t>382A</t>
  </si>
  <si>
    <t>ｉＦｒｅｅＥＴＦ　米国国債３－５年（為替ヘッジあり）　受益証券</t>
  </si>
  <si>
    <t>iFreeETF US Treasury Bond 3-5 Year (JPY HEDGED)</t>
  </si>
  <si>
    <t>383A</t>
  </si>
  <si>
    <t>ＭＡＸＩＳ　Ｓ＆Ｐ５００均等ウェイト上場投信　受益証券</t>
  </si>
  <si>
    <t>MAXIS S&amp;P500 Equal Weight ETF</t>
  </si>
  <si>
    <t>392A</t>
  </si>
  <si>
    <t>ｉシェアーズ　ＮＡＳＤＡＱ　トップ　３０　ＥＴＦ　受益証券</t>
  </si>
  <si>
    <t>iShares Nasdaq Top 30 ETF</t>
  </si>
  <si>
    <t>394A</t>
  </si>
  <si>
    <t>業界改革厳選ＥＴＦテレビ業界　受益証券</t>
  </si>
  <si>
    <t>Sector Restructuring Select ETF TV</t>
  </si>
  <si>
    <t>395A</t>
  </si>
  <si>
    <t>業界改革厳選ＥＴＦ地銀　受益証券</t>
  </si>
  <si>
    <t>Sector Restructuring Select ETF Regional Banks</t>
  </si>
  <si>
    <t>396A</t>
  </si>
  <si>
    <t>業界改革厳選ＥＴＦ　ＲＥＩＴイベント・ドリブン　受益証券</t>
  </si>
  <si>
    <t>Sector Restructuring Select ETF Event-Driven REITs</t>
  </si>
  <si>
    <t>399A</t>
  </si>
  <si>
    <t>上場インデックスファンド日経平均高配当株５０　受益証券</t>
  </si>
  <si>
    <t>Listed Index Fund Nikkei 225 High Dividend Yield Stock 50</t>
  </si>
  <si>
    <t>401A</t>
  </si>
  <si>
    <t>霞ヶ関ホテルリート投資法人　投資証券</t>
  </si>
  <si>
    <t>Kasumigaseki Hotel REIT Investment Corporation</t>
  </si>
  <si>
    <t>404A</t>
  </si>
  <si>
    <t>グローバルＸ　チャイナテック・トップ１０　ＥＴＦ　受益証券</t>
  </si>
  <si>
    <t>Global X China Tech Top 10 ETF</t>
  </si>
  <si>
    <t>408A</t>
  </si>
  <si>
    <t>ｉシェアーズ　ＡＩ　グローバル・イノベーション　アクティブ　ＥＴＦ　受益証券</t>
  </si>
  <si>
    <t>iShares A.I. Global Innovation Active ETF</t>
  </si>
  <si>
    <t>412A</t>
  </si>
  <si>
    <t>ＮＥＸＴ　ＦＵＮＤＳ　ＴＩＰ　ＦａｃｔＳｅｔ　台湾イノベイティブ・テクノロジー５０指数連動型上場投信　受益証券</t>
  </si>
  <si>
    <t>NEXT FUNDS TIP FactSet Taiwan Innovative Technology 50 Index Exchange Traded Fund</t>
  </si>
  <si>
    <t>413A</t>
  </si>
  <si>
    <t>ｉＦｒｅｅＥＴＦ　キャセイ台湾テックリーダー指数　受益証券</t>
  </si>
  <si>
    <t>iFreeETF Cathay Taiwan Tech Leader Index</t>
  </si>
  <si>
    <t>424A</t>
  </si>
  <si>
    <t>グローバルＸ　ゴールド　ＥＴＦ（為替ヘッジあり）　受益証券</t>
  </si>
  <si>
    <t>Global X Gold ETF (JPY Hedged)</t>
  </si>
  <si>
    <t>425A</t>
  </si>
  <si>
    <t>グローバルＸ　ゴールド　ＥＴＦ　受益証券</t>
  </si>
  <si>
    <t>Global X Gold ETF</t>
  </si>
  <si>
    <t>426A</t>
  </si>
  <si>
    <t>ニッセイＥＴＦ　Ｓ＆Ｐ５００イコール・ウェイト（為替ヘッジなし）　受益証券</t>
  </si>
  <si>
    <t>Nissay ETF S&amp;P500 Equal Weight (Currency Unhedged)</t>
  </si>
  <si>
    <t>435A</t>
  </si>
  <si>
    <t>ｉＦｒｅｅＥＴＦ　日本株配当ローテーション戦略　受益証券</t>
  </si>
  <si>
    <t>iFreeETF Japan Equity Dividend Rotation Strategy</t>
  </si>
  <si>
    <t>443A</t>
  </si>
  <si>
    <t>ｉＦｒｅｅＥＴＦ　東証ＲＥＩＴ指数（２・５・８・１１月決算型）　受益証券</t>
  </si>
  <si>
    <t>iFreeETF Tokyo Stock Exchange REIT Index (Feb/May/Aug/Nov Dividend Type)</t>
  </si>
  <si>
    <t>447A</t>
  </si>
  <si>
    <t>ステート・ストリート・スパイダー　ゴールド　ＥＴＦ（為替ヘッジなし）　受益証券</t>
  </si>
  <si>
    <t>State Street SPDR Gold ETF (JPY Unhedged)</t>
  </si>
  <si>
    <t>448A</t>
  </si>
  <si>
    <t>ステート・ストリート・スパイダー　ゴールド　ＥＴＦ（為替ヘッジあり）　受益証券</t>
  </si>
  <si>
    <t>State Street SPDR Gold ETF (JPY Hedged)</t>
  </si>
  <si>
    <t>449A</t>
  </si>
  <si>
    <t>ステート・ストリート・スパイダー　Ｓ＆Ｐ５００　ＥＴＦ（為替ヘッジなし）　受益証券</t>
  </si>
  <si>
    <t>State Street SPDR S&amp;P 500 ETF (JPY Unhedged)</t>
  </si>
  <si>
    <t>450A</t>
  </si>
  <si>
    <t>ステート・ストリート・スパイダー　Ｓ＆Ｐ５００　ＥＴＦ（為替ヘッジあり）　受益証券</t>
  </si>
  <si>
    <t>State Street SPDR S&amp;P 500 ETF (JPY Hedged)</t>
  </si>
  <si>
    <t>451A</t>
  </si>
  <si>
    <t>ステート・ストリート・スパイダー　Ｓ＆Ｐ５００高配当株　ＥＴＦ　受益証券</t>
  </si>
  <si>
    <t>State Street SPDR S&amp;P 500 High Dividend ETF (JPY Unhedged)</t>
  </si>
  <si>
    <t>452A</t>
  </si>
  <si>
    <t>ｉシェアーズ　Ｓ＆Ｐ　５００　プレミアムインカム　ＥＴＦ　受益証券</t>
  </si>
  <si>
    <t>iShares S&amp;P 500 Premium Income ETF</t>
  </si>
  <si>
    <t>453A</t>
  </si>
  <si>
    <t>ｉシェアーズ　米国債２０年超　プレミアムインカム　ＥＴＦ　受益証券</t>
  </si>
  <si>
    <t>iShares 20+ Year US Treasury Bond Premium Income ETF</t>
  </si>
  <si>
    <t>459A</t>
  </si>
  <si>
    <t>野村高利回りＪリート指数ＥＴＦ　受益証券</t>
  </si>
  <si>
    <t>Nomura High-yield J-REIT Index ETF</t>
  </si>
  <si>
    <t>461A</t>
  </si>
  <si>
    <t>ＭＡＸＩＳ日本株高配当ＳＭＡＲＴ５０上場投信　受益証券</t>
  </si>
  <si>
    <t>MAXIS Japan Equity High Dividend SMART 50 ETF</t>
  </si>
  <si>
    <t>465A</t>
  </si>
  <si>
    <t>グローバルＸ　日経平均株主還元４０－日本株式　ＥＴＦ　受益証券</t>
  </si>
  <si>
    <t>Global X Japan Nikkei 225 Shareholder Return 40 ETF</t>
  </si>
  <si>
    <t>466A</t>
  </si>
  <si>
    <t>グローバルＸ　防衛テック　ＥＴＦ　受益証券</t>
  </si>
  <si>
    <t>Global X Defense Tech ETF</t>
  </si>
  <si>
    <t>467A</t>
  </si>
  <si>
    <t>グローバルＸ　米ドル建て投資適格社債　ＥＴＦ（為替ヘッジあり）　受益証券</t>
  </si>
  <si>
    <t>Global X USD Investment Grade Corporate Bond ETF (JPY Hedged)</t>
  </si>
  <si>
    <t>468A</t>
  </si>
  <si>
    <t>グローバルＸ　米ドル建て投資適格社債　ＥＴＦ　受益証券</t>
  </si>
  <si>
    <t>Global X USD Investment Grade Corporate Bond ETF</t>
  </si>
  <si>
    <t>473A</t>
  </si>
  <si>
    <t>ニッセイＥＴＦ　日経２２５インデックス　受益証券</t>
  </si>
  <si>
    <t>Nissay ETF Nikkei 225 Index</t>
  </si>
  <si>
    <t xml:space="preserve">新規上場  </t>
  </si>
  <si>
    <t xml:space="preserve">New Listing  </t>
  </si>
  <si>
    <t xml:space="preserve">2025/12/05  </t>
  </si>
  <si>
    <t>486A</t>
  </si>
  <si>
    <t>ＮＥＸＴ　ＦＵＮＤＳ　ユーロ・ストックス５０指数（為替ヘッジなし）連動型上場投信　受益証券</t>
  </si>
  <si>
    <t>NEXT FUNDS EURO STOXX 50 (Unhedged) Exchange Traded Fund</t>
  </si>
  <si>
    <t xml:space="preserve">2025/12/17  </t>
  </si>
  <si>
    <t>487A</t>
  </si>
  <si>
    <t>ＮＥＸＴ　ＦＵＮＤＳ　ドイツ株式・ＤＡＸ（為替ヘッジなし）連動型上場投信　受益証券</t>
  </si>
  <si>
    <t>NEXT FUNDS German Equity DAX (Unhedged) Exchange Traded Fund</t>
  </si>
  <si>
    <t>488A</t>
  </si>
  <si>
    <t>ｉシェアーズ　円高フォーカス　ＥＴＦ　受益証券</t>
  </si>
  <si>
    <t>iShares Yen Appreciation Focus ETF</t>
  </si>
  <si>
    <t>489A</t>
  </si>
  <si>
    <t>東証ＲＥＩＴ物流フォーカスＥＴＦ　受益証券</t>
  </si>
  <si>
    <t>TSE REIT Logistics Focus ETF</t>
  </si>
  <si>
    <t xml:space="preserve">2025/12/18  </t>
  </si>
  <si>
    <t>8951</t>
  </si>
  <si>
    <t>日本ビルファンド投資法人　投資証券</t>
  </si>
  <si>
    <t>Nippon Building Fund Inc.</t>
  </si>
  <si>
    <t>8952</t>
  </si>
  <si>
    <t>ジャパンリアルエステイト投資法人　投資証券</t>
  </si>
  <si>
    <t>Japan Real Estate Investment Corporation</t>
  </si>
  <si>
    <t>8953</t>
  </si>
  <si>
    <t>日本都市ファンド投資法人　投資証券</t>
  </si>
  <si>
    <t>Japan Metropolitan Fund Investment Corporation</t>
  </si>
  <si>
    <t>8954</t>
  </si>
  <si>
    <t>オリックス不動産投資法人　投資証券</t>
  </si>
  <si>
    <t>ORIX JREIT Inc.</t>
  </si>
  <si>
    <t>8955</t>
  </si>
  <si>
    <t>日本プライムリアルティ投資法人　投資証券</t>
  </si>
  <si>
    <t>Japan Prime Realty Investment Corporation</t>
  </si>
  <si>
    <t>8956</t>
  </si>
  <si>
    <t>ＮＴＴ都市開発リート投資法人　投資証券</t>
  </si>
  <si>
    <t>NTT UD REIT Investment Corporation</t>
  </si>
  <si>
    <t>8957</t>
  </si>
  <si>
    <t>東急リアル・エステート投資法人　投資証券</t>
  </si>
  <si>
    <t>TOKYU REIT, Inc.</t>
  </si>
  <si>
    <t>8958</t>
  </si>
  <si>
    <t>グローバル・ワン不動産投資法人　投資証券</t>
  </si>
  <si>
    <t>Global One Real Estate Investment Corporation</t>
  </si>
  <si>
    <t>8960</t>
  </si>
  <si>
    <t>ユナイテッド・アーバン投資法人　投資証券</t>
  </si>
  <si>
    <t>United Urban Investment Corporation</t>
  </si>
  <si>
    <t>8961</t>
  </si>
  <si>
    <t>森トラストリート投資法人　投資証券</t>
  </si>
  <si>
    <t>MORI TRUST REIT,Inc.</t>
  </si>
  <si>
    <t>8963</t>
  </si>
  <si>
    <t>インヴィンシブル投資法人　投資証券</t>
  </si>
  <si>
    <t>Invincible Investment Corporation</t>
  </si>
  <si>
    <t>8964</t>
  </si>
  <si>
    <t>フロンティア不動産投資法人　投資証券</t>
  </si>
  <si>
    <t>Frontier Real Estate Investment Corporation</t>
  </si>
  <si>
    <t>8966</t>
  </si>
  <si>
    <t>平和不動産リート投資法人　投資証券</t>
  </si>
  <si>
    <t>HEIWA REAL ESTATE REIT,Inc.</t>
  </si>
  <si>
    <t>8967</t>
  </si>
  <si>
    <t>日本ロジスティクスファンド投資法人　投資証券</t>
  </si>
  <si>
    <t>Japan Logistics Fund,Inc.</t>
  </si>
  <si>
    <t>8968</t>
  </si>
  <si>
    <t>福岡リート投資法人　投資証券</t>
  </si>
  <si>
    <t>Fukuoka REIT Corporation</t>
  </si>
  <si>
    <t>8972</t>
  </si>
  <si>
    <t>ＫＤＸ不動産投資法人　投資証券</t>
  </si>
  <si>
    <t>KDX Realty Investment Corporation</t>
  </si>
  <si>
    <t>8975</t>
  </si>
  <si>
    <t>いちごオフィスリート投資法人　投資証券</t>
  </si>
  <si>
    <t>Ichigo Office REIT Investment Corporation</t>
  </si>
  <si>
    <t>8976</t>
  </si>
  <si>
    <t>大和証券オフィス投資法人　投資証券</t>
  </si>
  <si>
    <t>Daiwa Office Investment Corporation</t>
  </si>
  <si>
    <t>8977</t>
  </si>
  <si>
    <t>阪急阪神リート投資法人　投資証券</t>
  </si>
  <si>
    <t>Hankyu Hanshin REIT,Inc.</t>
  </si>
  <si>
    <t>8979</t>
  </si>
  <si>
    <t>スターツプロシード投資法人　投資証券</t>
  </si>
  <si>
    <t>Starts Proceed Investment Corporation</t>
  </si>
  <si>
    <t>8984</t>
  </si>
  <si>
    <t>大和ハウスリート投資法人　投資証券</t>
  </si>
  <si>
    <t>Daiwa House REIT Investment Corporation</t>
  </si>
  <si>
    <t>8985</t>
  </si>
  <si>
    <t>ジャパン・ホテル・リート投資法人　投資証券</t>
  </si>
  <si>
    <t>Japan Hotel REIT Investment Corporation</t>
  </si>
  <si>
    <t>8986</t>
  </si>
  <si>
    <t>大和証券リビング投資法人　投資証券</t>
  </si>
  <si>
    <t>Daiwa Securities Living Investment Corporation</t>
  </si>
  <si>
    <t>8987</t>
  </si>
  <si>
    <t>ジャパンエクセレント投資法人　投資証券</t>
  </si>
  <si>
    <t>Japan Excellent,Inc.</t>
  </si>
  <si>
    <t>9282</t>
  </si>
  <si>
    <t>いちごグリーンインフラ投資法人　投資証券</t>
  </si>
  <si>
    <t>Ichigo Green Infrastructure Investment Corporation</t>
  </si>
  <si>
    <t>9284</t>
  </si>
  <si>
    <t>カナディアン・ソーラー・インフラ投資法人　投資証券</t>
  </si>
  <si>
    <t>Canadian Solar Infrastructure Fund,Inc.</t>
  </si>
  <si>
    <t>9285</t>
  </si>
  <si>
    <t>東京インフラ・エネルギー投資法人　投資証券</t>
  </si>
  <si>
    <t>Tokyo Infrastructure Energy Investment Corporation</t>
  </si>
  <si>
    <t>9286</t>
  </si>
  <si>
    <t>エネクス・インフラ投資法人　投資証券</t>
  </si>
  <si>
    <t>Enex Infrastructure Investment Corporation</t>
  </si>
  <si>
    <t>9287</t>
  </si>
  <si>
    <t>ジャパン・インフラファンド投資法人　投資証券</t>
  </si>
  <si>
    <t>Japan Infrastructure Fund Investment Corporation</t>
  </si>
  <si>
    <t>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</si>
</sst>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numFmtId="0" fontId="0" fillId="0" borderId="0">
      <alignment vertical="center"/>
    </xf>
    <xf numFmtId="0" fontId="1" fillId="0" borderId="0">
      <alignment vertical="center"/>
    </xf>
    <xf numFmtId="0" fontId="8" fillId="0" borderId="0"/>
    <xf numFmtId="9" fontId="2" fillId="0" borderId="0" applyFont="0" applyFill="0" applyBorder="0" applyAlignment="0" applyProtection="0"/>
    <xf numFmtId="0" fontId="12" fillId="0" borderId="0"/>
    <xf numFmtId="0" fontId="8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7" fillId="0" borderId="0">
      <alignment horizontal="center" wrapText="1"/>
      <protection locked="0"/>
    </xf>
    <xf numFmtId="0" fontId="18" fillId="0" borderId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176" fontId="13" fillId="0" borderId="0" applyFill="0" applyBorder="0" applyAlignment="0"/>
    <xf numFmtId="177" fontId="7" fillId="0" borderId="0" applyFill="0" applyBorder="0" applyAlignment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1" fillId="20" borderId="27" applyNumberFormat="0" applyAlignment="0" applyProtection="0"/>
    <xf numFmtId="0" fontId="22" fillId="21" borderId="28" applyNumberFormat="0" applyAlignment="0" applyProtection="0"/>
    <xf numFmtId="0" fontId="23" fillId="0" borderId="0">
      <alignment vertical="top" wrapText="1"/>
    </xf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5" fillId="0" borderId="0">
      <alignment horizontal="left"/>
    </xf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38" fontId="28" fillId="22" borderId="0" applyNumberFormat="0" applyBorder="0" applyAlignment="0" applyProtection="0"/>
    <xf numFmtId="0" fontId="29" fillId="23" borderId="0"/>
    <xf numFmtId="0" fontId="30" fillId="0" borderId="29" applyNumberFormat="0" applyAlignment="0" applyProtection="0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0" fillId="0" borderId="26">
      <alignment horizontal="left" vertical="center"/>
    </xf>
    <xf numFmtId="0" fontId="31" fillId="0" borderId="30" applyNumberFormat="0" applyFill="0" applyAlignment="0" applyProtection="0"/>
    <xf numFmtId="0" fontId="32" fillId="0" borderId="31" applyNumberFormat="0" applyFill="0" applyAlignment="0" applyProtection="0"/>
    <xf numFmtId="0" fontId="33" fillId="0" borderId="32" applyNumberFormat="0" applyFill="0" applyAlignment="0" applyProtection="0"/>
    <xf numFmtId="0" fontId="33" fillId="0" borderId="0" applyNumberFormat="0" applyFill="0" applyBorder="0" applyAlignment="0" applyProtection="0"/>
    <xf numFmtId="0" fontId="7" fillId="0" borderId="0" applyBorder="0"/>
    <xf numFmtId="0" fontId="34" fillId="7" borderId="27" applyNumberFormat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10" fontId="28" fillId="24" borderId="21" applyNumberFormat="0" applyBorder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34" fillId="7" borderId="27" applyNumberFormat="0" applyAlignment="0" applyProtection="0"/>
    <xf numFmtId="0" fontId="7" fillId="0" borderId="0"/>
    <xf numFmtId="0" fontId="35" fillId="0" borderId="33" applyNumberFormat="0" applyFill="0" applyAlignment="0" applyProtection="0"/>
    <xf numFmtId="38" fontId="36" fillId="0" borderId="0" applyFont="0" applyFill="0" applyBorder="0" applyAlignment="0" applyProtection="0"/>
    <xf numFmtId="40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37" fillId="25" borderId="0" applyNumberFormat="0" applyBorder="0" applyAlignment="0" applyProtection="0"/>
    <xf numFmtId="37" fontId="38" fillId="0" borderId="0"/>
    <xf numFmtId="182" fontId="39" fillId="0" borderId="0"/>
    <xf numFmtId="183" fontId="7" fillId="0" borderId="0"/>
    <xf numFmtId="183" fontId="7" fillId="0" borderId="0"/>
    <xf numFmtId="182" fontId="39" fillId="0" borderId="0"/>
    <xf numFmtId="0" fontId="24" fillId="0" borderId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24" fillId="26" borderId="34" applyNumberFormat="0" applyFon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0" fontId="40" fillId="20" borderId="35" applyNumberFormat="0" applyAlignment="0" applyProtection="0"/>
    <xf numFmtId="14" fontId="17" fillId="0" borderId="0">
      <alignment horizontal="center" wrapText="1"/>
      <protection locked="0"/>
    </xf>
    <xf numFmtId="10" fontId="24" fillId="0" borderId="0" applyFont="0" applyFill="0" applyBorder="0" applyAlignment="0" applyProtection="0"/>
    <xf numFmtId="4" fontId="25" fillId="0" borderId="0">
      <alignment horizontal="right"/>
    </xf>
    <xf numFmtId="0" fontId="41" fillId="0" borderId="0" applyNumberFormat="0" applyFont="0" applyFill="0" applyBorder="0" applyAlignment="0" applyProtection="0">
      <alignment horizontal="left"/>
    </xf>
    <xf numFmtId="0" fontId="42" fillId="0" borderId="36">
      <alignment horizontal="center"/>
    </xf>
    <xf numFmtId="0" fontId="43" fillId="0" borderId="0" applyNumberFormat="0" applyFont="0" applyFill="0" applyBorder="0" applyAlignment="0"/>
    <xf numFmtId="4" fontId="44" fillId="0" borderId="0">
      <alignment horizontal="right"/>
    </xf>
    <xf numFmtId="0" fontId="45" fillId="0" borderId="0">
      <alignment horizontal="left"/>
    </xf>
    <xf numFmtId="0" fontId="46" fillId="0" borderId="0"/>
    <xf numFmtId="0" fontId="47" fillId="0" borderId="0">
      <alignment horizontal="center"/>
    </xf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8" fillId="0" borderId="37" applyNumberFormat="0" applyFill="0" applyAlignment="0" applyProtection="0"/>
    <xf numFmtId="0" fontId="49" fillId="0" borderId="0" applyNumberFormat="0" applyFill="0" applyBorder="0" applyAlignment="0" applyProtection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50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2" fillId="21" borderId="28" applyNumberFormat="0" applyAlignment="0" applyProtection="0">
      <alignment vertical="center"/>
    </xf>
    <xf numFmtId="0" fontId="53" fillId="0" borderId="0"/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14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7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8" fillId="26" borderId="34" applyNumberFormat="0" applyFont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8" fillId="0" borderId="33" applyNumberFormat="0" applyFill="0" applyAlignment="0" applyProtection="0">
      <alignment vertical="center"/>
    </xf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1" fillId="20" borderId="27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43" fontId="24" fillId="0" borderId="0" applyFont="0" applyFill="0" applyBorder="0" applyAlignment="0" applyProtection="0"/>
    <xf numFmtId="38" fontId="63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64" fillId="0" borderId="0" applyFont="0" applyFill="0" applyBorder="0" applyAlignment="0" applyProtection="0">
      <alignment vertical="center"/>
    </xf>
    <xf numFmtId="38" fontId="65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65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184" fontId="24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66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7" fillId="0" borderId="30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/>
    <xf numFmtId="49" fontId="71" fillId="27" borderId="17" applyNumberFormat="0" applyFill="0" applyBorder="0" applyProtection="0"/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2" fillId="0" borderId="37" applyNumberFormat="0" applyFill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0" fontId="73" fillId="20" borderId="35" applyNumberFormat="0" applyAlignment="0" applyProtection="0">
      <alignment vertical="center"/>
    </xf>
    <xf numFmtId="185" fontId="59" fillId="0" borderId="0"/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186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6" fontId="8" fillId="0" borderId="0" applyFont="0" applyFill="0" applyBorder="0" applyAlignment="0" applyProtection="0"/>
    <xf numFmtId="6" fontId="66" fillId="0" borderId="0" applyFont="0" applyFill="0" applyBorder="0" applyAlignment="0" applyProtection="0">
      <alignment vertical="center"/>
    </xf>
    <xf numFmtId="6" fontId="75" fillId="0" borderId="0" applyFont="0" applyFill="0" applyBorder="0" applyAlignment="0" applyProtection="0">
      <alignment vertical="center"/>
    </xf>
    <xf numFmtId="6" fontId="66" fillId="0" borderId="0" applyFont="0" applyFill="0" applyBorder="0" applyAlignment="0" applyProtection="0">
      <alignment vertical="center"/>
    </xf>
    <xf numFmtId="6" fontId="66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/>
    <xf numFmtId="6" fontId="7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/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4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2" fillId="0" borderId="0"/>
    <xf numFmtId="0" fontId="64" fillId="0" borderId="0">
      <alignment vertical="center"/>
    </xf>
    <xf numFmtId="0" fontId="2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66" fillId="0" borderId="0">
      <alignment vertical="center"/>
    </xf>
    <xf numFmtId="0" fontId="8" fillId="0" borderId="0"/>
    <xf numFmtId="0" fontId="79" fillId="0" borderId="0">
      <alignment vertical="center"/>
    </xf>
    <xf numFmtId="0" fontId="66" fillId="0" borderId="0">
      <alignment vertical="center"/>
    </xf>
    <xf numFmtId="0" fontId="8" fillId="0" borderId="0"/>
    <xf numFmtId="0" fontId="8" fillId="0" borderId="0"/>
    <xf numFmtId="0" fontId="8" fillId="0" borderId="0"/>
    <xf numFmtId="0" fontId="8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/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/>
    <xf numFmtId="0" fontId="66" fillId="0" borderId="0"/>
    <xf numFmtId="0" fontId="66" fillId="0" borderId="0">
      <alignment vertical="center"/>
    </xf>
    <xf numFmtId="0" fontId="81" fillId="0" borderId="0">
      <alignment vertical="center"/>
    </xf>
    <xf numFmtId="0" fontId="66" fillId="0" borderId="0"/>
    <xf numFmtId="0" fontId="81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/>
    <xf numFmtId="0" fontId="82" fillId="0" borderId="0">
      <alignment vertical="center"/>
    </xf>
    <xf numFmtId="0" fontId="8" fillId="0" borderId="0"/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2" fillId="0" borderId="0"/>
    <xf numFmtId="0" fontId="66" fillId="0" borderId="0">
      <alignment vertical="center"/>
    </xf>
    <xf numFmtId="0" fontId="66" fillId="0" borderId="0">
      <alignment vertical="center"/>
    </xf>
    <xf numFmtId="0" fontId="2" fillId="0" borderId="0"/>
    <xf numFmtId="0" fontId="64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/>
    <xf numFmtId="0" fontId="66" fillId="0" borderId="0">
      <alignment vertical="center"/>
    </xf>
    <xf numFmtId="0" fontId="8" fillId="0" borderId="0"/>
    <xf numFmtId="0" fontId="7" fillId="0" borderId="0">
      <alignment vertical="center"/>
    </xf>
    <xf numFmtId="0" fontId="83" fillId="0" borderId="0"/>
    <xf numFmtId="0" fontId="66" fillId="0" borderId="0"/>
    <xf numFmtId="0" fontId="7" fillId="0" borderId="0">
      <alignment vertical="center"/>
    </xf>
    <xf numFmtId="0" fontId="66" fillId="0" borderId="0">
      <alignment vertical="center"/>
    </xf>
    <xf numFmtId="0" fontId="66" fillId="0" borderId="0"/>
    <xf numFmtId="0" fontId="8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77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2" fillId="0" borderId="0"/>
    <xf numFmtId="0" fontId="79" fillId="0" borderId="0">
      <alignment vertical="center"/>
    </xf>
    <xf numFmtId="0" fontId="2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8" fillId="0" borderId="0"/>
    <xf numFmtId="0" fontId="8" fillId="0" borderId="0"/>
    <xf numFmtId="0" fontId="14" fillId="0" borderId="0">
      <alignment vertical="center"/>
    </xf>
    <xf numFmtId="0" fontId="8" fillId="0" borderId="0"/>
    <xf numFmtId="0" fontId="66" fillId="0" borderId="0">
      <alignment vertical="center"/>
    </xf>
    <xf numFmtId="0" fontId="8" fillId="0" borderId="0"/>
    <xf numFmtId="0" fontId="66" fillId="0" borderId="0"/>
    <xf numFmtId="0" fontId="66" fillId="0" borderId="0"/>
    <xf numFmtId="0" fontId="8" fillId="0" borderId="0"/>
    <xf numFmtId="0" fontId="8" fillId="0" borderId="0">
      <alignment vertical="center"/>
    </xf>
    <xf numFmtId="0" fontId="64" fillId="0" borderId="0">
      <alignment vertical="center"/>
    </xf>
    <xf numFmtId="0" fontId="83" fillId="0" borderId="0"/>
    <xf numFmtId="0" fontId="64" fillId="0" borderId="0">
      <alignment vertical="center"/>
    </xf>
    <xf numFmtId="0" fontId="8" fillId="0" borderId="0"/>
    <xf numFmtId="0" fontId="8" fillId="0" borderId="0">
      <alignment vertical="center"/>
    </xf>
    <xf numFmtId="0" fontId="83" fillId="0" borderId="0"/>
    <xf numFmtId="0" fontId="8" fillId="0" borderId="0"/>
    <xf numFmtId="0" fontId="8" fillId="0" borderId="0"/>
    <xf numFmtId="0" fontId="83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3" fillId="0" borderId="0"/>
    <xf numFmtId="0" fontId="83" fillId="0" borderId="0"/>
    <xf numFmtId="0" fontId="8" fillId="0" borderId="0"/>
    <xf numFmtId="0" fontId="83" fillId="0" borderId="0"/>
    <xf numFmtId="0" fontId="14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4" fillId="0" borderId="0">
      <alignment vertical="center"/>
    </xf>
    <xf numFmtId="0" fontId="8" fillId="0" borderId="0"/>
    <xf numFmtId="0" fontId="8" fillId="0" borderId="0"/>
    <xf numFmtId="0" fontId="66" fillId="0" borderId="0"/>
    <xf numFmtId="0" fontId="66" fillId="0" borderId="0"/>
    <xf numFmtId="0" fontId="8" fillId="0" borderId="0"/>
    <xf numFmtId="0" fontId="8" fillId="0" borderId="0"/>
    <xf numFmtId="0" fontId="7" fillId="0" borderId="0">
      <alignment vertical="center"/>
    </xf>
    <xf numFmtId="0" fontId="8" fillId="0" borderId="0"/>
    <xf numFmtId="0" fontId="8" fillId="0" borderId="0"/>
    <xf numFmtId="0" fontId="66" fillId="0" borderId="0">
      <alignment vertical="center"/>
    </xf>
    <xf numFmtId="0" fontId="8" fillId="0" borderId="0"/>
    <xf numFmtId="0" fontId="8" fillId="0" borderId="0"/>
    <xf numFmtId="0" fontId="66" fillId="0" borderId="0">
      <alignment vertical="center"/>
    </xf>
    <xf numFmtId="0" fontId="8" fillId="0" borderId="0"/>
    <xf numFmtId="0" fontId="8" fillId="0" borderId="0"/>
    <xf numFmtId="0" fontId="66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66" fillId="0" borderId="0">
      <alignment vertical="center"/>
    </xf>
    <xf numFmtId="0" fontId="66" fillId="0" borderId="0">
      <alignment vertical="center"/>
    </xf>
    <xf numFmtId="0" fontId="64" fillId="0" borderId="0"/>
    <xf numFmtId="0" fontId="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5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8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7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1" fillId="0" borderId="0">
      <alignment vertical="center"/>
    </xf>
    <xf numFmtId="0" fontId="87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7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8" fillId="0" borderId="0"/>
    <xf numFmtId="0" fontId="8" fillId="0" borderId="0"/>
    <xf numFmtId="0" fontId="6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6" fillId="0" borderId="0">
      <alignment vertical="center"/>
    </xf>
    <xf numFmtId="0" fontId="66" fillId="0" borderId="0">
      <alignment vertical="center"/>
    </xf>
    <xf numFmtId="0" fontId="8" fillId="0" borderId="0"/>
    <xf numFmtId="0" fontId="66" fillId="0" borderId="0">
      <alignment vertical="center"/>
    </xf>
    <xf numFmtId="0" fontId="8" fillId="0" borderId="0"/>
    <xf numFmtId="0" fontId="8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2" fillId="0" borderId="0">
      <alignment vertical="center"/>
    </xf>
    <xf numFmtId="0" fontId="8" fillId="0" borderId="0"/>
    <xf numFmtId="0" fontId="8" fillId="0" borderId="0">
      <alignment vertical="center"/>
    </xf>
    <xf numFmtId="0" fontId="8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87" fillId="0" borderId="0">
      <alignment vertical="center"/>
    </xf>
    <xf numFmtId="0" fontId="87" fillId="0" borderId="0">
      <alignment vertical="center"/>
    </xf>
    <xf numFmtId="0" fontId="8" fillId="0" borderId="0">
      <alignment vertical="center"/>
    </xf>
    <xf numFmtId="0" fontId="87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2" fillId="0" borderId="0"/>
    <xf numFmtId="0" fontId="87" fillId="0" borderId="0">
      <alignment vertical="center"/>
    </xf>
    <xf numFmtId="0" fontId="2" fillId="0" borderId="0"/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8" fillId="0" borderId="0"/>
    <xf numFmtId="0" fontId="89" fillId="0" borderId="0"/>
    <xf numFmtId="0" fontId="53" fillId="0" borderId="0"/>
    <xf numFmtId="49" fontId="77" fillId="0" borderId="0" applyFill="0" applyBorder="0"/>
    <xf numFmtId="188" fontId="90" fillId="0" borderId="0"/>
    <xf numFmtId="0" fontId="91" fillId="0" borderId="0"/>
    <xf numFmtId="0" fontId="92" fillId="0" borderId="0"/>
    <xf numFmtId="0" fontId="91" fillId="0" borderId="0"/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8" fillId="0" borderId="0"/>
  </cellStyleXfs>
  <cellXfs count="47">
    <xf numFmtId="0" fontId="0" fillId="0" borderId="0" xfId="0">
      <alignment vertical="center"/>
    </xf>
    <xf numFmtId="0" fontId="4" fillId="0" borderId="0" xfId="1" applyFont="1">
      <alignment vertical="center"/>
    </xf>
    <xf numFmtId="0" fontId="9" fillId="0" borderId="0" xfId="1" applyFont="1">
      <alignment vertical="center"/>
    </xf>
    <xf numFmtId="0" fontId="4" fillId="0" borderId="0" xfId="1" applyNumberFormat="1" applyFont="1">
      <alignment vertical="center"/>
    </xf>
    <xf numFmtId="0" fontId="2" fillId="0" borderId="1" xfId="1" applyFont="1" applyFill="1" applyBorder="1">
      <alignment vertical="center"/>
    </xf>
    <xf numFmtId="0" fontId="2" fillId="0" borderId="2" xfId="1" applyFont="1" applyFill="1" applyBorder="1">
      <alignment vertical="center"/>
    </xf>
    <xf numFmtId="0" fontId="2" fillId="0" borderId="2" xfId="1" applyNumberFormat="1" applyFont="1" applyFill="1" applyBorder="1">
      <alignment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vertical="center"/>
    </xf>
    <xf numFmtId="0" fontId="7" fillId="0" borderId="10" xfId="1" applyNumberFormat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49" fontId="7" fillId="0" borderId="9" xfId="2" applyNumberFormat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/>
    </xf>
    <xf numFmtId="0" fontId="2" fillId="0" borderId="4" xfId="1" applyNumberFormat="1" applyFont="1" applyFill="1" applyBorder="1" applyAlignment="1">
      <alignment horizontal="center" vertical="center"/>
    </xf>
    <xf numFmtId="0" fontId="2" fillId="0" borderId="14" xfId="1" applyNumberFormat="1" applyFont="1" applyFill="1" applyBorder="1" applyAlignment="1">
      <alignment horizontal="center" vertical="center"/>
    </xf>
    <xf numFmtId="49" fontId="2" fillId="0" borderId="15" xfId="2" applyNumberFormat="1" applyFont="1" applyFill="1" applyBorder="1" applyAlignment="1">
      <alignment horizontal="center" vertical="center"/>
    </xf>
    <xf numFmtId="49" fontId="7" fillId="0" borderId="13" xfId="2" applyNumberFormat="1" applyFont="1" applyFill="1" applyBorder="1" applyAlignment="1">
      <alignment horizontal="center" vertical="center"/>
    </xf>
    <xf numFmtId="49" fontId="2" fillId="0" borderId="16" xfId="2" applyNumberFormat="1" applyFont="1" applyFill="1" applyBorder="1" applyAlignment="1">
      <alignment horizontal="center" vertical="center"/>
    </xf>
    <xf numFmtId="49" fontId="2" fillId="0" borderId="13" xfId="2" applyNumberFormat="1" applyFont="1" applyFill="1" applyBorder="1" applyAlignment="1">
      <alignment horizontal="center" vertical="center"/>
    </xf>
    <xf numFmtId="0" fontId="2" fillId="0" borderId="17" xfId="1" applyFont="1" applyFill="1" applyBorder="1" applyAlignment="1">
      <alignment horizontal="right" vertical="center"/>
    </xf>
    <xf numFmtId="0" fontId="2" fillId="0" borderId="6" xfId="1" applyNumberFormat="1" applyFont="1" applyFill="1" applyBorder="1" applyAlignment="1">
      <alignment horizontal="right" vertical="center"/>
    </xf>
    <xf numFmtId="0" fontId="2" fillId="0" borderId="18" xfId="1" applyNumberFormat="1" applyFont="1" applyFill="1" applyBorder="1" applyAlignment="1">
      <alignment horizontal="right" vertical="center"/>
    </xf>
    <xf numFmtId="0" fontId="2" fillId="0" borderId="19" xfId="1" applyNumberFormat="1" applyFont="1" applyFill="1" applyBorder="1" applyAlignment="1">
      <alignment horizontal="right" vertical="center"/>
    </xf>
    <xf numFmtId="49" fontId="11" fillId="0" borderId="17" xfId="2" applyNumberFormat="1" applyFont="1" applyFill="1" applyBorder="1" applyAlignment="1">
      <alignment horizontal="right"/>
    </xf>
    <xf numFmtId="49" fontId="11" fillId="0" borderId="20" xfId="2" applyNumberFormat="1" applyFont="1" applyFill="1" applyBorder="1" applyAlignment="1">
      <alignment horizontal="right"/>
    </xf>
    <xf numFmtId="49" fontId="11" fillId="0" borderId="19" xfId="2" applyNumberFormat="1" applyFont="1" applyFill="1" applyBorder="1" applyAlignment="1">
      <alignment horizontal="right"/>
    </xf>
    <xf numFmtId="49" fontId="7" fillId="0" borderId="21" xfId="1" applyNumberFormat="1" applyFont="1" applyFill="1" applyBorder="1" applyAlignment="1">
      <alignment horizontal="left" vertical="center"/>
    </xf>
    <xf numFmtId="49" fontId="7" fillId="0" borderId="22" xfId="1" applyNumberFormat="1" applyFont="1" applyFill="1" applyBorder="1" applyAlignment="1">
      <alignment horizontal="left" vertical="center"/>
    </xf>
    <xf numFmtId="49" fontId="7" fillId="0" borderId="23" xfId="1" applyNumberFormat="1" applyFont="1" applyFill="1" applyBorder="1" applyAlignment="1">
      <alignment horizontal="left" vertical="center"/>
    </xf>
    <xf numFmtId="49" fontId="7" fillId="0" borderId="24" xfId="1" applyNumberFormat="1" applyFont="1" applyFill="1" applyBorder="1" applyAlignment="1">
      <alignment horizontal="left" vertical="center"/>
    </xf>
    <xf numFmtId="49" fontId="7" fillId="0" borderId="21" xfId="2" applyNumberFormat="1" applyFont="1" applyFill="1" applyBorder="1" applyAlignment="1">
      <alignment horizontal="left"/>
    </xf>
    <xf numFmtId="3" fontId="7" fillId="0" borderId="21" xfId="2" applyNumberFormat="1" applyFont="1" applyFill="1" applyBorder="1" applyAlignment="1">
      <alignment horizontal="right"/>
    </xf>
    <xf numFmtId="4" fontId="7" fillId="0" borderId="25" xfId="2" applyNumberFormat="1" applyFont="1" applyFill="1" applyBorder="1" applyAlignment="1">
      <alignment horizontal="right"/>
    </xf>
    <xf numFmtId="49" fontId="7" fillId="0" borderId="24" xfId="2" applyNumberFormat="1" applyFont="1" applyFill="1" applyBorder="1" applyAlignment="1">
      <alignment horizontal="right"/>
    </xf>
    <xf numFmtId="4" fontId="7" fillId="0" borderId="21" xfId="2" applyNumberFormat="1" applyFont="1" applyFill="1" applyBorder="1" applyAlignment="1">
      <alignment horizontal="right"/>
    </xf>
    <xf numFmtId="189" fontId="7" fillId="0" borderId="21" xfId="2" applyNumberFormat="1" applyFont="1" applyFill="1" applyBorder="1" applyAlignment="1">
      <alignment horizontal="right"/>
    </xf>
    <xf numFmtId="0" fontId="2" fillId="0" borderId="2" xfId="1" applyFont="1" applyFill="1" applyBorder="1" applyAlignment="1">
      <alignment horizontal="left" vertical="top" wrapText="1"/>
    </xf>
    <xf numFmtId="0" fontId="2" fillId="0" borderId="3" xfId="1" applyFont="1" applyFill="1" applyBorder="1" applyAlignment="1">
      <alignment horizontal="left" vertical="top" wrapText="1"/>
    </xf>
    <xf numFmtId="0" fontId="2" fillId="0" borderId="0" xfId="1" applyFont="1" applyFill="1" applyBorder="1" applyAlignment="1">
      <alignment horizontal="left" vertical="top" wrapText="1"/>
    </xf>
    <xf numFmtId="0" fontId="2" fillId="0" borderId="5" xfId="1" applyFont="1" applyFill="1" applyBorder="1" applyAlignment="1">
      <alignment horizontal="left" vertical="top" wrapText="1"/>
    </xf>
    <xf numFmtId="0" fontId="2" fillId="0" borderId="7" xfId="1" applyFont="1" applyFill="1" applyBorder="1" applyAlignment="1">
      <alignment horizontal="left" vertical="top" wrapText="1"/>
    </xf>
    <xf numFmtId="0" fontId="2" fillId="0" borderId="8" xfId="1" applyFont="1" applyFill="1" applyBorder="1" applyAlignment="1">
      <alignment horizontal="left" vertical="top" wrapText="1"/>
    </xf>
    <xf numFmtId="0" fontId="5" fillId="0" borderId="4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name="標準" xfId="0" builtin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90"/>
  <sheetViews>
    <sheetView showGridLines="0" tabSelected="1" view="pageBreakPreview" zoomScaleNormal="70" zoomScaleSheetLayoutView="100" workbookViewId="0">
      <pane ySplit="6" topLeftCell="A7" activePane="bottomLeft" state="frozen"/>
      <selection pane="bottomLeft" activeCell="A7" sqref="A7"/>
    </sheetView>
  </sheetViews>
  <sheetFormatPr defaultRowHeight="13.5"/>
  <cols>
    <col min="1" max="1" bestFit="true" customWidth="true" style="1" width="13.125" collapsed="false"/>
    <col min="2" max="2" bestFit="true" customWidth="true" style="1" width="10.75" collapsed="false"/>
    <col min="3" max="4" bestFit="true" customWidth="true" style="1" width="59.625" collapsed="false"/>
    <col min="5" max="5" bestFit="true" customWidth="true" style="3" width="13.75" collapsed="false"/>
    <col min="6" max="6" bestFit="true" customWidth="true" style="3" width="20.75" collapsed="false"/>
    <col min="7" max="7" customWidth="true" style="3" width="11.25" collapsed="false"/>
    <col min="8" max="8" bestFit="true" customWidth="true" style="1" width="8.75" collapsed="false"/>
    <col min="9" max="9" bestFit="true" customWidth="true" style="1" width="11.75" collapsed="false"/>
    <col min="10" max="10" bestFit="true" customWidth="true" style="1" width="12.625" collapsed="false"/>
    <col min="11" max="11" customWidth="true" style="1" width="16.25" collapsed="false"/>
    <col min="12" max="12" bestFit="true" customWidth="true" style="1" width="5.62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bestFit="true" customWidth="true" style="1" width="23.875" collapsed="false"/>
    <col min="20" max="20" customWidth="true" style="1" width="16.25" collapsed="false"/>
    <col min="21" max="21" bestFit="true" customWidth="true" style="1" width="26.125" collapsed="false"/>
    <col min="22" max="22" bestFit="true" customWidth="true" style="1" width="19.875" collapsed="false"/>
    <col min="23" max="23" bestFit="true" customWidth="true" style="1" width="25.0" collapsed="false"/>
    <col min="24" max="24" bestFit="true" customWidth="true" style="1" width="13.125" collapsed="false"/>
    <col min="25" max="16384" style="1" width="9.0" collapsed="false"/>
  </cols>
  <sheetData>
    <row r="1" spans="1:24" ht="13.5" customHeight="1">
      <c r="A1" s="4"/>
      <c r="B1" s="5"/>
      <c r="C1" s="5"/>
      <c r="D1" s="5"/>
      <c r="E1" s="6"/>
      <c r="F1" s="6"/>
      <c r="G1" s="6"/>
      <c r="H1" s="5"/>
      <c r="I1" s="5"/>
      <c r="J1" s="5"/>
      <c r="K1" s="5"/>
      <c r="L1" s="5"/>
      <c r="M1" s="5"/>
      <c r="N1" s="37" t="s">
        <v>0</v>
      </c>
      <c r="O1" s="37"/>
      <c r="P1" s="37"/>
      <c r="Q1" s="37"/>
      <c r="R1" s="37"/>
      <c r="S1" s="37"/>
      <c r="T1" s="37"/>
      <c r="U1" s="37"/>
      <c r="V1" s="37"/>
      <c r="W1" s="37"/>
      <c r="X1" s="38"/>
    </row>
    <row r="2" spans="1:24" ht="99" customHeight="1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39"/>
      <c r="O2" s="39"/>
      <c r="P2" s="39"/>
      <c r="Q2" s="39"/>
      <c r="R2" s="39"/>
      <c r="S2" s="39"/>
      <c r="T2" s="39"/>
      <c r="U2" s="39"/>
      <c r="V2" s="39"/>
      <c r="W2" s="39"/>
      <c r="X2" s="40"/>
    </row>
    <row r="3" spans="1:24" ht="39" customHeight="1">
      <c r="A3" s="45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1"/>
      <c r="O3" s="41"/>
      <c r="P3" s="41"/>
      <c r="Q3" s="41"/>
      <c r="R3" s="41"/>
      <c r="S3" s="41"/>
      <c r="T3" s="41"/>
      <c r="U3" s="41"/>
      <c r="V3" s="41"/>
      <c r="W3" s="41"/>
      <c r="X3" s="42"/>
    </row>
    <row r="4" spans="1:24" s="2" customFormat="1" ht="13.5" customHeight="1">
      <c r="A4" s="7" t="s">
        <v>3</v>
      </c>
      <c r="B4" s="7" t="s">
        <v>4</v>
      </c>
      <c r="C4" s="7" t="s">
        <v>5</v>
      </c>
      <c r="D4" s="7" t="s">
        <v>6</v>
      </c>
      <c r="E4" s="8" t="s">
        <v>7</v>
      </c>
      <c r="F4" s="9" t="s">
        <v>8</v>
      </c>
      <c r="G4" s="10" t="s">
        <v>9</v>
      </c>
      <c r="H4" s="7" t="s">
        <v>10</v>
      </c>
      <c r="I4" s="7" t="s">
        <v>11</v>
      </c>
      <c r="J4" s="7" t="s">
        <v>12</v>
      </c>
      <c r="K4" s="11" t="s">
        <v>13</v>
      </c>
      <c r="L4" s="10" t="s">
        <v>9</v>
      </c>
      <c r="M4" s="11" t="s">
        <v>14</v>
      </c>
      <c r="N4" s="10" t="s">
        <v>9</v>
      </c>
      <c r="O4" s="11" t="s">
        <v>15</v>
      </c>
      <c r="P4" s="10" t="s">
        <v>9</v>
      </c>
      <c r="Q4" s="11" t="s">
        <v>16</v>
      </c>
      <c r="R4" s="10" t="s">
        <v>9</v>
      </c>
      <c r="S4" s="7" t="s">
        <v>17</v>
      </c>
      <c r="T4" s="7" t="s">
        <v>18</v>
      </c>
      <c r="U4" s="12" t="s">
        <v>19</v>
      </c>
      <c r="V4" s="7" t="s">
        <v>20</v>
      </c>
      <c r="W4" s="7" t="s">
        <v>21</v>
      </c>
      <c r="X4" s="7" t="s">
        <v>22</v>
      </c>
    </row>
    <row r="5" spans="1:24">
      <c r="A5" s="13" t="s">
        <v>23</v>
      </c>
      <c r="B5" s="13" t="s">
        <v>24</v>
      </c>
      <c r="C5" s="13"/>
      <c r="D5" s="13"/>
      <c r="E5" s="14"/>
      <c r="F5" s="15"/>
      <c r="G5" s="16" t="s">
        <v>25</v>
      </c>
      <c r="H5" s="17" t="s">
        <v>26</v>
      </c>
      <c r="I5" s="17" t="s">
        <v>27</v>
      </c>
      <c r="J5" s="17" t="s">
        <v>28</v>
      </c>
      <c r="K5" s="18" t="s">
        <v>29</v>
      </c>
      <c r="L5" s="16" t="s">
        <v>25</v>
      </c>
      <c r="M5" s="18" t="s">
        <v>30</v>
      </c>
      <c r="N5" s="16" t="s">
        <v>25</v>
      </c>
      <c r="O5" s="18" t="s">
        <v>31</v>
      </c>
      <c r="P5" s="16" t="s">
        <v>25</v>
      </c>
      <c r="Q5" s="18" t="s">
        <v>32</v>
      </c>
      <c r="R5" s="16" t="s">
        <v>25</v>
      </c>
      <c r="S5" s="19" t="s">
        <v>33</v>
      </c>
      <c r="T5" s="19" t="s">
        <v>34</v>
      </c>
      <c r="U5" s="19" t="s">
        <v>35</v>
      </c>
      <c r="V5" s="19" t="s">
        <v>36</v>
      </c>
      <c r="W5" s="19" t="s">
        <v>37</v>
      </c>
      <c r="X5" s="19" t="s">
        <v>38</v>
      </c>
    </row>
    <row r="6" spans="1:24">
      <c r="A6" s="20"/>
      <c r="B6" s="20"/>
      <c r="C6" s="20"/>
      <c r="D6" s="20"/>
      <c r="E6" s="21"/>
      <c r="F6" s="22"/>
      <c r="G6" s="23"/>
      <c r="H6" s="24"/>
      <c r="I6" s="24"/>
      <c r="J6" s="24" t="s">
        <v>39</v>
      </c>
      <c r="K6" s="25" t="s">
        <v>40</v>
      </c>
      <c r="L6" s="26"/>
      <c r="M6" s="25" t="s">
        <v>40</v>
      </c>
      <c r="N6" s="26"/>
      <c r="O6" s="25" t="s">
        <v>40</v>
      </c>
      <c r="P6" s="26"/>
      <c r="Q6" s="25" t="s">
        <v>40</v>
      </c>
      <c r="R6" s="26"/>
      <c r="S6" s="25" t="s">
        <v>40</v>
      </c>
      <c r="T6" s="24" t="s">
        <v>41</v>
      </c>
      <c r="U6" s="24" t="s">
        <v>41</v>
      </c>
      <c r="V6" s="25" t="s">
        <v>40</v>
      </c>
      <c r="W6" s="25" t="s">
        <v>40</v>
      </c>
      <c r="X6" s="24"/>
    </row>
    <row r="7" spans="1:24" s="2" customFormat="1" ht="13.5" customHeight="1">
      <c r="A7" s="27" t="s">
        <v>42</v>
      </c>
      <c r="B7" s="27" t="s">
        <v>43</v>
      </c>
      <c r="C7" s="27" t="s">
        <v>44</v>
      </c>
      <c r="D7" s="27" t="s">
        <v>45</v>
      </c>
      <c r="E7" s="28" t="s">
        <v>46</v>
      </c>
      <c r="F7" s="29" t="s">
        <v>46</v>
      </c>
      <c r="G7" s="30" t="s">
        <v>46</v>
      </c>
      <c r="H7" s="31"/>
      <c r="I7" s="31" t="s">
        <v>47</v>
      </c>
      <c r="J7" s="32" t="n">
        <v>10.0</v>
      </c>
      <c r="K7" s="33" t="n">
        <f>3585</f>
        <v>3585.0</v>
      </c>
      <c r="L7" s="34" t="s">
        <v>48</v>
      </c>
      <c r="M7" s="33" t="n">
        <f>3642</f>
        <v>3642.0</v>
      </c>
      <c r="N7" s="34" t="s">
        <v>49</v>
      </c>
      <c r="O7" s="33" t="n">
        <f>3525</f>
        <v>3525.0</v>
      </c>
      <c r="P7" s="34" t="s">
        <v>50</v>
      </c>
      <c r="Q7" s="33" t="n">
        <f>3613</f>
        <v>3613.0</v>
      </c>
      <c r="R7" s="34" t="s">
        <v>51</v>
      </c>
      <c r="S7" s="35" t="n">
        <f>3589.68</f>
        <v>3589.68</v>
      </c>
      <c r="T7" s="32" t="n">
        <f>9402280</f>
        <v>9402280.0</v>
      </c>
      <c r="U7" s="32" t="n">
        <f>6611810</f>
        <v>6611810.0</v>
      </c>
      <c r="V7" s="32" t="n">
        <f>33599680174</f>
        <v>3.3599680174E10</v>
      </c>
      <c r="W7" s="32" t="n">
        <f>23564825754</f>
        <v>2.3564825754E10</v>
      </c>
      <c r="X7" s="36" t="n">
        <f>22</f>
        <v>22.0</v>
      </c>
    </row>
    <row r="8">
      <c r="A8" s="27" t="s">
        <v>42</v>
      </c>
      <c r="B8" s="27" t="s">
        <v>52</v>
      </c>
      <c r="C8" s="27" t="s">
        <v>53</v>
      </c>
      <c r="D8" s="27" t="s">
        <v>54</v>
      </c>
      <c r="E8" s="28" t="s">
        <v>46</v>
      </c>
      <c r="F8" s="29" t="s">
        <v>46</v>
      </c>
      <c r="G8" s="30" t="s">
        <v>46</v>
      </c>
      <c r="H8" s="31"/>
      <c r="I8" s="31" t="s">
        <v>47</v>
      </c>
      <c r="J8" s="32" t="n">
        <v>10.0</v>
      </c>
      <c r="K8" s="33" t="n">
        <f>3542</f>
        <v>3542.0</v>
      </c>
      <c r="L8" s="34" t="s">
        <v>48</v>
      </c>
      <c r="M8" s="33" t="n">
        <f>3606</f>
        <v>3606.0</v>
      </c>
      <c r="N8" s="34" t="s">
        <v>55</v>
      </c>
      <c r="O8" s="33" t="n">
        <f>3489</f>
        <v>3489.0</v>
      </c>
      <c r="P8" s="34" t="s">
        <v>50</v>
      </c>
      <c r="Q8" s="33" t="n">
        <f>3579</f>
        <v>3579.0</v>
      </c>
      <c r="R8" s="34" t="s">
        <v>51</v>
      </c>
      <c r="S8" s="35" t="n">
        <f>3554.27</f>
        <v>3554.27</v>
      </c>
      <c r="T8" s="32" t="n">
        <f>87881470</f>
        <v>8.788147E7</v>
      </c>
      <c r="U8" s="32" t="n">
        <f>28774820</f>
        <v>2.877482E7</v>
      </c>
      <c r="V8" s="32" t="n">
        <f>312586064057</f>
        <v>3.12586064057E11</v>
      </c>
      <c r="W8" s="32" t="n">
        <f>102067216147</f>
        <v>1.02067216147E11</v>
      </c>
      <c r="X8" s="36" t="n">
        <f>22</f>
        <v>22.0</v>
      </c>
    </row>
    <row r="9">
      <c r="A9" s="27" t="s">
        <v>42</v>
      </c>
      <c r="B9" s="27" t="s">
        <v>56</v>
      </c>
      <c r="C9" s="27" t="s">
        <v>57</v>
      </c>
      <c r="D9" s="27" t="s">
        <v>58</v>
      </c>
      <c r="E9" s="28" t="s">
        <v>46</v>
      </c>
      <c r="F9" s="29" t="s">
        <v>46</v>
      </c>
      <c r="G9" s="30" t="s">
        <v>46</v>
      </c>
      <c r="H9" s="31"/>
      <c r="I9" s="31" t="s">
        <v>47</v>
      </c>
      <c r="J9" s="32" t="n">
        <v>1.0</v>
      </c>
      <c r="K9" s="33" t="n">
        <f>3496</f>
        <v>3496.0</v>
      </c>
      <c r="L9" s="34" t="s">
        <v>48</v>
      </c>
      <c r="M9" s="33" t="n">
        <f>3559</f>
        <v>3559.0</v>
      </c>
      <c r="N9" s="34" t="s">
        <v>59</v>
      </c>
      <c r="O9" s="33" t="n">
        <f>3446</f>
        <v>3446.0</v>
      </c>
      <c r="P9" s="34" t="s">
        <v>50</v>
      </c>
      <c r="Q9" s="33" t="n">
        <f>3539</f>
        <v>3539.0</v>
      </c>
      <c r="R9" s="34" t="s">
        <v>51</v>
      </c>
      <c r="S9" s="35" t="n">
        <f>3511.55</f>
        <v>3511.55</v>
      </c>
      <c r="T9" s="32" t="n">
        <f>19620616</f>
        <v>1.9620616E7</v>
      </c>
      <c r="U9" s="32" t="n">
        <f>13133608</f>
        <v>1.3133608E7</v>
      </c>
      <c r="V9" s="32" t="n">
        <f>68569440742</f>
        <v>6.8569440742E10</v>
      </c>
      <c r="W9" s="32" t="n">
        <f>45760325129</f>
        <v>4.5760325129E10</v>
      </c>
      <c r="X9" s="36" t="n">
        <f>22</f>
        <v>22.0</v>
      </c>
    </row>
    <row r="10">
      <c r="A10" s="27" t="s">
        <v>42</v>
      </c>
      <c r="B10" s="27" t="s">
        <v>60</v>
      </c>
      <c r="C10" s="27" t="s">
        <v>61</v>
      </c>
      <c r="D10" s="27" t="s">
        <v>62</v>
      </c>
      <c r="E10" s="28" t="s">
        <v>46</v>
      </c>
      <c r="F10" s="29" t="s">
        <v>46</v>
      </c>
      <c r="G10" s="30" t="s">
        <v>46</v>
      </c>
      <c r="H10" s="31"/>
      <c r="I10" s="31" t="s">
        <v>47</v>
      </c>
      <c r="J10" s="32" t="n">
        <v>1.0</v>
      </c>
      <c r="K10" s="33" t="n">
        <f>52200</f>
        <v>52200.0</v>
      </c>
      <c r="L10" s="34" t="s">
        <v>48</v>
      </c>
      <c r="M10" s="33" t="n">
        <f>54490</f>
        <v>54490.0</v>
      </c>
      <c r="N10" s="34" t="s">
        <v>51</v>
      </c>
      <c r="O10" s="33" t="n">
        <f>51550</f>
        <v>51550.0</v>
      </c>
      <c r="P10" s="34" t="s">
        <v>63</v>
      </c>
      <c r="Q10" s="33" t="n">
        <f>54000</f>
        <v>54000.0</v>
      </c>
      <c r="R10" s="34" t="s">
        <v>51</v>
      </c>
      <c r="S10" s="35" t="n">
        <f>53025.91</f>
        <v>53025.91</v>
      </c>
      <c r="T10" s="32" t="n">
        <f>2821</f>
        <v>2821.0</v>
      </c>
      <c r="U10" s="32" t="str">
        <f>"－"</f>
        <v>－</v>
      </c>
      <c r="V10" s="32" t="n">
        <f>149394790</f>
        <v>1.4939479E8</v>
      </c>
      <c r="W10" s="32" t="str">
        <f>"－"</f>
        <v>－</v>
      </c>
      <c r="X10" s="36" t="n">
        <f>22</f>
        <v>22.0</v>
      </c>
    </row>
    <row r="11">
      <c r="A11" s="27" t="s">
        <v>42</v>
      </c>
      <c r="B11" s="27" t="s">
        <v>64</v>
      </c>
      <c r="C11" s="27" t="s">
        <v>65</v>
      </c>
      <c r="D11" s="27" t="s">
        <v>66</v>
      </c>
      <c r="E11" s="28" t="s">
        <v>46</v>
      </c>
      <c r="F11" s="29" t="s">
        <v>46</v>
      </c>
      <c r="G11" s="30" t="s">
        <v>46</v>
      </c>
      <c r="H11" s="31"/>
      <c r="I11" s="31" t="s">
        <v>47</v>
      </c>
      <c r="J11" s="32" t="n">
        <v>1.0</v>
      </c>
      <c r="K11" s="33" t="n">
        <f>1798</f>
        <v>1798.0</v>
      </c>
      <c r="L11" s="34" t="s">
        <v>48</v>
      </c>
      <c r="M11" s="33" t="n">
        <f>1818</f>
        <v>1818.0</v>
      </c>
      <c r="N11" s="34" t="s">
        <v>59</v>
      </c>
      <c r="O11" s="33" t="n">
        <f>1741</f>
        <v>1741.0</v>
      </c>
      <c r="P11" s="34" t="s">
        <v>67</v>
      </c>
      <c r="Q11" s="33" t="n">
        <f>1784</f>
        <v>1784.0</v>
      </c>
      <c r="R11" s="34" t="s">
        <v>51</v>
      </c>
      <c r="S11" s="35" t="n">
        <f>1776.45</f>
        <v>1776.45</v>
      </c>
      <c r="T11" s="32" t="n">
        <f>963171</f>
        <v>963171.0</v>
      </c>
      <c r="U11" s="32" t="n">
        <f>643950</f>
        <v>643950.0</v>
      </c>
      <c r="V11" s="32" t="n">
        <f>1715283233</f>
        <v>1.715283233E9</v>
      </c>
      <c r="W11" s="32" t="n">
        <f>1149931010</f>
        <v>1.14993101E9</v>
      </c>
      <c r="X11" s="36" t="n">
        <f>22</f>
        <v>22.0</v>
      </c>
    </row>
    <row r="12">
      <c r="A12" s="27" t="s">
        <v>42</v>
      </c>
      <c r="B12" s="27" t="s">
        <v>68</v>
      </c>
      <c r="C12" s="27" t="s">
        <v>69</v>
      </c>
      <c r="D12" s="27" t="s">
        <v>70</v>
      </c>
      <c r="E12" s="28" t="s">
        <v>46</v>
      </c>
      <c r="F12" s="29" t="s">
        <v>46</v>
      </c>
      <c r="G12" s="30" t="s">
        <v>46</v>
      </c>
      <c r="H12" s="31"/>
      <c r="I12" s="31" t="s">
        <v>47</v>
      </c>
      <c r="J12" s="32" t="n">
        <v>1000.0</v>
      </c>
      <c r="K12" s="33" t="n">
        <f>641.4</f>
        <v>641.4</v>
      </c>
      <c r="L12" s="34" t="s">
        <v>48</v>
      </c>
      <c r="M12" s="33" t="n">
        <f>650</f>
        <v>650.0</v>
      </c>
      <c r="N12" s="34" t="s">
        <v>51</v>
      </c>
      <c r="O12" s="33" t="n">
        <f>615.8</f>
        <v>615.8</v>
      </c>
      <c r="P12" s="34" t="s">
        <v>71</v>
      </c>
      <c r="Q12" s="33" t="n">
        <f>650</f>
        <v>650.0</v>
      </c>
      <c r="R12" s="34" t="s">
        <v>51</v>
      </c>
      <c r="S12" s="35" t="n">
        <f>628.07</f>
        <v>628.07</v>
      </c>
      <c r="T12" s="32" t="n">
        <f>67000</f>
        <v>67000.0</v>
      </c>
      <c r="U12" s="32" t="str">
        <f>"－"</f>
        <v>－</v>
      </c>
      <c r="V12" s="32" t="n">
        <f>42446800</f>
        <v>4.24468E7</v>
      </c>
      <c r="W12" s="32" t="str">
        <f>"－"</f>
        <v>－</v>
      </c>
      <c r="X12" s="36" t="n">
        <f>15</f>
        <v>15.0</v>
      </c>
    </row>
    <row r="13">
      <c r="A13" s="27" t="s">
        <v>42</v>
      </c>
      <c r="B13" s="27" t="s">
        <v>72</v>
      </c>
      <c r="C13" s="27" t="s">
        <v>73</v>
      </c>
      <c r="D13" s="27" t="s">
        <v>74</v>
      </c>
      <c r="E13" s="28" t="s">
        <v>46</v>
      </c>
      <c r="F13" s="29" t="s">
        <v>46</v>
      </c>
      <c r="G13" s="30" t="s">
        <v>46</v>
      </c>
      <c r="H13" s="31"/>
      <c r="I13" s="31" t="s">
        <v>47</v>
      </c>
      <c r="J13" s="32" t="n">
        <v>1.0</v>
      </c>
      <c r="K13" s="33" t="n">
        <f>51960</f>
        <v>51960.0</v>
      </c>
      <c r="L13" s="34" t="s">
        <v>48</v>
      </c>
      <c r="M13" s="33" t="n">
        <f>52870</f>
        <v>52870.0</v>
      </c>
      <c r="N13" s="34" t="s">
        <v>75</v>
      </c>
      <c r="O13" s="33" t="n">
        <f>50300</f>
        <v>50300.0</v>
      </c>
      <c r="P13" s="34" t="s">
        <v>67</v>
      </c>
      <c r="Q13" s="33" t="n">
        <f>52060</f>
        <v>52060.0</v>
      </c>
      <c r="R13" s="34" t="s">
        <v>51</v>
      </c>
      <c r="S13" s="35" t="n">
        <f>51878.18</f>
        <v>51878.18</v>
      </c>
      <c r="T13" s="32" t="n">
        <f>685437</f>
        <v>685437.0</v>
      </c>
      <c r="U13" s="32" t="n">
        <f>161304</f>
        <v>161304.0</v>
      </c>
      <c r="V13" s="32" t="n">
        <f>35536524902</f>
        <v>3.5536524902E10</v>
      </c>
      <c r="W13" s="32" t="n">
        <f>8346114452</f>
        <v>8.346114452E9</v>
      </c>
      <c r="X13" s="36" t="n">
        <f>22</f>
        <v>22.0</v>
      </c>
    </row>
    <row r="14">
      <c r="A14" s="27" t="s">
        <v>42</v>
      </c>
      <c r="B14" s="27" t="s">
        <v>76</v>
      </c>
      <c r="C14" s="27" t="s">
        <v>77</v>
      </c>
      <c r="D14" s="27" t="s">
        <v>78</v>
      </c>
      <c r="E14" s="28" t="s">
        <v>46</v>
      </c>
      <c r="F14" s="29" t="s">
        <v>46</v>
      </c>
      <c r="G14" s="30" t="s">
        <v>46</v>
      </c>
      <c r="H14" s="31"/>
      <c r="I14" s="31" t="s">
        <v>47</v>
      </c>
      <c r="J14" s="32" t="n">
        <v>1.0</v>
      </c>
      <c r="K14" s="33" t="n">
        <f>52200</f>
        <v>52200.0</v>
      </c>
      <c r="L14" s="34" t="s">
        <v>48</v>
      </c>
      <c r="M14" s="33" t="n">
        <f>53050</f>
        <v>53050.0</v>
      </c>
      <c r="N14" s="34" t="s">
        <v>75</v>
      </c>
      <c r="O14" s="33" t="n">
        <f>50470</f>
        <v>50470.0</v>
      </c>
      <c r="P14" s="34" t="s">
        <v>67</v>
      </c>
      <c r="Q14" s="33" t="n">
        <f>52320</f>
        <v>52320.0</v>
      </c>
      <c r="R14" s="34" t="s">
        <v>51</v>
      </c>
      <c r="S14" s="35" t="n">
        <f>52057.27</f>
        <v>52057.27</v>
      </c>
      <c r="T14" s="32" t="n">
        <f>5624024</f>
        <v>5624024.0</v>
      </c>
      <c r="U14" s="32" t="n">
        <f>840379</f>
        <v>840379.0</v>
      </c>
      <c r="V14" s="32" t="n">
        <f>292179719977</f>
        <v>2.92179719977E11</v>
      </c>
      <c r="W14" s="32" t="n">
        <f>43510959277</f>
        <v>4.3510959277E10</v>
      </c>
      <c r="X14" s="36" t="n">
        <f>22</f>
        <v>22.0</v>
      </c>
    </row>
    <row r="15">
      <c r="A15" s="27" t="s">
        <v>42</v>
      </c>
      <c r="B15" s="27" t="s">
        <v>79</v>
      </c>
      <c r="C15" s="27" t="s">
        <v>80</v>
      </c>
      <c r="D15" s="27" t="s">
        <v>81</v>
      </c>
      <c r="E15" s="28" t="s">
        <v>46</v>
      </c>
      <c r="F15" s="29" t="s">
        <v>46</v>
      </c>
      <c r="G15" s="30" t="s">
        <v>46</v>
      </c>
      <c r="H15" s="31"/>
      <c r="I15" s="31" t="s">
        <v>47</v>
      </c>
      <c r="J15" s="32" t="n">
        <v>1.0</v>
      </c>
      <c r="K15" s="33" t="n">
        <f>10615</f>
        <v>10615.0</v>
      </c>
      <c r="L15" s="34" t="s">
        <v>48</v>
      </c>
      <c r="M15" s="33" t="n">
        <f>11100</f>
        <v>11100.0</v>
      </c>
      <c r="N15" s="34" t="s">
        <v>82</v>
      </c>
      <c r="O15" s="33" t="n">
        <f>10460</f>
        <v>10460.0</v>
      </c>
      <c r="P15" s="34" t="s">
        <v>63</v>
      </c>
      <c r="Q15" s="33" t="n">
        <f>11040</f>
        <v>11040.0</v>
      </c>
      <c r="R15" s="34" t="s">
        <v>51</v>
      </c>
      <c r="S15" s="35" t="n">
        <f>10785.23</f>
        <v>10785.23</v>
      </c>
      <c r="T15" s="32" t="n">
        <f>35424</f>
        <v>35424.0</v>
      </c>
      <c r="U15" s="32" t="n">
        <f>24440</f>
        <v>24440.0</v>
      </c>
      <c r="V15" s="32" t="n">
        <f>383096803</f>
        <v>3.83096803E8</v>
      </c>
      <c r="W15" s="32" t="n">
        <f>264801628</f>
        <v>2.64801628E8</v>
      </c>
      <c r="X15" s="36" t="n">
        <f>22</f>
        <v>22.0</v>
      </c>
    </row>
    <row r="16">
      <c r="A16" s="27" t="s">
        <v>42</v>
      </c>
      <c r="B16" s="27" t="s">
        <v>83</v>
      </c>
      <c r="C16" s="27" t="s">
        <v>84</v>
      </c>
      <c r="D16" s="27" t="s">
        <v>85</v>
      </c>
      <c r="E16" s="28" t="s">
        <v>46</v>
      </c>
      <c r="F16" s="29" t="s">
        <v>46</v>
      </c>
      <c r="G16" s="30" t="s">
        <v>46</v>
      </c>
      <c r="H16" s="31"/>
      <c r="I16" s="31" t="s">
        <v>47</v>
      </c>
      <c r="J16" s="32" t="n">
        <v>10.0</v>
      </c>
      <c r="K16" s="33" t="n">
        <f>252.6</f>
        <v>252.6</v>
      </c>
      <c r="L16" s="34" t="s">
        <v>48</v>
      </c>
      <c r="M16" s="33" t="n">
        <f>266</f>
        <v>266.0</v>
      </c>
      <c r="N16" s="34" t="s">
        <v>86</v>
      </c>
      <c r="O16" s="33" t="n">
        <f>246.8</f>
        <v>246.8</v>
      </c>
      <c r="P16" s="34" t="s">
        <v>67</v>
      </c>
      <c r="Q16" s="33" t="n">
        <f>249.9</f>
        <v>249.9</v>
      </c>
      <c r="R16" s="34" t="s">
        <v>51</v>
      </c>
      <c r="S16" s="35" t="n">
        <f>253.42</f>
        <v>253.42</v>
      </c>
      <c r="T16" s="32" t="n">
        <f>927360</f>
        <v>927360.0</v>
      </c>
      <c r="U16" s="32" t="n">
        <f>11860</f>
        <v>11860.0</v>
      </c>
      <c r="V16" s="32" t="n">
        <f>235197405</f>
        <v>2.35197405E8</v>
      </c>
      <c r="W16" s="32" t="n">
        <f>2985277</f>
        <v>2985277.0</v>
      </c>
      <c r="X16" s="36" t="n">
        <f>22</f>
        <v>22.0</v>
      </c>
    </row>
    <row r="17">
      <c r="A17" s="27" t="s">
        <v>42</v>
      </c>
      <c r="B17" s="27" t="s">
        <v>87</v>
      </c>
      <c r="C17" s="27" t="s">
        <v>88</v>
      </c>
      <c r="D17" s="27" t="s">
        <v>89</v>
      </c>
      <c r="E17" s="28" t="s">
        <v>46</v>
      </c>
      <c r="F17" s="29" t="s">
        <v>46</v>
      </c>
      <c r="G17" s="30" t="s">
        <v>46</v>
      </c>
      <c r="H17" s="31"/>
      <c r="I17" s="31" t="s">
        <v>47</v>
      </c>
      <c r="J17" s="32" t="n">
        <v>1.0</v>
      </c>
      <c r="K17" s="33" t="n">
        <f>60580</f>
        <v>60580.0</v>
      </c>
      <c r="L17" s="34" t="s">
        <v>48</v>
      </c>
      <c r="M17" s="33" t="n">
        <f>65190</f>
        <v>65190.0</v>
      </c>
      <c r="N17" s="34" t="s">
        <v>82</v>
      </c>
      <c r="O17" s="33" t="n">
        <f>59630</f>
        <v>59630.0</v>
      </c>
      <c r="P17" s="34" t="s">
        <v>90</v>
      </c>
      <c r="Q17" s="33" t="n">
        <f>62690</f>
        <v>62690.0</v>
      </c>
      <c r="R17" s="34" t="s">
        <v>51</v>
      </c>
      <c r="S17" s="35" t="n">
        <f>61908.18</f>
        <v>61908.18</v>
      </c>
      <c r="T17" s="32" t="n">
        <f>488501</f>
        <v>488501.0</v>
      </c>
      <c r="U17" s="32" t="n">
        <f>1505</f>
        <v>1505.0</v>
      </c>
      <c r="V17" s="32" t="n">
        <f>30500524905</f>
        <v>3.0500524905E10</v>
      </c>
      <c r="W17" s="32" t="n">
        <f>94511285</f>
        <v>9.4511285E7</v>
      </c>
      <c r="X17" s="36" t="n">
        <f>22</f>
        <v>22.0</v>
      </c>
    </row>
    <row r="18">
      <c r="A18" s="27" t="s">
        <v>42</v>
      </c>
      <c r="B18" s="27" t="s">
        <v>91</v>
      </c>
      <c r="C18" s="27" t="s">
        <v>92</v>
      </c>
      <c r="D18" s="27" t="s">
        <v>93</v>
      </c>
      <c r="E18" s="28" t="s">
        <v>46</v>
      </c>
      <c r="F18" s="29" t="s">
        <v>46</v>
      </c>
      <c r="G18" s="30" t="s">
        <v>46</v>
      </c>
      <c r="H18" s="31"/>
      <c r="I18" s="31" t="s">
        <v>47</v>
      </c>
      <c r="J18" s="32" t="n">
        <v>1.0</v>
      </c>
      <c r="K18" s="33" t="n">
        <f>15720</f>
        <v>15720.0</v>
      </c>
      <c r="L18" s="34" t="s">
        <v>48</v>
      </c>
      <c r="M18" s="33" t="n">
        <f>16910</f>
        <v>16910.0</v>
      </c>
      <c r="N18" s="34" t="s">
        <v>49</v>
      </c>
      <c r="O18" s="33" t="n">
        <f>15465</f>
        <v>15465.0</v>
      </c>
      <c r="P18" s="34" t="s">
        <v>90</v>
      </c>
      <c r="Q18" s="33" t="n">
        <f>16270</f>
        <v>16270.0</v>
      </c>
      <c r="R18" s="34" t="s">
        <v>51</v>
      </c>
      <c r="S18" s="35" t="n">
        <f>16050.68</f>
        <v>16050.68</v>
      </c>
      <c r="T18" s="32" t="n">
        <f>1655757</f>
        <v>1655757.0</v>
      </c>
      <c r="U18" s="32" t="n">
        <f>62043</f>
        <v>62043.0</v>
      </c>
      <c r="V18" s="32" t="n">
        <f>26837946703</f>
        <v>2.6837946703E10</v>
      </c>
      <c r="W18" s="32" t="n">
        <f>994665833</f>
        <v>9.94665833E8</v>
      </c>
      <c r="X18" s="36" t="n">
        <f>22</f>
        <v>22.0</v>
      </c>
    </row>
    <row r="19">
      <c r="A19" s="27" t="s">
        <v>42</v>
      </c>
      <c r="B19" s="27" t="s">
        <v>94</v>
      </c>
      <c r="C19" s="27" t="s">
        <v>95</v>
      </c>
      <c r="D19" s="27" t="s">
        <v>96</v>
      </c>
      <c r="E19" s="28" t="s">
        <v>46</v>
      </c>
      <c r="F19" s="29" t="s">
        <v>46</v>
      </c>
      <c r="G19" s="30" t="s">
        <v>46</v>
      </c>
      <c r="H19" s="31"/>
      <c r="I19" s="31" t="s">
        <v>47</v>
      </c>
      <c r="J19" s="32" t="n">
        <v>1.0</v>
      </c>
      <c r="K19" s="33" t="n">
        <f>5233</f>
        <v>5233.0</v>
      </c>
      <c r="L19" s="34" t="s">
        <v>48</v>
      </c>
      <c r="M19" s="33" t="n">
        <f>5318</f>
        <v>5318.0</v>
      </c>
      <c r="N19" s="34" t="s">
        <v>75</v>
      </c>
      <c r="O19" s="33" t="n">
        <f>5059</f>
        <v>5059.0</v>
      </c>
      <c r="P19" s="34" t="s">
        <v>67</v>
      </c>
      <c r="Q19" s="33" t="n">
        <f>5242</f>
        <v>5242.0</v>
      </c>
      <c r="R19" s="34" t="s">
        <v>51</v>
      </c>
      <c r="S19" s="35" t="n">
        <f>5219.18</f>
        <v>5219.18</v>
      </c>
      <c r="T19" s="32" t="n">
        <f>19187635</f>
        <v>1.9187635E7</v>
      </c>
      <c r="U19" s="32" t="n">
        <f>9362443</f>
        <v>9362443.0</v>
      </c>
      <c r="V19" s="32" t="n">
        <f>99589473339</f>
        <v>9.9589473339E10</v>
      </c>
      <c r="W19" s="32" t="n">
        <f>48331943945</f>
        <v>4.8331943945E10</v>
      </c>
      <c r="X19" s="36" t="n">
        <f>22</f>
        <v>22.0</v>
      </c>
    </row>
    <row r="20">
      <c r="A20" s="27" t="s">
        <v>42</v>
      </c>
      <c r="B20" s="27" t="s">
        <v>97</v>
      </c>
      <c r="C20" s="27" t="s">
        <v>98</v>
      </c>
      <c r="D20" s="27" t="s">
        <v>99</v>
      </c>
      <c r="E20" s="28" t="s">
        <v>46</v>
      </c>
      <c r="F20" s="29" t="s">
        <v>46</v>
      </c>
      <c r="G20" s="30" t="s">
        <v>46</v>
      </c>
      <c r="H20" s="31"/>
      <c r="I20" s="31" t="s">
        <v>47</v>
      </c>
      <c r="J20" s="32" t="n">
        <v>1.0</v>
      </c>
      <c r="K20" s="33" t="n">
        <f>52280</f>
        <v>52280.0</v>
      </c>
      <c r="L20" s="34" t="s">
        <v>48</v>
      </c>
      <c r="M20" s="33" t="n">
        <f>53120</f>
        <v>53120.0</v>
      </c>
      <c r="N20" s="34" t="s">
        <v>75</v>
      </c>
      <c r="O20" s="33" t="n">
        <f>50520</f>
        <v>50520.0</v>
      </c>
      <c r="P20" s="34" t="s">
        <v>67</v>
      </c>
      <c r="Q20" s="33" t="n">
        <f>52360</f>
        <v>52360.0</v>
      </c>
      <c r="R20" s="34" t="s">
        <v>51</v>
      </c>
      <c r="S20" s="35" t="n">
        <f>52135</f>
        <v>52135.0</v>
      </c>
      <c r="T20" s="32" t="n">
        <f>1225613</f>
        <v>1225613.0</v>
      </c>
      <c r="U20" s="32" t="n">
        <f>715658</f>
        <v>715658.0</v>
      </c>
      <c r="V20" s="32" t="n">
        <f>64064429837</f>
        <v>6.4064429837E10</v>
      </c>
      <c r="W20" s="32" t="n">
        <f>37554391707</f>
        <v>3.7554391707E10</v>
      </c>
      <c r="X20" s="36" t="n">
        <f>22</f>
        <v>22.0</v>
      </c>
    </row>
    <row r="21">
      <c r="A21" s="27" t="s">
        <v>42</v>
      </c>
      <c r="B21" s="27" t="s">
        <v>100</v>
      </c>
      <c r="C21" s="27" t="s">
        <v>101</v>
      </c>
      <c r="D21" s="27" t="s">
        <v>102</v>
      </c>
      <c r="E21" s="28" t="s">
        <v>46</v>
      </c>
      <c r="F21" s="29" t="s">
        <v>46</v>
      </c>
      <c r="G21" s="30" t="s">
        <v>46</v>
      </c>
      <c r="H21" s="31"/>
      <c r="I21" s="31" t="s">
        <v>47</v>
      </c>
      <c r="J21" s="32" t="n">
        <v>1.0</v>
      </c>
      <c r="K21" s="33" t="n">
        <f>1055</f>
        <v>1055.0</v>
      </c>
      <c r="L21" s="34" t="s">
        <v>48</v>
      </c>
      <c r="M21" s="33" t="n">
        <f>1063</f>
        <v>1063.0</v>
      </c>
      <c r="N21" s="34" t="s">
        <v>59</v>
      </c>
      <c r="O21" s="33" t="n">
        <f>1040</f>
        <v>1040.0</v>
      </c>
      <c r="P21" s="34" t="s">
        <v>86</v>
      </c>
      <c r="Q21" s="33" t="n">
        <f>1054</f>
        <v>1054.0</v>
      </c>
      <c r="R21" s="34" t="s">
        <v>51</v>
      </c>
      <c r="S21" s="35" t="n">
        <f>1049.82</f>
        <v>1049.82</v>
      </c>
      <c r="T21" s="32" t="n">
        <f>6931613</f>
        <v>6931613.0</v>
      </c>
      <c r="U21" s="32" t="n">
        <f>5913800</f>
        <v>5913800.0</v>
      </c>
      <c r="V21" s="32" t="n">
        <f>7286984399</f>
        <v>7.286984399E9</v>
      </c>
      <c r="W21" s="32" t="n">
        <f>6215998432</f>
        <v>6.215998432E9</v>
      </c>
      <c r="X21" s="36" t="n">
        <f>22</f>
        <v>22.0</v>
      </c>
    </row>
    <row r="22">
      <c r="A22" s="27" t="s">
        <v>42</v>
      </c>
      <c r="B22" s="27" t="s">
        <v>103</v>
      </c>
      <c r="C22" s="27" t="s">
        <v>104</v>
      </c>
      <c r="D22" s="27" t="s">
        <v>105</v>
      </c>
      <c r="E22" s="28" t="s">
        <v>46</v>
      </c>
      <c r="F22" s="29" t="s">
        <v>46</v>
      </c>
      <c r="G22" s="30" t="s">
        <v>46</v>
      </c>
      <c r="H22" s="31"/>
      <c r="I22" s="31" t="s">
        <v>47</v>
      </c>
      <c r="J22" s="32" t="n">
        <v>10.0</v>
      </c>
      <c r="K22" s="33" t="n">
        <f>2189.5</f>
        <v>2189.5</v>
      </c>
      <c r="L22" s="34" t="s">
        <v>48</v>
      </c>
      <c r="M22" s="33" t="n">
        <f>2200</f>
        <v>2200.0</v>
      </c>
      <c r="N22" s="34" t="s">
        <v>51</v>
      </c>
      <c r="O22" s="33" t="n">
        <f>2095</f>
        <v>2095.0</v>
      </c>
      <c r="P22" s="34" t="s">
        <v>106</v>
      </c>
      <c r="Q22" s="33" t="n">
        <f>2180.5</f>
        <v>2180.5</v>
      </c>
      <c r="R22" s="34" t="s">
        <v>51</v>
      </c>
      <c r="S22" s="35" t="n">
        <f>2149.95</f>
        <v>2149.95</v>
      </c>
      <c r="T22" s="32" t="n">
        <f>20702240</f>
        <v>2.070224E7</v>
      </c>
      <c r="U22" s="32" t="n">
        <f>5020570</f>
        <v>5020570.0</v>
      </c>
      <c r="V22" s="32" t="n">
        <f>44453215528</f>
        <v>4.4453215528E10</v>
      </c>
      <c r="W22" s="32" t="n">
        <f>10799959648</f>
        <v>1.0799959648E10</v>
      </c>
      <c r="X22" s="36" t="n">
        <f>22</f>
        <v>22.0</v>
      </c>
    </row>
    <row r="23">
      <c r="A23" s="27" t="s">
        <v>42</v>
      </c>
      <c r="B23" s="27" t="s">
        <v>107</v>
      </c>
      <c r="C23" s="27" t="s">
        <v>108</v>
      </c>
      <c r="D23" s="27" t="s">
        <v>109</v>
      </c>
      <c r="E23" s="28" t="s">
        <v>46</v>
      </c>
      <c r="F23" s="29" t="s">
        <v>46</v>
      </c>
      <c r="G23" s="30" t="s">
        <v>46</v>
      </c>
      <c r="H23" s="31"/>
      <c r="I23" s="31" t="s">
        <v>47</v>
      </c>
      <c r="J23" s="32" t="n">
        <v>100.0</v>
      </c>
      <c r="K23" s="33" t="n">
        <f>2059.5</f>
        <v>2059.5</v>
      </c>
      <c r="L23" s="34" t="s">
        <v>48</v>
      </c>
      <c r="M23" s="33" t="n">
        <f>2073</f>
        <v>2073.0</v>
      </c>
      <c r="N23" s="34" t="s">
        <v>51</v>
      </c>
      <c r="O23" s="33" t="n">
        <f>1974</f>
        <v>1974.0</v>
      </c>
      <c r="P23" s="34" t="s">
        <v>106</v>
      </c>
      <c r="Q23" s="33" t="n">
        <f>2056</f>
        <v>2056.0</v>
      </c>
      <c r="R23" s="34" t="s">
        <v>51</v>
      </c>
      <c r="S23" s="35" t="n">
        <f>2024.93</f>
        <v>2024.93</v>
      </c>
      <c r="T23" s="32" t="n">
        <f>3340000</f>
        <v>3340000.0</v>
      </c>
      <c r="U23" s="32" t="n">
        <f>1788100</f>
        <v>1788100.0</v>
      </c>
      <c r="V23" s="32" t="n">
        <f>6778167240</f>
        <v>6.77816724E9</v>
      </c>
      <c r="W23" s="32" t="n">
        <f>3637302290</f>
        <v>3.63730229E9</v>
      </c>
      <c r="X23" s="36" t="n">
        <f>22</f>
        <v>22.0</v>
      </c>
    </row>
    <row r="24">
      <c r="A24" s="27" t="s">
        <v>42</v>
      </c>
      <c r="B24" s="27" t="s">
        <v>110</v>
      </c>
      <c r="C24" s="27" t="s">
        <v>111</v>
      </c>
      <c r="D24" s="27" t="s">
        <v>112</v>
      </c>
      <c r="E24" s="28" t="s">
        <v>46</v>
      </c>
      <c r="F24" s="29" t="s">
        <v>46</v>
      </c>
      <c r="G24" s="30" t="s">
        <v>46</v>
      </c>
      <c r="H24" s="31"/>
      <c r="I24" s="31" t="s">
        <v>47</v>
      </c>
      <c r="J24" s="32" t="n">
        <v>1.0</v>
      </c>
      <c r="K24" s="33" t="n">
        <f>52200</f>
        <v>52200.0</v>
      </c>
      <c r="L24" s="34" t="s">
        <v>48</v>
      </c>
      <c r="M24" s="33" t="n">
        <f>53100</f>
        <v>53100.0</v>
      </c>
      <c r="N24" s="34" t="s">
        <v>75</v>
      </c>
      <c r="O24" s="33" t="n">
        <f>50520</f>
        <v>50520.0</v>
      </c>
      <c r="P24" s="34" t="s">
        <v>67</v>
      </c>
      <c r="Q24" s="33" t="n">
        <f>52360</f>
        <v>52360.0</v>
      </c>
      <c r="R24" s="34" t="s">
        <v>51</v>
      </c>
      <c r="S24" s="35" t="n">
        <f>52139.55</f>
        <v>52139.55</v>
      </c>
      <c r="T24" s="32" t="n">
        <f>1945957</f>
        <v>1945957.0</v>
      </c>
      <c r="U24" s="32" t="n">
        <f>1623351</f>
        <v>1623351.0</v>
      </c>
      <c r="V24" s="32" t="n">
        <f>100034013726</f>
        <v>1.00034013726E11</v>
      </c>
      <c r="W24" s="32" t="n">
        <f>83203222406</f>
        <v>8.3203222406E10</v>
      </c>
      <c r="X24" s="36" t="n">
        <f>22</f>
        <v>22.0</v>
      </c>
    </row>
    <row r="25">
      <c r="A25" s="27" t="s">
        <v>42</v>
      </c>
      <c r="B25" s="27" t="s">
        <v>113</v>
      </c>
      <c r="C25" s="27" t="s">
        <v>114</v>
      </c>
      <c r="D25" s="27" t="s">
        <v>115</v>
      </c>
      <c r="E25" s="28" t="s">
        <v>46</v>
      </c>
      <c r="F25" s="29" t="s">
        <v>46</v>
      </c>
      <c r="G25" s="30" t="s">
        <v>46</v>
      </c>
      <c r="H25" s="31"/>
      <c r="I25" s="31" t="s">
        <v>47</v>
      </c>
      <c r="J25" s="32" t="n">
        <v>1.0</v>
      </c>
      <c r="K25" s="33" t="n">
        <f>3525</f>
        <v>3525.0</v>
      </c>
      <c r="L25" s="34" t="s">
        <v>48</v>
      </c>
      <c r="M25" s="33" t="n">
        <f>3592</f>
        <v>3592.0</v>
      </c>
      <c r="N25" s="34" t="s">
        <v>49</v>
      </c>
      <c r="O25" s="33" t="n">
        <f>3476</f>
        <v>3476.0</v>
      </c>
      <c r="P25" s="34" t="s">
        <v>50</v>
      </c>
      <c r="Q25" s="33" t="n">
        <f>3565</f>
        <v>3565.0</v>
      </c>
      <c r="R25" s="34" t="s">
        <v>51</v>
      </c>
      <c r="S25" s="35" t="n">
        <f>3540.64</f>
        <v>3540.64</v>
      </c>
      <c r="T25" s="32" t="n">
        <f>3522481</f>
        <v>3522481.0</v>
      </c>
      <c r="U25" s="32" t="n">
        <f>1468828</f>
        <v>1468828.0</v>
      </c>
      <c r="V25" s="32" t="n">
        <f>12472855641</f>
        <v>1.2472855641E10</v>
      </c>
      <c r="W25" s="32" t="n">
        <f>5211363418</f>
        <v>5.211363418E9</v>
      </c>
      <c r="X25" s="36" t="n">
        <f>22</f>
        <v>22.0</v>
      </c>
    </row>
    <row r="26">
      <c r="A26" s="27" t="s">
        <v>42</v>
      </c>
      <c r="B26" s="27" t="s">
        <v>116</v>
      </c>
      <c r="C26" s="27" t="s">
        <v>117</v>
      </c>
      <c r="D26" s="27" t="s">
        <v>118</v>
      </c>
      <c r="E26" s="28" t="s">
        <v>46</v>
      </c>
      <c r="F26" s="29" t="s">
        <v>46</v>
      </c>
      <c r="G26" s="30" t="s">
        <v>46</v>
      </c>
      <c r="H26" s="31"/>
      <c r="I26" s="31" t="s">
        <v>47</v>
      </c>
      <c r="J26" s="32" t="n">
        <v>1.0</v>
      </c>
      <c r="K26" s="33" t="n">
        <f>17585</f>
        <v>17585.0</v>
      </c>
      <c r="L26" s="34" t="s">
        <v>48</v>
      </c>
      <c r="M26" s="33" t="n">
        <f>18275</f>
        <v>18275.0</v>
      </c>
      <c r="N26" s="34" t="s">
        <v>63</v>
      </c>
      <c r="O26" s="33" t="n">
        <f>17410</f>
        <v>17410.0</v>
      </c>
      <c r="P26" s="34" t="s">
        <v>49</v>
      </c>
      <c r="Q26" s="33" t="n">
        <f>17795</f>
        <v>17795.0</v>
      </c>
      <c r="R26" s="34" t="s">
        <v>51</v>
      </c>
      <c r="S26" s="35" t="n">
        <f>17717</f>
        <v>17717.0</v>
      </c>
      <c r="T26" s="32" t="n">
        <f>1023</f>
        <v>1023.0</v>
      </c>
      <c r="U26" s="32" t="str">
        <f>"－"</f>
        <v>－</v>
      </c>
      <c r="V26" s="32" t="n">
        <f>18159125</f>
        <v>1.8159125E7</v>
      </c>
      <c r="W26" s="32" t="str">
        <f>"－"</f>
        <v>－</v>
      </c>
      <c r="X26" s="36" t="n">
        <f>20</f>
        <v>20.0</v>
      </c>
    </row>
    <row r="27">
      <c r="A27" s="27" t="s">
        <v>42</v>
      </c>
      <c r="B27" s="27" t="s">
        <v>119</v>
      </c>
      <c r="C27" s="27" t="s">
        <v>120</v>
      </c>
      <c r="D27" s="27" t="s">
        <v>121</v>
      </c>
      <c r="E27" s="28" t="s">
        <v>46</v>
      </c>
      <c r="F27" s="29" t="s">
        <v>46</v>
      </c>
      <c r="G27" s="30" t="s">
        <v>46</v>
      </c>
      <c r="H27" s="31"/>
      <c r="I27" s="31" t="s">
        <v>47</v>
      </c>
      <c r="J27" s="32" t="n">
        <v>10.0</v>
      </c>
      <c r="K27" s="33" t="n">
        <f>175.1</f>
        <v>175.1</v>
      </c>
      <c r="L27" s="34" t="s">
        <v>48</v>
      </c>
      <c r="M27" s="33" t="n">
        <f>180.5</f>
        <v>180.5</v>
      </c>
      <c r="N27" s="34" t="s">
        <v>50</v>
      </c>
      <c r="O27" s="33" t="n">
        <f>168.5</f>
        <v>168.5</v>
      </c>
      <c r="P27" s="34" t="s">
        <v>49</v>
      </c>
      <c r="Q27" s="33" t="n">
        <f>171.4</f>
        <v>171.4</v>
      </c>
      <c r="R27" s="34" t="s">
        <v>51</v>
      </c>
      <c r="S27" s="35" t="n">
        <f>173.75</f>
        <v>173.75</v>
      </c>
      <c r="T27" s="32" t="n">
        <f>42479950</f>
        <v>4.247995E7</v>
      </c>
      <c r="U27" s="32" t="n">
        <f>259160</f>
        <v>259160.0</v>
      </c>
      <c r="V27" s="32" t="n">
        <f>7353237054</f>
        <v>7.353237054E9</v>
      </c>
      <c r="W27" s="32" t="n">
        <f>45109046</f>
        <v>4.5109046E7</v>
      </c>
      <c r="X27" s="36" t="n">
        <f>22</f>
        <v>22.0</v>
      </c>
    </row>
    <row r="28">
      <c r="A28" s="27" t="s">
        <v>42</v>
      </c>
      <c r="B28" s="27" t="s">
        <v>122</v>
      </c>
      <c r="C28" s="27" t="s">
        <v>123</v>
      </c>
      <c r="D28" s="27" t="s">
        <v>124</v>
      </c>
      <c r="E28" s="28" t="s">
        <v>46</v>
      </c>
      <c r="F28" s="29" t="s">
        <v>46</v>
      </c>
      <c r="G28" s="30" t="s">
        <v>46</v>
      </c>
      <c r="H28" s="31"/>
      <c r="I28" s="31" t="s">
        <v>47</v>
      </c>
      <c r="J28" s="32" t="n">
        <v>1.0</v>
      </c>
      <c r="K28" s="33" t="n">
        <f>5897</f>
        <v>5897.0</v>
      </c>
      <c r="L28" s="34" t="s">
        <v>48</v>
      </c>
      <c r="M28" s="33" t="n">
        <f>6270</f>
        <v>6270.0</v>
      </c>
      <c r="N28" s="34" t="s">
        <v>67</v>
      </c>
      <c r="O28" s="33" t="n">
        <f>5682</f>
        <v>5682.0</v>
      </c>
      <c r="P28" s="34" t="s">
        <v>75</v>
      </c>
      <c r="Q28" s="33" t="n">
        <f>5842</f>
        <v>5842.0</v>
      </c>
      <c r="R28" s="34" t="s">
        <v>51</v>
      </c>
      <c r="S28" s="35" t="n">
        <f>5904.55</f>
        <v>5904.55</v>
      </c>
      <c r="T28" s="32" t="n">
        <f>75909143</f>
        <v>7.5909143E7</v>
      </c>
      <c r="U28" s="32" t="n">
        <f>1713251</f>
        <v>1713251.0</v>
      </c>
      <c r="V28" s="32" t="n">
        <f>447422281043</f>
        <v>4.47422281043E11</v>
      </c>
      <c r="W28" s="32" t="n">
        <f>10137531022</f>
        <v>1.0137531022E10</v>
      </c>
      <c r="X28" s="36" t="n">
        <f>22</f>
        <v>22.0</v>
      </c>
    </row>
    <row r="29">
      <c r="A29" s="27" t="s">
        <v>42</v>
      </c>
      <c r="B29" s="27" t="s">
        <v>125</v>
      </c>
      <c r="C29" s="27" t="s">
        <v>126</v>
      </c>
      <c r="D29" s="27" t="s">
        <v>127</v>
      </c>
      <c r="E29" s="28" t="s">
        <v>46</v>
      </c>
      <c r="F29" s="29" t="s">
        <v>46</v>
      </c>
      <c r="G29" s="30" t="s">
        <v>46</v>
      </c>
      <c r="H29" s="31"/>
      <c r="I29" s="31" t="s">
        <v>47</v>
      </c>
      <c r="J29" s="32" t="n">
        <v>1.0</v>
      </c>
      <c r="K29" s="33" t="n">
        <f>81720</f>
        <v>81720.0</v>
      </c>
      <c r="L29" s="34" t="s">
        <v>48</v>
      </c>
      <c r="M29" s="33" t="n">
        <f>84300</f>
        <v>84300.0</v>
      </c>
      <c r="N29" s="34" t="s">
        <v>128</v>
      </c>
      <c r="O29" s="33" t="n">
        <f>76290</f>
        <v>76290.0</v>
      </c>
      <c r="P29" s="34" t="s">
        <v>67</v>
      </c>
      <c r="Q29" s="33" t="n">
        <f>81610</f>
        <v>81610.0</v>
      </c>
      <c r="R29" s="34" t="s">
        <v>51</v>
      </c>
      <c r="S29" s="35" t="n">
        <f>81149.55</f>
        <v>81149.55</v>
      </c>
      <c r="T29" s="32" t="n">
        <f>190414</f>
        <v>190414.0</v>
      </c>
      <c r="U29" s="32" t="n">
        <f>866</f>
        <v>866.0</v>
      </c>
      <c r="V29" s="32" t="n">
        <f>15468735848</f>
        <v>1.5468735848E10</v>
      </c>
      <c r="W29" s="32" t="n">
        <f>69330258</f>
        <v>6.9330258E7</v>
      </c>
      <c r="X29" s="36" t="n">
        <f>22</f>
        <v>22.0</v>
      </c>
    </row>
    <row r="30">
      <c r="A30" s="27" t="s">
        <v>42</v>
      </c>
      <c r="B30" s="27" t="s">
        <v>129</v>
      </c>
      <c r="C30" s="27" t="s">
        <v>130</v>
      </c>
      <c r="D30" s="27" t="s">
        <v>131</v>
      </c>
      <c r="E30" s="28" t="s">
        <v>46</v>
      </c>
      <c r="F30" s="29" t="s">
        <v>46</v>
      </c>
      <c r="G30" s="30" t="s">
        <v>46</v>
      </c>
      <c r="H30" s="31"/>
      <c r="I30" s="31" t="s">
        <v>47</v>
      </c>
      <c r="J30" s="32" t="n">
        <v>10.0</v>
      </c>
      <c r="K30" s="33" t="n">
        <f>144.7</f>
        <v>144.7</v>
      </c>
      <c r="L30" s="34" t="s">
        <v>48</v>
      </c>
      <c r="M30" s="33" t="n">
        <f>154</f>
        <v>154.0</v>
      </c>
      <c r="N30" s="34" t="s">
        <v>67</v>
      </c>
      <c r="O30" s="33" t="n">
        <f>139.5</f>
        <v>139.5</v>
      </c>
      <c r="P30" s="34" t="s">
        <v>75</v>
      </c>
      <c r="Q30" s="33" t="n">
        <f>143.4</f>
        <v>143.4</v>
      </c>
      <c r="R30" s="34" t="s">
        <v>51</v>
      </c>
      <c r="S30" s="35" t="n">
        <f>145</f>
        <v>145.0</v>
      </c>
      <c r="T30" s="32" t="n">
        <f>1387674390</f>
        <v>1.38767439E9</v>
      </c>
      <c r="U30" s="32" t="n">
        <f>17170480</f>
        <v>1.717048E7</v>
      </c>
      <c r="V30" s="32" t="n">
        <f>201142652179</f>
        <v>2.01142652179E11</v>
      </c>
      <c r="W30" s="32" t="n">
        <f>2478590213</f>
        <v>2.478590213E9</v>
      </c>
      <c r="X30" s="36" t="n">
        <f>22</f>
        <v>22.0</v>
      </c>
    </row>
    <row r="31">
      <c r="A31" s="27" t="s">
        <v>42</v>
      </c>
      <c r="B31" s="27" t="s">
        <v>132</v>
      </c>
      <c r="C31" s="27" t="s">
        <v>133</v>
      </c>
      <c r="D31" s="27" t="s">
        <v>134</v>
      </c>
      <c r="E31" s="28" t="s">
        <v>46</v>
      </c>
      <c r="F31" s="29" t="s">
        <v>46</v>
      </c>
      <c r="G31" s="30" t="s">
        <v>46</v>
      </c>
      <c r="H31" s="31"/>
      <c r="I31" s="31" t="s">
        <v>47</v>
      </c>
      <c r="J31" s="32" t="n">
        <v>1.0</v>
      </c>
      <c r="K31" s="33" t="n">
        <f>3130</f>
        <v>3130.0</v>
      </c>
      <c r="L31" s="34" t="s">
        <v>48</v>
      </c>
      <c r="M31" s="33" t="n">
        <f>3200</f>
        <v>3200.0</v>
      </c>
      <c r="N31" s="34" t="s">
        <v>75</v>
      </c>
      <c r="O31" s="33" t="n">
        <f>3091</f>
        <v>3091.0</v>
      </c>
      <c r="P31" s="34" t="s">
        <v>50</v>
      </c>
      <c r="Q31" s="33" t="n">
        <f>3173</f>
        <v>3173.0</v>
      </c>
      <c r="R31" s="34" t="s">
        <v>51</v>
      </c>
      <c r="S31" s="35" t="n">
        <f>3151.68</f>
        <v>3151.68</v>
      </c>
      <c r="T31" s="32" t="n">
        <f>204145</f>
        <v>204145.0</v>
      </c>
      <c r="U31" s="32" t="n">
        <f>5216</f>
        <v>5216.0</v>
      </c>
      <c r="V31" s="32" t="n">
        <f>643464068</f>
        <v>6.43464068E8</v>
      </c>
      <c r="W31" s="32" t="n">
        <f>16232523</f>
        <v>1.6232523E7</v>
      </c>
      <c r="X31" s="36" t="n">
        <f>22</f>
        <v>22.0</v>
      </c>
    </row>
    <row r="32">
      <c r="A32" s="27" t="s">
        <v>42</v>
      </c>
      <c r="B32" s="27" t="s">
        <v>135</v>
      </c>
      <c r="C32" s="27" t="s">
        <v>136</v>
      </c>
      <c r="D32" s="27" t="s">
        <v>137</v>
      </c>
      <c r="E32" s="28" t="s">
        <v>46</v>
      </c>
      <c r="F32" s="29" t="s">
        <v>46</v>
      </c>
      <c r="G32" s="30" t="s">
        <v>46</v>
      </c>
      <c r="H32" s="31"/>
      <c r="I32" s="31" t="s">
        <v>47</v>
      </c>
      <c r="J32" s="32" t="n">
        <v>1.0</v>
      </c>
      <c r="K32" s="33" t="n">
        <f>66220</f>
        <v>66220.0</v>
      </c>
      <c r="L32" s="34" t="s">
        <v>48</v>
      </c>
      <c r="M32" s="33" t="n">
        <f>68260</f>
        <v>68260.0</v>
      </c>
      <c r="N32" s="34" t="s">
        <v>75</v>
      </c>
      <c r="O32" s="33" t="n">
        <f>61710</f>
        <v>61710.0</v>
      </c>
      <c r="P32" s="34" t="s">
        <v>67</v>
      </c>
      <c r="Q32" s="33" t="n">
        <f>66110</f>
        <v>66110.0</v>
      </c>
      <c r="R32" s="34" t="s">
        <v>51</v>
      </c>
      <c r="S32" s="35" t="n">
        <f>65702.73</f>
        <v>65702.73</v>
      </c>
      <c r="T32" s="32" t="n">
        <f>454489</f>
        <v>454489.0</v>
      </c>
      <c r="U32" s="32" t="n">
        <f>17507</f>
        <v>17507.0</v>
      </c>
      <c r="V32" s="32" t="n">
        <f>29820262854</f>
        <v>2.9820262854E10</v>
      </c>
      <c r="W32" s="32" t="n">
        <f>1152626024</f>
        <v>1.152626024E9</v>
      </c>
      <c r="X32" s="36" t="n">
        <f>22</f>
        <v>22.0</v>
      </c>
    </row>
    <row r="33">
      <c r="A33" s="27" t="s">
        <v>42</v>
      </c>
      <c r="B33" s="27" t="s">
        <v>138</v>
      </c>
      <c r="C33" s="27" t="s">
        <v>139</v>
      </c>
      <c r="D33" s="27" t="s">
        <v>140</v>
      </c>
      <c r="E33" s="28" t="s">
        <v>46</v>
      </c>
      <c r="F33" s="29" t="s">
        <v>46</v>
      </c>
      <c r="G33" s="30" t="s">
        <v>46</v>
      </c>
      <c r="H33" s="31"/>
      <c r="I33" s="31" t="s">
        <v>47</v>
      </c>
      <c r="J33" s="32" t="n">
        <v>1.0</v>
      </c>
      <c r="K33" s="33" t="n">
        <f>149</f>
        <v>149.0</v>
      </c>
      <c r="L33" s="34" t="s">
        <v>48</v>
      </c>
      <c r="M33" s="33" t="n">
        <f>158</f>
        <v>158.0</v>
      </c>
      <c r="N33" s="34" t="s">
        <v>67</v>
      </c>
      <c r="O33" s="33" t="n">
        <f>142</f>
        <v>142.0</v>
      </c>
      <c r="P33" s="34" t="s">
        <v>75</v>
      </c>
      <c r="Q33" s="33" t="n">
        <f>147</f>
        <v>147.0</v>
      </c>
      <c r="R33" s="34" t="s">
        <v>51</v>
      </c>
      <c r="S33" s="35" t="n">
        <f>148.23</f>
        <v>148.23</v>
      </c>
      <c r="T33" s="32" t="n">
        <f>34239360</f>
        <v>3.423936E7</v>
      </c>
      <c r="U33" s="32" t="n">
        <f>721956</f>
        <v>721956.0</v>
      </c>
      <c r="V33" s="32" t="n">
        <f>5077447872</f>
        <v>5.077447872E9</v>
      </c>
      <c r="W33" s="32" t="n">
        <f>106910330</f>
        <v>1.0691033E8</v>
      </c>
      <c r="X33" s="36" t="n">
        <f>22</f>
        <v>22.0</v>
      </c>
    </row>
    <row r="34">
      <c r="A34" s="27" t="s">
        <v>42</v>
      </c>
      <c r="B34" s="27" t="s">
        <v>141</v>
      </c>
      <c r="C34" s="27" t="s">
        <v>142</v>
      </c>
      <c r="D34" s="27" t="s">
        <v>143</v>
      </c>
      <c r="E34" s="28" t="s">
        <v>46</v>
      </c>
      <c r="F34" s="29" t="s">
        <v>46</v>
      </c>
      <c r="G34" s="30" t="s">
        <v>46</v>
      </c>
      <c r="H34" s="31"/>
      <c r="I34" s="31" t="s">
        <v>47</v>
      </c>
      <c r="J34" s="32" t="n">
        <v>1.0</v>
      </c>
      <c r="K34" s="33" t="n">
        <f>54160</f>
        <v>54160.0</v>
      </c>
      <c r="L34" s="34" t="s">
        <v>48</v>
      </c>
      <c r="M34" s="33" t="n">
        <f>55920</f>
        <v>55920.0</v>
      </c>
      <c r="N34" s="34" t="s">
        <v>55</v>
      </c>
      <c r="O34" s="33" t="n">
        <f>52530</f>
        <v>52530.0</v>
      </c>
      <c r="P34" s="34" t="s">
        <v>50</v>
      </c>
      <c r="Q34" s="33" t="n">
        <f>55030</f>
        <v>55030.0</v>
      </c>
      <c r="R34" s="34" t="s">
        <v>51</v>
      </c>
      <c r="S34" s="35" t="n">
        <f>54416.36</f>
        <v>54416.36</v>
      </c>
      <c r="T34" s="32" t="n">
        <f>119712</f>
        <v>119712.0</v>
      </c>
      <c r="U34" s="32" t="n">
        <f>5280</f>
        <v>5280.0</v>
      </c>
      <c r="V34" s="32" t="n">
        <f>6503814011</f>
        <v>6.503814011E9</v>
      </c>
      <c r="W34" s="32" t="n">
        <f>286265731</f>
        <v>2.86265731E8</v>
      </c>
      <c r="X34" s="36" t="n">
        <f>22</f>
        <v>22.0</v>
      </c>
    </row>
    <row r="35">
      <c r="A35" s="27" t="s">
        <v>42</v>
      </c>
      <c r="B35" s="27" t="s">
        <v>144</v>
      </c>
      <c r="C35" s="27" t="s">
        <v>145</v>
      </c>
      <c r="D35" s="27" t="s">
        <v>146</v>
      </c>
      <c r="E35" s="28" t="s">
        <v>46</v>
      </c>
      <c r="F35" s="29" t="s">
        <v>46</v>
      </c>
      <c r="G35" s="30" t="s">
        <v>46</v>
      </c>
      <c r="H35" s="31"/>
      <c r="I35" s="31" t="s">
        <v>47</v>
      </c>
      <c r="J35" s="32" t="n">
        <v>1.0</v>
      </c>
      <c r="K35" s="33" t="n">
        <f>254</f>
        <v>254.0</v>
      </c>
      <c r="L35" s="34" t="s">
        <v>48</v>
      </c>
      <c r="M35" s="33" t="n">
        <f>263</f>
        <v>263.0</v>
      </c>
      <c r="N35" s="34" t="s">
        <v>50</v>
      </c>
      <c r="O35" s="33" t="n">
        <f>244</f>
        <v>244.0</v>
      </c>
      <c r="P35" s="34" t="s">
        <v>55</v>
      </c>
      <c r="Q35" s="33" t="n">
        <f>248</f>
        <v>248.0</v>
      </c>
      <c r="R35" s="34" t="s">
        <v>51</v>
      </c>
      <c r="S35" s="35" t="n">
        <f>251.59</f>
        <v>251.59</v>
      </c>
      <c r="T35" s="32" t="n">
        <f>3067991</f>
        <v>3067991.0</v>
      </c>
      <c r="U35" s="32" t="n">
        <f>5210</f>
        <v>5210.0</v>
      </c>
      <c r="V35" s="32" t="n">
        <f>770272943</f>
        <v>7.70272943E8</v>
      </c>
      <c r="W35" s="32" t="n">
        <f>1287210</f>
        <v>1287210.0</v>
      </c>
      <c r="X35" s="36" t="n">
        <f>22</f>
        <v>22.0</v>
      </c>
    </row>
    <row r="36">
      <c r="A36" s="27" t="s">
        <v>42</v>
      </c>
      <c r="B36" s="27" t="s">
        <v>147</v>
      </c>
      <c r="C36" s="27" t="s">
        <v>148</v>
      </c>
      <c r="D36" s="27" t="s">
        <v>149</v>
      </c>
      <c r="E36" s="28" t="s">
        <v>46</v>
      </c>
      <c r="F36" s="29" t="s">
        <v>46</v>
      </c>
      <c r="G36" s="30" t="s">
        <v>46</v>
      </c>
      <c r="H36" s="31"/>
      <c r="I36" s="31" t="s">
        <v>47</v>
      </c>
      <c r="J36" s="32" t="n">
        <v>1.0</v>
      </c>
      <c r="K36" s="33" t="n">
        <f>50830</f>
        <v>50830.0</v>
      </c>
      <c r="L36" s="34" t="s">
        <v>48</v>
      </c>
      <c r="M36" s="33" t="n">
        <f>51580</f>
        <v>51580.0</v>
      </c>
      <c r="N36" s="34" t="s">
        <v>75</v>
      </c>
      <c r="O36" s="33" t="n">
        <f>49140</f>
        <v>49140.0</v>
      </c>
      <c r="P36" s="34" t="s">
        <v>67</v>
      </c>
      <c r="Q36" s="33" t="n">
        <f>50890</f>
        <v>50890.0</v>
      </c>
      <c r="R36" s="34" t="s">
        <v>51</v>
      </c>
      <c r="S36" s="35" t="n">
        <f>50658.18</f>
        <v>50658.18</v>
      </c>
      <c r="T36" s="32" t="n">
        <f>86964</f>
        <v>86964.0</v>
      </c>
      <c r="U36" s="32" t="n">
        <f>42084</f>
        <v>42084.0</v>
      </c>
      <c r="V36" s="32" t="n">
        <f>4398622407</f>
        <v>4.398622407E9</v>
      </c>
      <c r="W36" s="32" t="n">
        <f>2134829367</f>
        <v>2.134829367E9</v>
      </c>
      <c r="X36" s="36" t="n">
        <f>22</f>
        <v>22.0</v>
      </c>
    </row>
    <row r="37">
      <c r="A37" s="27" t="s">
        <v>42</v>
      </c>
      <c r="B37" s="27" t="s">
        <v>150</v>
      </c>
      <c r="C37" s="27" t="s">
        <v>151</v>
      </c>
      <c r="D37" s="27" t="s">
        <v>152</v>
      </c>
      <c r="E37" s="28" t="s">
        <v>46</v>
      </c>
      <c r="F37" s="29" t="s">
        <v>46</v>
      </c>
      <c r="G37" s="30" t="s">
        <v>46</v>
      </c>
      <c r="H37" s="31"/>
      <c r="I37" s="31" t="s">
        <v>47</v>
      </c>
      <c r="J37" s="32" t="n">
        <v>1.0</v>
      </c>
      <c r="K37" s="33" t="n">
        <f>50500</f>
        <v>50500.0</v>
      </c>
      <c r="L37" s="34" t="s">
        <v>48</v>
      </c>
      <c r="M37" s="33" t="n">
        <f>51610</f>
        <v>51610.0</v>
      </c>
      <c r="N37" s="34" t="s">
        <v>75</v>
      </c>
      <c r="O37" s="33" t="n">
        <f>49160</f>
        <v>49160.0</v>
      </c>
      <c r="P37" s="34" t="s">
        <v>67</v>
      </c>
      <c r="Q37" s="33" t="n">
        <f>50950</f>
        <v>50950.0</v>
      </c>
      <c r="R37" s="34" t="s">
        <v>51</v>
      </c>
      <c r="S37" s="35" t="n">
        <f>50695.91</f>
        <v>50695.91</v>
      </c>
      <c r="T37" s="32" t="n">
        <f>156620</f>
        <v>156620.0</v>
      </c>
      <c r="U37" s="32" t="n">
        <f>132171</f>
        <v>132171.0</v>
      </c>
      <c r="V37" s="32" t="n">
        <f>7914797476</f>
        <v>7.914797476E9</v>
      </c>
      <c r="W37" s="32" t="n">
        <f>6679590456</f>
        <v>6.679590456E9</v>
      </c>
      <c r="X37" s="36" t="n">
        <f>22</f>
        <v>22.0</v>
      </c>
    </row>
    <row r="38">
      <c r="A38" s="27" t="s">
        <v>42</v>
      </c>
      <c r="B38" s="27" t="s">
        <v>153</v>
      </c>
      <c r="C38" s="27" t="s">
        <v>154</v>
      </c>
      <c r="D38" s="27" t="s">
        <v>155</v>
      </c>
      <c r="E38" s="28" t="s">
        <v>46</v>
      </c>
      <c r="F38" s="29" t="s">
        <v>46</v>
      </c>
      <c r="G38" s="30" t="s">
        <v>46</v>
      </c>
      <c r="H38" s="31"/>
      <c r="I38" s="31" t="s">
        <v>47</v>
      </c>
      <c r="J38" s="32" t="n">
        <v>10.0</v>
      </c>
      <c r="K38" s="33" t="n">
        <f>2086.5</f>
        <v>2086.5</v>
      </c>
      <c r="L38" s="34" t="s">
        <v>48</v>
      </c>
      <c r="M38" s="33" t="n">
        <f>2089</f>
        <v>2089.0</v>
      </c>
      <c r="N38" s="34" t="s">
        <v>51</v>
      </c>
      <c r="O38" s="33" t="n">
        <f>1991</f>
        <v>1991.0</v>
      </c>
      <c r="P38" s="34" t="s">
        <v>106</v>
      </c>
      <c r="Q38" s="33" t="n">
        <f>2072.5</f>
        <v>2072.5</v>
      </c>
      <c r="R38" s="34" t="s">
        <v>51</v>
      </c>
      <c r="S38" s="35" t="n">
        <f>2043.82</f>
        <v>2043.82</v>
      </c>
      <c r="T38" s="32" t="n">
        <f>24242250</f>
        <v>2.424225E7</v>
      </c>
      <c r="U38" s="32" t="n">
        <f>2053900</f>
        <v>2053900.0</v>
      </c>
      <c r="V38" s="32" t="n">
        <f>49619799138</f>
        <v>4.9619799138E10</v>
      </c>
      <c r="W38" s="32" t="n">
        <f>4206208588</f>
        <v>4.206208588E9</v>
      </c>
      <c r="X38" s="36" t="n">
        <f>22</f>
        <v>22.0</v>
      </c>
    </row>
    <row r="39">
      <c r="A39" s="27" t="s">
        <v>42</v>
      </c>
      <c r="B39" s="27" t="s">
        <v>156</v>
      </c>
      <c r="C39" s="27" t="s">
        <v>157</v>
      </c>
      <c r="D39" s="27" t="s">
        <v>158</v>
      </c>
      <c r="E39" s="28" t="s">
        <v>46</v>
      </c>
      <c r="F39" s="29" t="s">
        <v>46</v>
      </c>
      <c r="G39" s="30" t="s">
        <v>46</v>
      </c>
      <c r="H39" s="31"/>
      <c r="I39" s="31" t="s">
        <v>47</v>
      </c>
      <c r="J39" s="32" t="n">
        <v>1.0</v>
      </c>
      <c r="K39" s="33" t="n">
        <f>2776</f>
        <v>2776.0</v>
      </c>
      <c r="L39" s="34" t="s">
        <v>48</v>
      </c>
      <c r="M39" s="33" t="n">
        <f>2776</f>
        <v>2776.0</v>
      </c>
      <c r="N39" s="34" t="s">
        <v>48</v>
      </c>
      <c r="O39" s="33" t="n">
        <f>2641</f>
        <v>2641.0</v>
      </c>
      <c r="P39" s="34" t="s">
        <v>90</v>
      </c>
      <c r="Q39" s="33" t="n">
        <f>2730</f>
        <v>2730.0</v>
      </c>
      <c r="R39" s="34" t="s">
        <v>51</v>
      </c>
      <c r="S39" s="35" t="n">
        <f>2697.32</f>
        <v>2697.32</v>
      </c>
      <c r="T39" s="32" t="n">
        <f>206010</f>
        <v>206010.0</v>
      </c>
      <c r="U39" s="32" t="n">
        <f>185530</f>
        <v>185530.0</v>
      </c>
      <c r="V39" s="32" t="n">
        <f>553898025</f>
        <v>5.53898025E8</v>
      </c>
      <c r="W39" s="32" t="n">
        <f>498791555</f>
        <v>4.98791555E8</v>
      </c>
      <c r="X39" s="36" t="n">
        <f>22</f>
        <v>22.0</v>
      </c>
    </row>
    <row r="40">
      <c r="A40" s="27" t="s">
        <v>42</v>
      </c>
      <c r="B40" s="27" t="s">
        <v>159</v>
      </c>
      <c r="C40" s="27" t="s">
        <v>160</v>
      </c>
      <c r="D40" s="27" t="s">
        <v>161</v>
      </c>
      <c r="E40" s="28" t="s">
        <v>46</v>
      </c>
      <c r="F40" s="29" t="s">
        <v>46</v>
      </c>
      <c r="G40" s="30" t="s">
        <v>46</v>
      </c>
      <c r="H40" s="31"/>
      <c r="I40" s="31" t="s">
        <v>47</v>
      </c>
      <c r="J40" s="32" t="n">
        <v>1.0</v>
      </c>
      <c r="K40" s="33" t="n">
        <f>1937</f>
        <v>1937.0</v>
      </c>
      <c r="L40" s="34" t="s">
        <v>48</v>
      </c>
      <c r="M40" s="33" t="n">
        <f>1987</f>
        <v>1987.0</v>
      </c>
      <c r="N40" s="34" t="s">
        <v>162</v>
      </c>
      <c r="O40" s="33" t="n">
        <f>1937</f>
        <v>1937.0</v>
      </c>
      <c r="P40" s="34" t="s">
        <v>48</v>
      </c>
      <c r="Q40" s="33" t="n">
        <f>1948</f>
        <v>1948.0</v>
      </c>
      <c r="R40" s="34" t="s">
        <v>51</v>
      </c>
      <c r="S40" s="35" t="n">
        <f>1951.33</f>
        <v>1951.33</v>
      </c>
      <c r="T40" s="32" t="n">
        <f>907263</f>
        <v>907263.0</v>
      </c>
      <c r="U40" s="32" t="str">
        <f>"－"</f>
        <v>－</v>
      </c>
      <c r="V40" s="32" t="n">
        <f>1766362400</f>
        <v>1.7663624E9</v>
      </c>
      <c r="W40" s="32" t="str">
        <f>"－"</f>
        <v>－</v>
      </c>
      <c r="X40" s="36" t="n">
        <f>21</f>
        <v>21.0</v>
      </c>
    </row>
    <row r="41">
      <c r="A41" s="27" t="s">
        <v>42</v>
      </c>
      <c r="B41" s="27" t="s">
        <v>163</v>
      </c>
      <c r="C41" s="27" t="s">
        <v>164</v>
      </c>
      <c r="D41" s="27" t="s">
        <v>165</v>
      </c>
      <c r="E41" s="28" t="s">
        <v>46</v>
      </c>
      <c r="F41" s="29" t="s">
        <v>46</v>
      </c>
      <c r="G41" s="30" t="s">
        <v>46</v>
      </c>
      <c r="H41" s="31"/>
      <c r="I41" s="31" t="s">
        <v>47</v>
      </c>
      <c r="J41" s="32" t="n">
        <v>1.0</v>
      </c>
      <c r="K41" s="33" t="n">
        <f>1779</f>
        <v>1779.0</v>
      </c>
      <c r="L41" s="34" t="s">
        <v>48</v>
      </c>
      <c r="M41" s="33" t="n">
        <f>1834</f>
        <v>1834.0</v>
      </c>
      <c r="N41" s="34" t="s">
        <v>67</v>
      </c>
      <c r="O41" s="33" t="n">
        <f>1748</f>
        <v>1748.0</v>
      </c>
      <c r="P41" s="34" t="s">
        <v>75</v>
      </c>
      <c r="Q41" s="33" t="n">
        <f>1772</f>
        <v>1772.0</v>
      </c>
      <c r="R41" s="34" t="s">
        <v>51</v>
      </c>
      <c r="S41" s="35" t="n">
        <f>1780.09</f>
        <v>1780.09</v>
      </c>
      <c r="T41" s="32" t="n">
        <f>1114655</f>
        <v>1114655.0</v>
      </c>
      <c r="U41" s="32" t="n">
        <f>360060</f>
        <v>360060.0</v>
      </c>
      <c r="V41" s="32" t="n">
        <f>1976479660</f>
        <v>1.97647966E9</v>
      </c>
      <c r="W41" s="32" t="n">
        <f>634419700</f>
        <v>6.344197E8</v>
      </c>
      <c r="X41" s="36" t="n">
        <f>22</f>
        <v>22.0</v>
      </c>
    </row>
    <row r="42">
      <c r="A42" s="27" t="s">
        <v>42</v>
      </c>
      <c r="B42" s="27" t="s">
        <v>166</v>
      </c>
      <c r="C42" s="27" t="s">
        <v>167</v>
      </c>
      <c r="D42" s="27" t="s">
        <v>168</v>
      </c>
      <c r="E42" s="28" t="s">
        <v>46</v>
      </c>
      <c r="F42" s="29" t="s">
        <v>46</v>
      </c>
      <c r="G42" s="30" t="s">
        <v>46</v>
      </c>
      <c r="H42" s="31"/>
      <c r="I42" s="31" t="s">
        <v>47</v>
      </c>
      <c r="J42" s="32" t="n">
        <v>1.0</v>
      </c>
      <c r="K42" s="33" t="n">
        <f>2232</f>
        <v>2232.0</v>
      </c>
      <c r="L42" s="34" t="s">
        <v>48</v>
      </c>
      <c r="M42" s="33" t="n">
        <f>2265</f>
        <v>2265.0</v>
      </c>
      <c r="N42" s="34" t="s">
        <v>50</v>
      </c>
      <c r="O42" s="33" t="n">
        <f>2188</f>
        <v>2188.0</v>
      </c>
      <c r="P42" s="34" t="s">
        <v>49</v>
      </c>
      <c r="Q42" s="33" t="n">
        <f>2222</f>
        <v>2222.0</v>
      </c>
      <c r="R42" s="34" t="s">
        <v>51</v>
      </c>
      <c r="S42" s="35" t="n">
        <f>2223.05</f>
        <v>2223.05</v>
      </c>
      <c r="T42" s="32" t="n">
        <f>1932943</f>
        <v>1932943.0</v>
      </c>
      <c r="U42" s="32" t="n">
        <f>1357740</f>
        <v>1357740.0</v>
      </c>
      <c r="V42" s="32" t="n">
        <f>4258645974</f>
        <v>4.258645974E9</v>
      </c>
      <c r="W42" s="32" t="n">
        <f>2987397650</f>
        <v>2.98739765E9</v>
      </c>
      <c r="X42" s="36" t="n">
        <f>22</f>
        <v>22.0</v>
      </c>
    </row>
    <row r="43">
      <c r="A43" s="27" t="s">
        <v>42</v>
      </c>
      <c r="B43" s="27" t="s">
        <v>169</v>
      </c>
      <c r="C43" s="27" t="s">
        <v>170</v>
      </c>
      <c r="D43" s="27" t="s">
        <v>171</v>
      </c>
      <c r="E43" s="28" t="s">
        <v>46</v>
      </c>
      <c r="F43" s="29" t="s">
        <v>46</v>
      </c>
      <c r="G43" s="30" t="s">
        <v>46</v>
      </c>
      <c r="H43" s="31"/>
      <c r="I43" s="31" t="s">
        <v>47</v>
      </c>
      <c r="J43" s="32" t="n">
        <v>1.0</v>
      </c>
      <c r="K43" s="33" t="n">
        <f>51170</f>
        <v>51170.0</v>
      </c>
      <c r="L43" s="34" t="s">
        <v>48</v>
      </c>
      <c r="M43" s="33" t="n">
        <f>52790</f>
        <v>52790.0</v>
      </c>
      <c r="N43" s="34" t="s">
        <v>75</v>
      </c>
      <c r="O43" s="33" t="n">
        <f>47730</f>
        <v>47730.0</v>
      </c>
      <c r="P43" s="34" t="s">
        <v>67</v>
      </c>
      <c r="Q43" s="33" t="n">
        <f>51150</f>
        <v>51150.0</v>
      </c>
      <c r="R43" s="34" t="s">
        <v>51</v>
      </c>
      <c r="S43" s="35" t="n">
        <f>50805.45</f>
        <v>50805.45</v>
      </c>
      <c r="T43" s="32" t="n">
        <f>3953822</f>
        <v>3953822.0</v>
      </c>
      <c r="U43" s="32" t="n">
        <f>4763</f>
        <v>4763.0</v>
      </c>
      <c r="V43" s="32" t="n">
        <f>201034719623</f>
        <v>2.01034719623E11</v>
      </c>
      <c r="W43" s="32" t="n">
        <f>243543393</f>
        <v>2.43543393E8</v>
      </c>
      <c r="X43" s="36" t="n">
        <f>22</f>
        <v>22.0</v>
      </c>
    </row>
    <row r="44">
      <c r="A44" s="27" t="s">
        <v>42</v>
      </c>
      <c r="B44" s="27" t="s">
        <v>172</v>
      </c>
      <c r="C44" s="27" t="s">
        <v>173</v>
      </c>
      <c r="D44" s="27" t="s">
        <v>174</v>
      </c>
      <c r="E44" s="28" t="s">
        <v>46</v>
      </c>
      <c r="F44" s="29" t="s">
        <v>46</v>
      </c>
      <c r="G44" s="30" t="s">
        <v>46</v>
      </c>
      <c r="H44" s="31"/>
      <c r="I44" s="31" t="s">
        <v>47</v>
      </c>
      <c r="J44" s="32" t="n">
        <v>1.0</v>
      </c>
      <c r="K44" s="33" t="n">
        <f>238</f>
        <v>238.0</v>
      </c>
      <c r="L44" s="34" t="s">
        <v>48</v>
      </c>
      <c r="M44" s="33" t="n">
        <f>253</f>
        <v>253.0</v>
      </c>
      <c r="N44" s="34" t="s">
        <v>67</v>
      </c>
      <c r="O44" s="33" t="n">
        <f>229</f>
        <v>229.0</v>
      </c>
      <c r="P44" s="34" t="s">
        <v>128</v>
      </c>
      <c r="Q44" s="33" t="n">
        <f>236</f>
        <v>236.0</v>
      </c>
      <c r="R44" s="34" t="s">
        <v>51</v>
      </c>
      <c r="S44" s="35" t="n">
        <f>238.23</f>
        <v>238.23</v>
      </c>
      <c r="T44" s="32" t="n">
        <f>134073033</f>
        <v>1.34073033E8</v>
      </c>
      <c r="U44" s="32" t="n">
        <f>4011523</f>
        <v>4011523.0</v>
      </c>
      <c r="V44" s="32" t="n">
        <f>31997341421</f>
        <v>3.1997341421E10</v>
      </c>
      <c r="W44" s="32" t="n">
        <f>959260389</f>
        <v>9.59260389E8</v>
      </c>
      <c r="X44" s="36" t="n">
        <f>22</f>
        <v>22.0</v>
      </c>
    </row>
    <row r="45">
      <c r="A45" s="27" t="s">
        <v>42</v>
      </c>
      <c r="B45" s="27" t="s">
        <v>175</v>
      </c>
      <c r="C45" s="27" t="s">
        <v>176</v>
      </c>
      <c r="D45" s="27" t="s">
        <v>177</v>
      </c>
      <c r="E45" s="28" t="s">
        <v>46</v>
      </c>
      <c r="F45" s="29" t="s">
        <v>46</v>
      </c>
      <c r="G45" s="30" t="s">
        <v>46</v>
      </c>
      <c r="H45" s="31"/>
      <c r="I45" s="31" t="s">
        <v>47</v>
      </c>
      <c r="J45" s="32" t="n">
        <v>1.0</v>
      </c>
      <c r="K45" s="33" t="n">
        <f>330</f>
        <v>330.0</v>
      </c>
      <c r="L45" s="34" t="s">
        <v>48</v>
      </c>
      <c r="M45" s="33" t="n">
        <f>339</f>
        <v>339.0</v>
      </c>
      <c r="N45" s="34" t="s">
        <v>48</v>
      </c>
      <c r="O45" s="33" t="n">
        <f>315</f>
        <v>315.0</v>
      </c>
      <c r="P45" s="34" t="s">
        <v>82</v>
      </c>
      <c r="Q45" s="33" t="n">
        <f>319</f>
        <v>319.0</v>
      </c>
      <c r="R45" s="34" t="s">
        <v>51</v>
      </c>
      <c r="S45" s="35" t="n">
        <f>325.55</f>
        <v>325.55</v>
      </c>
      <c r="T45" s="32" t="n">
        <f>69072</f>
        <v>69072.0</v>
      </c>
      <c r="U45" s="32" t="str">
        <f>"－"</f>
        <v>－</v>
      </c>
      <c r="V45" s="32" t="n">
        <f>22383432</f>
        <v>2.2383432E7</v>
      </c>
      <c r="W45" s="32" t="str">
        <f>"－"</f>
        <v>－</v>
      </c>
      <c r="X45" s="36" t="n">
        <f>22</f>
        <v>22.0</v>
      </c>
    </row>
    <row r="46">
      <c r="A46" s="27" t="s">
        <v>42</v>
      </c>
      <c r="B46" s="27" t="s">
        <v>178</v>
      </c>
      <c r="C46" s="27" t="s">
        <v>179</v>
      </c>
      <c r="D46" s="27" t="s">
        <v>180</v>
      </c>
      <c r="E46" s="28" t="s">
        <v>46</v>
      </c>
      <c r="F46" s="29" t="s">
        <v>46</v>
      </c>
      <c r="G46" s="30" t="s">
        <v>46</v>
      </c>
      <c r="H46" s="31"/>
      <c r="I46" s="31" t="s">
        <v>47</v>
      </c>
      <c r="J46" s="32" t="n">
        <v>10.0</v>
      </c>
      <c r="K46" s="33" t="n">
        <f>316</f>
        <v>316.0</v>
      </c>
      <c r="L46" s="34" t="s">
        <v>48</v>
      </c>
      <c r="M46" s="33" t="n">
        <f>333</f>
        <v>333.0</v>
      </c>
      <c r="N46" s="34" t="s">
        <v>181</v>
      </c>
      <c r="O46" s="33" t="n">
        <f>303.5</f>
        <v>303.5</v>
      </c>
      <c r="P46" s="34" t="s">
        <v>55</v>
      </c>
      <c r="Q46" s="33" t="n">
        <f>303.6</f>
        <v>303.6</v>
      </c>
      <c r="R46" s="34" t="s">
        <v>51</v>
      </c>
      <c r="S46" s="35" t="n">
        <f>312.23</f>
        <v>312.23</v>
      </c>
      <c r="T46" s="32" t="n">
        <f>214950</f>
        <v>214950.0</v>
      </c>
      <c r="U46" s="32" t="n">
        <f>640</f>
        <v>640.0</v>
      </c>
      <c r="V46" s="32" t="n">
        <f>67515770</f>
        <v>6.751577E7</v>
      </c>
      <c r="W46" s="32" t="n">
        <f>199858</f>
        <v>199858.0</v>
      </c>
      <c r="X46" s="36" t="n">
        <f>22</f>
        <v>22.0</v>
      </c>
    </row>
    <row r="47">
      <c r="A47" s="27" t="s">
        <v>42</v>
      </c>
      <c r="B47" s="27" t="s">
        <v>182</v>
      </c>
      <c r="C47" s="27" t="s">
        <v>183</v>
      </c>
      <c r="D47" s="27" t="s">
        <v>184</v>
      </c>
      <c r="E47" s="28" t="s">
        <v>46</v>
      </c>
      <c r="F47" s="29" t="s">
        <v>46</v>
      </c>
      <c r="G47" s="30" t="s">
        <v>46</v>
      </c>
      <c r="H47" s="31"/>
      <c r="I47" s="31" t="s">
        <v>47</v>
      </c>
      <c r="J47" s="32" t="n">
        <v>1.0</v>
      </c>
      <c r="K47" s="33" t="n">
        <f>129</f>
        <v>129.0</v>
      </c>
      <c r="L47" s="34" t="s">
        <v>48</v>
      </c>
      <c r="M47" s="33" t="n">
        <f>133</f>
        <v>133.0</v>
      </c>
      <c r="N47" s="34" t="s">
        <v>48</v>
      </c>
      <c r="O47" s="33" t="n">
        <f>123</f>
        <v>123.0</v>
      </c>
      <c r="P47" s="34" t="s">
        <v>75</v>
      </c>
      <c r="Q47" s="33" t="n">
        <f>126</f>
        <v>126.0</v>
      </c>
      <c r="R47" s="34" t="s">
        <v>51</v>
      </c>
      <c r="S47" s="35" t="n">
        <f>127.68</f>
        <v>127.68</v>
      </c>
      <c r="T47" s="32" t="n">
        <f>154255</f>
        <v>154255.0</v>
      </c>
      <c r="U47" s="32" t="str">
        <f>"－"</f>
        <v>－</v>
      </c>
      <c r="V47" s="32" t="n">
        <f>19657551</f>
        <v>1.9657551E7</v>
      </c>
      <c r="W47" s="32" t="str">
        <f>"－"</f>
        <v>－</v>
      </c>
      <c r="X47" s="36" t="n">
        <f>22</f>
        <v>22.0</v>
      </c>
    </row>
    <row r="48">
      <c r="A48" s="27" t="s">
        <v>42</v>
      </c>
      <c r="B48" s="27" t="s">
        <v>185</v>
      </c>
      <c r="C48" s="27" t="s">
        <v>186</v>
      </c>
      <c r="D48" s="27" t="s">
        <v>187</v>
      </c>
      <c r="E48" s="28" t="s">
        <v>46</v>
      </c>
      <c r="F48" s="29" t="s">
        <v>46</v>
      </c>
      <c r="G48" s="30" t="s">
        <v>46</v>
      </c>
      <c r="H48" s="31"/>
      <c r="I48" s="31" t="s">
        <v>47</v>
      </c>
      <c r="J48" s="32" t="n">
        <v>10.0</v>
      </c>
      <c r="K48" s="33" t="n">
        <f>3465</f>
        <v>3465.0</v>
      </c>
      <c r="L48" s="34" t="s">
        <v>48</v>
      </c>
      <c r="M48" s="33" t="n">
        <f>3533</f>
        <v>3533.0</v>
      </c>
      <c r="N48" s="34" t="s">
        <v>71</v>
      </c>
      <c r="O48" s="33" t="n">
        <f>3413</f>
        <v>3413.0</v>
      </c>
      <c r="P48" s="34" t="s">
        <v>50</v>
      </c>
      <c r="Q48" s="33" t="n">
        <f>3501</f>
        <v>3501.0</v>
      </c>
      <c r="R48" s="34" t="s">
        <v>51</v>
      </c>
      <c r="S48" s="35" t="n">
        <f>3479.14</f>
        <v>3479.14</v>
      </c>
      <c r="T48" s="32" t="n">
        <f>2900310</f>
        <v>2900310.0</v>
      </c>
      <c r="U48" s="32" t="n">
        <f>2354320</f>
        <v>2354320.0</v>
      </c>
      <c r="V48" s="32" t="n">
        <f>10085550243</f>
        <v>1.0085550243E10</v>
      </c>
      <c r="W48" s="32" t="n">
        <f>8192303933</f>
        <v>8.192303933E9</v>
      </c>
      <c r="X48" s="36" t="n">
        <f>22</f>
        <v>22.0</v>
      </c>
    </row>
    <row r="49">
      <c r="A49" s="27" t="s">
        <v>42</v>
      </c>
      <c r="B49" s="27" t="s">
        <v>188</v>
      </c>
      <c r="C49" s="27" t="s">
        <v>189</v>
      </c>
      <c r="D49" s="27" t="s">
        <v>190</v>
      </c>
      <c r="E49" s="28" t="s">
        <v>46</v>
      </c>
      <c r="F49" s="29" t="s">
        <v>46</v>
      </c>
      <c r="G49" s="30" t="s">
        <v>46</v>
      </c>
      <c r="H49" s="31"/>
      <c r="I49" s="31" t="s">
        <v>47</v>
      </c>
      <c r="J49" s="32" t="n">
        <v>1.0</v>
      </c>
      <c r="K49" s="33" t="n">
        <f>30730</f>
        <v>30730.0</v>
      </c>
      <c r="L49" s="34" t="s">
        <v>48</v>
      </c>
      <c r="M49" s="33" t="n">
        <f>31990</f>
        <v>31990.0</v>
      </c>
      <c r="N49" s="34" t="s">
        <v>49</v>
      </c>
      <c r="O49" s="33" t="n">
        <f>30550</f>
        <v>30550.0</v>
      </c>
      <c r="P49" s="34" t="s">
        <v>48</v>
      </c>
      <c r="Q49" s="33" t="n">
        <f>31350</f>
        <v>31350.0</v>
      </c>
      <c r="R49" s="34" t="s">
        <v>51</v>
      </c>
      <c r="S49" s="35" t="n">
        <f>31165.91</f>
        <v>31165.91</v>
      </c>
      <c r="T49" s="32" t="n">
        <f>84966</f>
        <v>84966.0</v>
      </c>
      <c r="U49" s="32" t="n">
        <f>69692</f>
        <v>69692.0</v>
      </c>
      <c r="V49" s="32" t="n">
        <f>2657312647</f>
        <v>2.657312647E9</v>
      </c>
      <c r="W49" s="32" t="n">
        <f>2183055907</f>
        <v>2.183055907E9</v>
      </c>
      <c r="X49" s="36" t="n">
        <f>22</f>
        <v>22.0</v>
      </c>
    </row>
    <row r="50">
      <c r="A50" s="27" t="s">
        <v>42</v>
      </c>
      <c r="B50" s="27" t="s">
        <v>191</v>
      </c>
      <c r="C50" s="27" t="s">
        <v>192</v>
      </c>
      <c r="D50" s="27" t="s">
        <v>193</v>
      </c>
      <c r="E50" s="28" t="s">
        <v>46</v>
      </c>
      <c r="F50" s="29" t="s">
        <v>46</v>
      </c>
      <c r="G50" s="30" t="s">
        <v>46</v>
      </c>
      <c r="H50" s="31"/>
      <c r="I50" s="31" t="s">
        <v>47</v>
      </c>
      <c r="J50" s="32" t="n">
        <v>10.0</v>
      </c>
      <c r="K50" s="33" t="n">
        <f>349</f>
        <v>349.0</v>
      </c>
      <c r="L50" s="34" t="s">
        <v>48</v>
      </c>
      <c r="M50" s="33" t="n">
        <f>355.1</f>
        <v>355.1</v>
      </c>
      <c r="N50" s="34" t="s">
        <v>49</v>
      </c>
      <c r="O50" s="33" t="n">
        <f>343.5</f>
        <v>343.5</v>
      </c>
      <c r="P50" s="34" t="s">
        <v>50</v>
      </c>
      <c r="Q50" s="33" t="n">
        <f>352.9</f>
        <v>352.9</v>
      </c>
      <c r="R50" s="34" t="s">
        <v>51</v>
      </c>
      <c r="S50" s="35" t="n">
        <f>350.15</f>
        <v>350.15</v>
      </c>
      <c r="T50" s="32" t="n">
        <f>357406200</f>
        <v>3.574062E8</v>
      </c>
      <c r="U50" s="32" t="n">
        <f>98442520</f>
        <v>9.844252E7</v>
      </c>
      <c r="V50" s="32" t="n">
        <f>125266289021</f>
        <v>1.25266289021E11</v>
      </c>
      <c r="W50" s="32" t="n">
        <f>34193031761</f>
        <v>3.4193031761E10</v>
      </c>
      <c r="X50" s="36" t="n">
        <f>22</f>
        <v>22.0</v>
      </c>
    </row>
    <row r="51">
      <c r="A51" s="27" t="s">
        <v>42</v>
      </c>
      <c r="B51" s="27" t="s">
        <v>194</v>
      </c>
      <c r="C51" s="27" t="s">
        <v>195</v>
      </c>
      <c r="D51" s="27" t="s">
        <v>196</v>
      </c>
      <c r="E51" s="28" t="s">
        <v>46</v>
      </c>
      <c r="F51" s="29" t="s">
        <v>46</v>
      </c>
      <c r="G51" s="30" t="s">
        <v>46</v>
      </c>
      <c r="H51" s="31"/>
      <c r="I51" s="31" t="s">
        <v>47</v>
      </c>
      <c r="J51" s="32" t="n">
        <v>1.0</v>
      </c>
      <c r="K51" s="33" t="n">
        <f>2095</f>
        <v>2095.0</v>
      </c>
      <c r="L51" s="34" t="s">
        <v>48</v>
      </c>
      <c r="M51" s="33" t="n">
        <f>2109</f>
        <v>2109.0</v>
      </c>
      <c r="N51" s="34" t="s">
        <v>51</v>
      </c>
      <c r="O51" s="33" t="n">
        <f>2008</f>
        <v>2008.0</v>
      </c>
      <c r="P51" s="34" t="s">
        <v>106</v>
      </c>
      <c r="Q51" s="33" t="n">
        <f>2088</f>
        <v>2088.0</v>
      </c>
      <c r="R51" s="34" t="s">
        <v>51</v>
      </c>
      <c r="S51" s="35" t="n">
        <f>2060.73</f>
        <v>2060.73</v>
      </c>
      <c r="T51" s="32" t="n">
        <f>7598791</f>
        <v>7598791.0</v>
      </c>
      <c r="U51" s="32" t="n">
        <f>3863667</f>
        <v>3863667.0</v>
      </c>
      <c r="V51" s="32" t="n">
        <f>15625992797</f>
        <v>1.5625992797E10</v>
      </c>
      <c r="W51" s="32" t="n">
        <f>7945282438</f>
        <v>7.945282438E9</v>
      </c>
      <c r="X51" s="36" t="n">
        <f>22</f>
        <v>22.0</v>
      </c>
    </row>
    <row r="52">
      <c r="A52" s="27" t="s">
        <v>42</v>
      </c>
      <c r="B52" s="27" t="s">
        <v>197</v>
      </c>
      <c r="C52" s="27" t="s">
        <v>198</v>
      </c>
      <c r="D52" s="27" t="s">
        <v>199</v>
      </c>
      <c r="E52" s="28" t="s">
        <v>46</v>
      </c>
      <c r="F52" s="29" t="s">
        <v>46</v>
      </c>
      <c r="G52" s="30" t="s">
        <v>46</v>
      </c>
      <c r="H52" s="31"/>
      <c r="I52" s="31" t="s">
        <v>47</v>
      </c>
      <c r="J52" s="32" t="n">
        <v>1.0</v>
      </c>
      <c r="K52" s="33" t="n">
        <f>2997</f>
        <v>2997.0</v>
      </c>
      <c r="L52" s="34" t="s">
        <v>48</v>
      </c>
      <c r="M52" s="33" t="n">
        <f>3038</f>
        <v>3038.0</v>
      </c>
      <c r="N52" s="34" t="s">
        <v>200</v>
      </c>
      <c r="O52" s="33" t="n">
        <f>2951</f>
        <v>2951.0</v>
      </c>
      <c r="P52" s="34" t="s">
        <v>50</v>
      </c>
      <c r="Q52" s="33" t="n">
        <f>3020</f>
        <v>3020.0</v>
      </c>
      <c r="R52" s="34" t="s">
        <v>51</v>
      </c>
      <c r="S52" s="35" t="n">
        <f>2998.64</f>
        <v>2998.64</v>
      </c>
      <c r="T52" s="32" t="n">
        <f>140596</f>
        <v>140596.0</v>
      </c>
      <c r="U52" s="32" t="n">
        <f>115666</f>
        <v>115666.0</v>
      </c>
      <c r="V52" s="32" t="n">
        <f>419805310</f>
        <v>4.1980531E8</v>
      </c>
      <c r="W52" s="32" t="n">
        <f>344924635</f>
        <v>3.44924635E8</v>
      </c>
      <c r="X52" s="36" t="n">
        <f>22</f>
        <v>22.0</v>
      </c>
    </row>
    <row r="53">
      <c r="A53" s="27" t="s">
        <v>42</v>
      </c>
      <c r="B53" s="27" t="s">
        <v>201</v>
      </c>
      <c r="C53" s="27" t="s">
        <v>202</v>
      </c>
      <c r="D53" s="27" t="s">
        <v>203</v>
      </c>
      <c r="E53" s="28" t="s">
        <v>46</v>
      </c>
      <c r="F53" s="29" t="s">
        <v>46</v>
      </c>
      <c r="G53" s="30" t="s">
        <v>46</v>
      </c>
      <c r="H53" s="31"/>
      <c r="I53" s="31" t="s">
        <v>47</v>
      </c>
      <c r="J53" s="32" t="n">
        <v>1.0</v>
      </c>
      <c r="K53" s="33" t="n">
        <f>4520</f>
        <v>4520.0</v>
      </c>
      <c r="L53" s="34" t="s">
        <v>48</v>
      </c>
      <c r="M53" s="33" t="n">
        <f>4677</f>
        <v>4677.0</v>
      </c>
      <c r="N53" s="34" t="s">
        <v>200</v>
      </c>
      <c r="O53" s="33" t="n">
        <f>4427</f>
        <v>4427.0</v>
      </c>
      <c r="P53" s="34" t="s">
        <v>86</v>
      </c>
      <c r="Q53" s="33" t="n">
        <f>4633</f>
        <v>4633.0</v>
      </c>
      <c r="R53" s="34" t="s">
        <v>51</v>
      </c>
      <c r="S53" s="35" t="n">
        <f>4567.5</f>
        <v>4567.5</v>
      </c>
      <c r="T53" s="32" t="n">
        <f>1779279</f>
        <v>1779279.0</v>
      </c>
      <c r="U53" s="32" t="n">
        <f>1027442</f>
        <v>1027442.0</v>
      </c>
      <c r="V53" s="32" t="n">
        <f>8076994667</f>
        <v>8.076994667E9</v>
      </c>
      <c r="W53" s="32" t="n">
        <f>4652117878</f>
        <v>4.652117878E9</v>
      </c>
      <c r="X53" s="36" t="n">
        <f>22</f>
        <v>22.0</v>
      </c>
    </row>
    <row r="54">
      <c r="A54" s="27" t="s">
        <v>42</v>
      </c>
      <c r="B54" s="27" t="s">
        <v>204</v>
      </c>
      <c r="C54" s="27" t="s">
        <v>205</v>
      </c>
      <c r="D54" s="27" t="s">
        <v>206</v>
      </c>
      <c r="E54" s="28" t="s">
        <v>46</v>
      </c>
      <c r="F54" s="29" t="s">
        <v>46</v>
      </c>
      <c r="G54" s="30" t="s">
        <v>46</v>
      </c>
      <c r="H54" s="31"/>
      <c r="I54" s="31" t="s">
        <v>47</v>
      </c>
      <c r="J54" s="32" t="n">
        <v>1.0</v>
      </c>
      <c r="K54" s="33" t="n">
        <f>43430</f>
        <v>43430.0</v>
      </c>
      <c r="L54" s="34" t="s">
        <v>48</v>
      </c>
      <c r="M54" s="33" t="n">
        <f>45340</f>
        <v>45340.0</v>
      </c>
      <c r="N54" s="34" t="s">
        <v>49</v>
      </c>
      <c r="O54" s="33" t="n">
        <f>42790</f>
        <v>42790.0</v>
      </c>
      <c r="P54" s="34" t="s">
        <v>162</v>
      </c>
      <c r="Q54" s="33" t="n">
        <f>43540</f>
        <v>43540.0</v>
      </c>
      <c r="R54" s="34" t="s">
        <v>51</v>
      </c>
      <c r="S54" s="35" t="n">
        <f>44227</f>
        <v>44227.0</v>
      </c>
      <c r="T54" s="32" t="n">
        <f>50</f>
        <v>50.0</v>
      </c>
      <c r="U54" s="32" t="str">
        <f>"－"</f>
        <v>－</v>
      </c>
      <c r="V54" s="32" t="n">
        <f>2214390</f>
        <v>2214390.0</v>
      </c>
      <c r="W54" s="32" t="str">
        <f>"－"</f>
        <v>－</v>
      </c>
      <c r="X54" s="36" t="n">
        <f>10</f>
        <v>10.0</v>
      </c>
    </row>
    <row r="55">
      <c r="A55" s="27" t="s">
        <v>42</v>
      </c>
      <c r="B55" s="27" t="s">
        <v>207</v>
      </c>
      <c r="C55" s="27" t="s">
        <v>208</v>
      </c>
      <c r="D55" s="27" t="s">
        <v>209</v>
      </c>
      <c r="E55" s="28" t="s">
        <v>46</v>
      </c>
      <c r="F55" s="29" t="s">
        <v>46</v>
      </c>
      <c r="G55" s="30" t="s">
        <v>46</v>
      </c>
      <c r="H55" s="31"/>
      <c r="I55" s="31" t="s">
        <v>47</v>
      </c>
      <c r="J55" s="32" t="n">
        <v>1.0</v>
      </c>
      <c r="K55" s="33" t="n">
        <f>38720</f>
        <v>38720.0</v>
      </c>
      <c r="L55" s="34" t="s">
        <v>48</v>
      </c>
      <c r="M55" s="33" t="n">
        <f>46200</f>
        <v>46200.0</v>
      </c>
      <c r="N55" s="34" t="s">
        <v>181</v>
      </c>
      <c r="O55" s="33" t="n">
        <f>30720</f>
        <v>30720.0</v>
      </c>
      <c r="P55" s="34" t="s">
        <v>75</v>
      </c>
      <c r="Q55" s="33" t="n">
        <f>33040</f>
        <v>33040.0</v>
      </c>
      <c r="R55" s="34" t="s">
        <v>210</v>
      </c>
      <c r="S55" s="35" t="n">
        <f>33570.59</f>
        <v>33570.59</v>
      </c>
      <c r="T55" s="32" t="n">
        <f>560</f>
        <v>560.0</v>
      </c>
      <c r="U55" s="32" t="str">
        <f>"－"</f>
        <v>－</v>
      </c>
      <c r="V55" s="32" t="n">
        <f>18931840</f>
        <v>1.893184E7</v>
      </c>
      <c r="W55" s="32" t="str">
        <f>"－"</f>
        <v>－</v>
      </c>
      <c r="X55" s="36" t="n">
        <f>17</f>
        <v>17.0</v>
      </c>
    </row>
    <row r="56">
      <c r="A56" s="27" t="s">
        <v>42</v>
      </c>
      <c r="B56" s="27" t="s">
        <v>211</v>
      </c>
      <c r="C56" s="27" t="s">
        <v>212</v>
      </c>
      <c r="D56" s="27" t="s">
        <v>213</v>
      </c>
      <c r="E56" s="28" t="s">
        <v>46</v>
      </c>
      <c r="F56" s="29" t="s">
        <v>46</v>
      </c>
      <c r="G56" s="30" t="s">
        <v>46</v>
      </c>
      <c r="H56" s="31"/>
      <c r="I56" s="31" t="s">
        <v>47</v>
      </c>
      <c r="J56" s="32" t="n">
        <v>1.0</v>
      </c>
      <c r="K56" s="33" t="n">
        <f>3400</f>
        <v>3400.0</v>
      </c>
      <c r="L56" s="34" t="s">
        <v>48</v>
      </c>
      <c r="M56" s="33" t="n">
        <f>3400</f>
        <v>3400.0</v>
      </c>
      <c r="N56" s="34" t="s">
        <v>48</v>
      </c>
      <c r="O56" s="33" t="n">
        <f>3249</f>
        <v>3249.0</v>
      </c>
      <c r="P56" s="34" t="s">
        <v>86</v>
      </c>
      <c r="Q56" s="33" t="n">
        <f>3340</f>
        <v>3340.0</v>
      </c>
      <c r="R56" s="34" t="s">
        <v>51</v>
      </c>
      <c r="S56" s="35" t="n">
        <f>3297.91</f>
        <v>3297.91</v>
      </c>
      <c r="T56" s="32" t="n">
        <f>4073</f>
        <v>4073.0</v>
      </c>
      <c r="U56" s="32" t="n">
        <f>2</f>
        <v>2.0</v>
      </c>
      <c r="V56" s="32" t="n">
        <f>13474644</f>
        <v>1.3474644E7</v>
      </c>
      <c r="W56" s="32" t="n">
        <f>6578</f>
        <v>6578.0</v>
      </c>
      <c r="X56" s="36" t="n">
        <f>22</f>
        <v>22.0</v>
      </c>
    </row>
    <row r="57">
      <c r="A57" s="27" t="s">
        <v>42</v>
      </c>
      <c r="B57" s="27" t="s">
        <v>214</v>
      </c>
      <c r="C57" s="27" t="s">
        <v>215</v>
      </c>
      <c r="D57" s="27" t="s">
        <v>216</v>
      </c>
      <c r="E57" s="28" t="s">
        <v>46</v>
      </c>
      <c r="F57" s="29" t="s">
        <v>46</v>
      </c>
      <c r="G57" s="30" t="s">
        <v>46</v>
      </c>
      <c r="H57" s="31"/>
      <c r="I57" s="31" t="s">
        <v>47</v>
      </c>
      <c r="J57" s="32" t="n">
        <v>1.0</v>
      </c>
      <c r="K57" s="33" t="n">
        <f>1656</f>
        <v>1656.0</v>
      </c>
      <c r="L57" s="34" t="s">
        <v>48</v>
      </c>
      <c r="M57" s="33" t="n">
        <f>1656</f>
        <v>1656.0</v>
      </c>
      <c r="N57" s="34" t="s">
        <v>48</v>
      </c>
      <c r="O57" s="33" t="n">
        <f>1634</f>
        <v>1634.0</v>
      </c>
      <c r="P57" s="34" t="s">
        <v>128</v>
      </c>
      <c r="Q57" s="33" t="n">
        <f>1646</f>
        <v>1646.0</v>
      </c>
      <c r="R57" s="34" t="s">
        <v>51</v>
      </c>
      <c r="S57" s="35" t="n">
        <f>1642</f>
        <v>1642.0</v>
      </c>
      <c r="T57" s="32" t="n">
        <f>4527307</f>
        <v>4527307.0</v>
      </c>
      <c r="U57" s="32" t="n">
        <f>2338828</f>
        <v>2338828.0</v>
      </c>
      <c r="V57" s="32" t="n">
        <f>7430572216</f>
        <v>7.430572216E9</v>
      </c>
      <c r="W57" s="32" t="n">
        <f>3841113294</f>
        <v>3.841113294E9</v>
      </c>
      <c r="X57" s="36" t="n">
        <f>22</f>
        <v>22.0</v>
      </c>
    </row>
    <row r="58">
      <c r="A58" s="27" t="s">
        <v>42</v>
      </c>
      <c r="B58" s="27" t="s">
        <v>217</v>
      </c>
      <c r="C58" s="27" t="s">
        <v>218</v>
      </c>
      <c r="D58" s="27" t="s">
        <v>219</v>
      </c>
      <c r="E58" s="28" t="s">
        <v>46</v>
      </c>
      <c r="F58" s="29" t="s">
        <v>46</v>
      </c>
      <c r="G58" s="30" t="s">
        <v>46</v>
      </c>
      <c r="H58" s="31"/>
      <c r="I58" s="31" t="s">
        <v>47</v>
      </c>
      <c r="J58" s="32" t="n">
        <v>1.0</v>
      </c>
      <c r="K58" s="33" t="n">
        <f>3314</f>
        <v>3314.0</v>
      </c>
      <c r="L58" s="34" t="s">
        <v>48</v>
      </c>
      <c r="M58" s="33" t="n">
        <f>3386</f>
        <v>3386.0</v>
      </c>
      <c r="N58" s="34" t="s">
        <v>63</v>
      </c>
      <c r="O58" s="33" t="n">
        <f>3146</f>
        <v>3146.0</v>
      </c>
      <c r="P58" s="34" t="s">
        <v>50</v>
      </c>
      <c r="Q58" s="33" t="n">
        <f>3300</f>
        <v>3300.0</v>
      </c>
      <c r="R58" s="34" t="s">
        <v>51</v>
      </c>
      <c r="S58" s="35" t="n">
        <f>3260.33</f>
        <v>3260.33</v>
      </c>
      <c r="T58" s="32" t="n">
        <f>1282</f>
        <v>1282.0</v>
      </c>
      <c r="U58" s="32" t="str">
        <f>"－"</f>
        <v>－</v>
      </c>
      <c r="V58" s="32" t="n">
        <f>4224143</f>
        <v>4224143.0</v>
      </c>
      <c r="W58" s="32" t="str">
        <f>"－"</f>
        <v>－</v>
      </c>
      <c r="X58" s="36" t="n">
        <f>21</f>
        <v>21.0</v>
      </c>
    </row>
    <row r="59">
      <c r="A59" s="27" t="s">
        <v>42</v>
      </c>
      <c r="B59" s="27" t="s">
        <v>220</v>
      </c>
      <c r="C59" s="27" t="s">
        <v>221</v>
      </c>
      <c r="D59" s="27" t="s">
        <v>222</v>
      </c>
      <c r="E59" s="28" t="s">
        <v>46</v>
      </c>
      <c r="F59" s="29" t="s">
        <v>46</v>
      </c>
      <c r="G59" s="30" t="s">
        <v>46</v>
      </c>
      <c r="H59" s="31"/>
      <c r="I59" s="31" t="s">
        <v>47</v>
      </c>
      <c r="J59" s="32" t="n">
        <v>10.0</v>
      </c>
      <c r="K59" s="33" t="n">
        <f>3225</f>
        <v>3225.0</v>
      </c>
      <c r="L59" s="34" t="s">
        <v>48</v>
      </c>
      <c r="M59" s="33" t="n">
        <f>3298</f>
        <v>3298.0</v>
      </c>
      <c r="N59" s="34" t="s">
        <v>51</v>
      </c>
      <c r="O59" s="33" t="n">
        <f>3203</f>
        <v>3203.0</v>
      </c>
      <c r="P59" s="34" t="s">
        <v>86</v>
      </c>
      <c r="Q59" s="33" t="n">
        <f>3298</f>
        <v>3298.0</v>
      </c>
      <c r="R59" s="34" t="s">
        <v>51</v>
      </c>
      <c r="S59" s="35" t="n">
        <f>3256.95</f>
        <v>3256.95</v>
      </c>
      <c r="T59" s="32" t="n">
        <f>19860</f>
        <v>19860.0</v>
      </c>
      <c r="U59" s="32" t="n">
        <f>10</f>
        <v>10.0</v>
      </c>
      <c r="V59" s="32" t="n">
        <f>64933650</f>
        <v>6.493365E7</v>
      </c>
      <c r="W59" s="32" t="n">
        <f>32720</f>
        <v>32720.0</v>
      </c>
      <c r="X59" s="36" t="n">
        <f>22</f>
        <v>22.0</v>
      </c>
    </row>
    <row r="60">
      <c r="A60" s="27" t="s">
        <v>42</v>
      </c>
      <c r="B60" s="27" t="s">
        <v>223</v>
      </c>
      <c r="C60" s="27" t="s">
        <v>224</v>
      </c>
      <c r="D60" s="27" t="s">
        <v>225</v>
      </c>
      <c r="E60" s="28" t="s">
        <v>46</v>
      </c>
      <c r="F60" s="29" t="s">
        <v>46</v>
      </c>
      <c r="G60" s="30" t="s">
        <v>46</v>
      </c>
      <c r="H60" s="31"/>
      <c r="I60" s="31" t="s">
        <v>47</v>
      </c>
      <c r="J60" s="32" t="n">
        <v>1.0</v>
      </c>
      <c r="K60" s="33" t="n">
        <f>48140</f>
        <v>48140.0</v>
      </c>
      <c r="L60" s="34" t="s">
        <v>200</v>
      </c>
      <c r="M60" s="33" t="n">
        <f>52470</f>
        <v>52470.0</v>
      </c>
      <c r="N60" s="34" t="s">
        <v>51</v>
      </c>
      <c r="O60" s="33" t="n">
        <f>47810</f>
        <v>47810.0</v>
      </c>
      <c r="P60" s="34" t="s">
        <v>71</v>
      </c>
      <c r="Q60" s="33" t="n">
        <f>48240</f>
        <v>48240.0</v>
      </c>
      <c r="R60" s="34" t="s">
        <v>51</v>
      </c>
      <c r="S60" s="35" t="n">
        <f>48140</f>
        <v>48140.0</v>
      </c>
      <c r="T60" s="32" t="n">
        <f>9</f>
        <v>9.0</v>
      </c>
      <c r="U60" s="32" t="str">
        <f>"－"</f>
        <v>－</v>
      </c>
      <c r="V60" s="32" t="n">
        <f>437360</f>
        <v>437360.0</v>
      </c>
      <c r="W60" s="32" t="str">
        <f>"－"</f>
        <v>－</v>
      </c>
      <c r="X60" s="36" t="n">
        <f>4</f>
        <v>4.0</v>
      </c>
    </row>
    <row r="61">
      <c r="A61" s="27" t="s">
        <v>42</v>
      </c>
      <c r="B61" s="27" t="s">
        <v>226</v>
      </c>
      <c r="C61" s="27" t="s">
        <v>227</v>
      </c>
      <c r="D61" s="27" t="s">
        <v>228</v>
      </c>
      <c r="E61" s="28" t="s">
        <v>46</v>
      </c>
      <c r="F61" s="29" t="s">
        <v>46</v>
      </c>
      <c r="G61" s="30" t="s">
        <v>46</v>
      </c>
      <c r="H61" s="31"/>
      <c r="I61" s="31" t="s">
        <v>47</v>
      </c>
      <c r="J61" s="32" t="n">
        <v>1.0</v>
      </c>
      <c r="K61" s="33" t="n">
        <f>24895</f>
        <v>24895.0</v>
      </c>
      <c r="L61" s="34" t="s">
        <v>48</v>
      </c>
      <c r="M61" s="33" t="n">
        <f>24995</f>
        <v>24995.0</v>
      </c>
      <c r="N61" s="34" t="s">
        <v>59</v>
      </c>
      <c r="O61" s="33" t="n">
        <f>24500</f>
        <v>24500.0</v>
      </c>
      <c r="P61" s="34" t="s">
        <v>200</v>
      </c>
      <c r="Q61" s="33" t="n">
        <f>24810</f>
        <v>24810.0</v>
      </c>
      <c r="R61" s="34" t="s">
        <v>51</v>
      </c>
      <c r="S61" s="35" t="n">
        <f>24710.23</f>
        <v>24710.23</v>
      </c>
      <c r="T61" s="32" t="n">
        <f>260534</f>
        <v>260534.0</v>
      </c>
      <c r="U61" s="32" t="n">
        <f>230250</f>
        <v>230250.0</v>
      </c>
      <c r="V61" s="32" t="n">
        <f>6429825466</f>
        <v>6.429825466E9</v>
      </c>
      <c r="W61" s="32" t="n">
        <f>5680314106</f>
        <v>5.680314106E9</v>
      </c>
      <c r="X61" s="36" t="n">
        <f>22</f>
        <v>22.0</v>
      </c>
    </row>
    <row r="62">
      <c r="A62" s="27" t="s">
        <v>42</v>
      </c>
      <c r="B62" s="27" t="s">
        <v>229</v>
      </c>
      <c r="C62" s="27" t="s">
        <v>230</v>
      </c>
      <c r="D62" s="27" t="s">
        <v>231</v>
      </c>
      <c r="E62" s="28" t="s">
        <v>46</v>
      </c>
      <c r="F62" s="29" t="s">
        <v>46</v>
      </c>
      <c r="G62" s="30" t="s">
        <v>46</v>
      </c>
      <c r="H62" s="31"/>
      <c r="I62" s="31" t="s">
        <v>47</v>
      </c>
      <c r="J62" s="32" t="n">
        <v>1.0</v>
      </c>
      <c r="K62" s="33" t="n">
        <f>12835</f>
        <v>12835.0</v>
      </c>
      <c r="L62" s="34" t="s">
        <v>48</v>
      </c>
      <c r="M62" s="33" t="n">
        <f>12835</f>
        <v>12835.0</v>
      </c>
      <c r="N62" s="34" t="s">
        <v>48</v>
      </c>
      <c r="O62" s="33" t="n">
        <f>12665</f>
        <v>12665.0</v>
      </c>
      <c r="P62" s="34" t="s">
        <v>128</v>
      </c>
      <c r="Q62" s="33" t="n">
        <f>12755</f>
        <v>12755.0</v>
      </c>
      <c r="R62" s="34" t="s">
        <v>51</v>
      </c>
      <c r="S62" s="35" t="n">
        <f>12733.41</f>
        <v>12733.41</v>
      </c>
      <c r="T62" s="32" t="n">
        <f>401099</f>
        <v>401099.0</v>
      </c>
      <c r="U62" s="32" t="n">
        <f>277150</f>
        <v>277150.0</v>
      </c>
      <c r="V62" s="32" t="n">
        <f>5108184430</f>
        <v>5.10818443E9</v>
      </c>
      <c r="W62" s="32" t="n">
        <f>3532976030</f>
        <v>3.53297603E9</v>
      </c>
      <c r="X62" s="36" t="n">
        <f>22</f>
        <v>22.0</v>
      </c>
    </row>
    <row r="63">
      <c r="A63" s="27" t="s">
        <v>42</v>
      </c>
      <c r="B63" s="27" t="s">
        <v>232</v>
      </c>
      <c r="C63" s="27" t="s">
        <v>233</v>
      </c>
      <c r="D63" s="27" t="s">
        <v>234</v>
      </c>
      <c r="E63" s="28" t="s">
        <v>46</v>
      </c>
      <c r="F63" s="29" t="s">
        <v>46</v>
      </c>
      <c r="G63" s="30" t="s">
        <v>46</v>
      </c>
      <c r="H63" s="31"/>
      <c r="I63" s="31" t="s">
        <v>47</v>
      </c>
      <c r="J63" s="32" t="n">
        <v>1.0</v>
      </c>
      <c r="K63" s="33" t="n">
        <f>2107</f>
        <v>2107.0</v>
      </c>
      <c r="L63" s="34" t="s">
        <v>48</v>
      </c>
      <c r="M63" s="33" t="n">
        <f>2107</f>
        <v>2107.0</v>
      </c>
      <c r="N63" s="34" t="s">
        <v>48</v>
      </c>
      <c r="O63" s="33" t="n">
        <f>2005</f>
        <v>2005.0</v>
      </c>
      <c r="P63" s="34" t="s">
        <v>106</v>
      </c>
      <c r="Q63" s="33" t="n">
        <f>2085</f>
        <v>2085.0</v>
      </c>
      <c r="R63" s="34" t="s">
        <v>51</v>
      </c>
      <c r="S63" s="35" t="n">
        <f>2059.55</f>
        <v>2059.55</v>
      </c>
      <c r="T63" s="32" t="n">
        <f>7264233</f>
        <v>7264233.0</v>
      </c>
      <c r="U63" s="32" t="n">
        <f>2437513</f>
        <v>2437513.0</v>
      </c>
      <c r="V63" s="32" t="n">
        <f>14929590485</f>
        <v>1.4929590485E10</v>
      </c>
      <c r="W63" s="32" t="n">
        <f>5003562555</f>
        <v>5.003562555E9</v>
      </c>
      <c r="X63" s="36" t="n">
        <f>22</f>
        <v>22.0</v>
      </c>
    </row>
    <row r="64">
      <c r="A64" s="27" t="s">
        <v>42</v>
      </c>
      <c r="B64" s="27" t="s">
        <v>235</v>
      </c>
      <c r="C64" s="27" t="s">
        <v>236</v>
      </c>
      <c r="D64" s="27" t="s">
        <v>237</v>
      </c>
      <c r="E64" s="28" t="s">
        <v>46</v>
      </c>
      <c r="F64" s="29" t="s">
        <v>46</v>
      </c>
      <c r="G64" s="30" t="s">
        <v>46</v>
      </c>
      <c r="H64" s="31"/>
      <c r="I64" s="31" t="s">
        <v>47</v>
      </c>
      <c r="J64" s="32" t="n">
        <v>1.0</v>
      </c>
      <c r="K64" s="33" t="n">
        <f>2781</f>
        <v>2781.0</v>
      </c>
      <c r="L64" s="34" t="s">
        <v>48</v>
      </c>
      <c r="M64" s="33" t="n">
        <f>2869</f>
        <v>2869.0</v>
      </c>
      <c r="N64" s="34" t="s">
        <v>82</v>
      </c>
      <c r="O64" s="33" t="n">
        <f>2743</f>
        <v>2743.0</v>
      </c>
      <c r="P64" s="34" t="s">
        <v>50</v>
      </c>
      <c r="Q64" s="33" t="n">
        <f>2859</f>
        <v>2859.0</v>
      </c>
      <c r="R64" s="34" t="s">
        <v>51</v>
      </c>
      <c r="S64" s="35" t="n">
        <f>2813.55</f>
        <v>2813.55</v>
      </c>
      <c r="T64" s="32" t="n">
        <f>17326391</f>
        <v>1.7326391E7</v>
      </c>
      <c r="U64" s="32" t="n">
        <f>5833089</f>
        <v>5833089.0</v>
      </c>
      <c r="V64" s="32" t="n">
        <f>48723310085</f>
        <v>4.8723310085E10</v>
      </c>
      <c r="W64" s="32" t="n">
        <f>16392046885</f>
        <v>1.6392046885E10</v>
      </c>
      <c r="X64" s="36" t="n">
        <f>22</f>
        <v>22.0</v>
      </c>
    </row>
    <row r="65">
      <c r="A65" s="27" t="s">
        <v>42</v>
      </c>
      <c r="B65" s="27" t="s">
        <v>238</v>
      </c>
      <c r="C65" s="27" t="s">
        <v>239</v>
      </c>
      <c r="D65" s="27" t="s">
        <v>240</v>
      </c>
      <c r="E65" s="28" t="s">
        <v>46</v>
      </c>
      <c r="F65" s="29" t="s">
        <v>46</v>
      </c>
      <c r="G65" s="30" t="s">
        <v>46</v>
      </c>
      <c r="H65" s="31"/>
      <c r="I65" s="31" t="s">
        <v>47</v>
      </c>
      <c r="J65" s="32" t="n">
        <v>1.0</v>
      </c>
      <c r="K65" s="33" t="n">
        <f>7613</f>
        <v>7613.0</v>
      </c>
      <c r="L65" s="34" t="s">
        <v>48</v>
      </c>
      <c r="M65" s="33" t="n">
        <f>7689</f>
        <v>7689.0</v>
      </c>
      <c r="N65" s="34" t="s">
        <v>51</v>
      </c>
      <c r="O65" s="33" t="n">
        <f>7501</f>
        <v>7501.0</v>
      </c>
      <c r="P65" s="34" t="s">
        <v>75</v>
      </c>
      <c r="Q65" s="33" t="n">
        <f>7689</f>
        <v>7689.0</v>
      </c>
      <c r="R65" s="34" t="s">
        <v>51</v>
      </c>
      <c r="S65" s="35" t="n">
        <f>7613.82</f>
        <v>7613.82</v>
      </c>
      <c r="T65" s="32" t="n">
        <f>14174</f>
        <v>14174.0</v>
      </c>
      <c r="U65" s="32" t="n">
        <f>14000</f>
        <v>14000.0</v>
      </c>
      <c r="V65" s="32" t="n">
        <f>107409547</f>
        <v>1.07409547E8</v>
      </c>
      <c r="W65" s="32" t="n">
        <f>106092000</f>
        <v>1.06092E8</v>
      </c>
      <c r="X65" s="36" t="n">
        <f>11</f>
        <v>11.0</v>
      </c>
    </row>
    <row r="66">
      <c r="A66" s="27" t="s">
        <v>42</v>
      </c>
      <c r="B66" s="27" t="s">
        <v>241</v>
      </c>
      <c r="C66" s="27" t="s">
        <v>242</v>
      </c>
      <c r="D66" s="27" t="s">
        <v>243</v>
      </c>
      <c r="E66" s="28" t="s">
        <v>46</v>
      </c>
      <c r="F66" s="29" t="s">
        <v>46</v>
      </c>
      <c r="G66" s="30" t="s">
        <v>46</v>
      </c>
      <c r="H66" s="31"/>
      <c r="I66" s="31" t="s">
        <v>47</v>
      </c>
      <c r="J66" s="32" t="n">
        <v>1.0</v>
      </c>
      <c r="K66" s="33" t="n">
        <f>21870</f>
        <v>21870.0</v>
      </c>
      <c r="L66" s="34" t="s">
        <v>48</v>
      </c>
      <c r="M66" s="33" t="n">
        <f>22795</f>
        <v>22795.0</v>
      </c>
      <c r="N66" s="34" t="s">
        <v>82</v>
      </c>
      <c r="O66" s="33" t="n">
        <f>21660</f>
        <v>21660.0</v>
      </c>
      <c r="P66" s="34" t="s">
        <v>50</v>
      </c>
      <c r="Q66" s="33" t="n">
        <f>22410</f>
        <v>22410.0</v>
      </c>
      <c r="R66" s="34" t="s">
        <v>51</v>
      </c>
      <c r="S66" s="35" t="n">
        <f>22012.73</f>
        <v>22012.73</v>
      </c>
      <c r="T66" s="32" t="n">
        <f>3906</f>
        <v>3906.0</v>
      </c>
      <c r="U66" s="32" t="n">
        <f>186</f>
        <v>186.0</v>
      </c>
      <c r="V66" s="32" t="n">
        <f>86443718</f>
        <v>8.6443718E7</v>
      </c>
      <c r="W66" s="32" t="n">
        <f>4083993</f>
        <v>4083993.0</v>
      </c>
      <c r="X66" s="36" t="n">
        <f>22</f>
        <v>22.0</v>
      </c>
    </row>
    <row r="67">
      <c r="A67" s="27" t="s">
        <v>42</v>
      </c>
      <c r="B67" s="27" t="s">
        <v>244</v>
      </c>
      <c r="C67" s="27" t="s">
        <v>245</v>
      </c>
      <c r="D67" s="27" t="s">
        <v>246</v>
      </c>
      <c r="E67" s="28" t="s">
        <v>46</v>
      </c>
      <c r="F67" s="29" t="s">
        <v>46</v>
      </c>
      <c r="G67" s="30" t="s">
        <v>46</v>
      </c>
      <c r="H67" s="31"/>
      <c r="I67" s="31" t="s">
        <v>47</v>
      </c>
      <c r="J67" s="32" t="n">
        <v>1.0</v>
      </c>
      <c r="K67" s="33" t="n">
        <f>38760</f>
        <v>38760.0</v>
      </c>
      <c r="L67" s="34" t="s">
        <v>48</v>
      </c>
      <c r="M67" s="33" t="n">
        <f>40090</f>
        <v>40090.0</v>
      </c>
      <c r="N67" s="34" t="s">
        <v>49</v>
      </c>
      <c r="O67" s="33" t="n">
        <f>37810</f>
        <v>37810.0</v>
      </c>
      <c r="P67" s="34" t="s">
        <v>50</v>
      </c>
      <c r="Q67" s="33" t="n">
        <f>39730</f>
        <v>39730.0</v>
      </c>
      <c r="R67" s="34" t="s">
        <v>51</v>
      </c>
      <c r="S67" s="35" t="n">
        <f>39143.18</f>
        <v>39143.18</v>
      </c>
      <c r="T67" s="32" t="n">
        <f>77397</f>
        <v>77397.0</v>
      </c>
      <c r="U67" s="32" t="n">
        <f>43662</f>
        <v>43662.0</v>
      </c>
      <c r="V67" s="32" t="n">
        <f>3023671961</f>
        <v>3.023671961E9</v>
      </c>
      <c r="W67" s="32" t="n">
        <f>1705744341</f>
        <v>1.705744341E9</v>
      </c>
      <c r="X67" s="36" t="n">
        <f>22</f>
        <v>22.0</v>
      </c>
    </row>
    <row r="68">
      <c r="A68" s="27" t="s">
        <v>42</v>
      </c>
      <c r="B68" s="27" t="s">
        <v>247</v>
      </c>
      <c r="C68" s="27" t="s">
        <v>248</v>
      </c>
      <c r="D68" s="27" t="s">
        <v>249</v>
      </c>
      <c r="E68" s="28" t="s">
        <v>46</v>
      </c>
      <c r="F68" s="29" t="s">
        <v>46</v>
      </c>
      <c r="G68" s="30" t="s">
        <v>46</v>
      </c>
      <c r="H68" s="31"/>
      <c r="I68" s="31" t="s">
        <v>47</v>
      </c>
      <c r="J68" s="32" t="n">
        <v>1.0</v>
      </c>
      <c r="K68" s="33" t="n">
        <f>11465</f>
        <v>11465.0</v>
      </c>
      <c r="L68" s="34" t="s">
        <v>48</v>
      </c>
      <c r="M68" s="33" t="n">
        <f>11700</f>
        <v>11700.0</v>
      </c>
      <c r="N68" s="34" t="s">
        <v>51</v>
      </c>
      <c r="O68" s="33" t="n">
        <f>11155</f>
        <v>11155.0</v>
      </c>
      <c r="P68" s="34" t="s">
        <v>63</v>
      </c>
      <c r="Q68" s="33" t="n">
        <f>11665</f>
        <v>11665.0</v>
      </c>
      <c r="R68" s="34" t="s">
        <v>51</v>
      </c>
      <c r="S68" s="35" t="n">
        <f>11545</f>
        <v>11545.0</v>
      </c>
      <c r="T68" s="32" t="n">
        <f>10458</f>
        <v>10458.0</v>
      </c>
      <c r="U68" s="32" t="n">
        <f>49</f>
        <v>49.0</v>
      </c>
      <c r="V68" s="32" t="n">
        <f>120189807</f>
        <v>1.20189807E8</v>
      </c>
      <c r="W68" s="32" t="n">
        <f>565337</f>
        <v>565337.0</v>
      </c>
      <c r="X68" s="36" t="n">
        <f>22</f>
        <v>22.0</v>
      </c>
    </row>
    <row r="69">
      <c r="A69" s="27" t="s">
        <v>42</v>
      </c>
      <c r="B69" s="27" t="s">
        <v>250</v>
      </c>
      <c r="C69" s="27" t="s">
        <v>251</v>
      </c>
      <c r="D69" s="27" t="s">
        <v>252</v>
      </c>
      <c r="E69" s="28" t="s">
        <v>46</v>
      </c>
      <c r="F69" s="29" t="s">
        <v>46</v>
      </c>
      <c r="G69" s="30" t="s">
        <v>46</v>
      </c>
      <c r="H69" s="31"/>
      <c r="I69" s="31" t="s">
        <v>47</v>
      </c>
      <c r="J69" s="32" t="n">
        <v>1.0</v>
      </c>
      <c r="K69" s="33" t="n">
        <f>1765</f>
        <v>1765.0</v>
      </c>
      <c r="L69" s="34" t="s">
        <v>48</v>
      </c>
      <c r="M69" s="33" t="n">
        <f>1765</f>
        <v>1765.0</v>
      </c>
      <c r="N69" s="34" t="s">
        <v>48</v>
      </c>
      <c r="O69" s="33" t="n">
        <f>1737</f>
        <v>1737.0</v>
      </c>
      <c r="P69" s="34" t="s">
        <v>55</v>
      </c>
      <c r="Q69" s="33" t="n">
        <f>1750</f>
        <v>1750.0</v>
      </c>
      <c r="R69" s="34" t="s">
        <v>51</v>
      </c>
      <c r="S69" s="35" t="n">
        <f>1746.77</f>
        <v>1746.77</v>
      </c>
      <c r="T69" s="32" t="n">
        <f>845617</f>
        <v>845617.0</v>
      </c>
      <c r="U69" s="32" t="n">
        <f>389829</f>
        <v>389829.0</v>
      </c>
      <c r="V69" s="32" t="n">
        <f>1476455525</f>
        <v>1.476455525E9</v>
      </c>
      <c r="W69" s="32" t="n">
        <f>680313502</f>
        <v>6.80313502E8</v>
      </c>
      <c r="X69" s="36" t="n">
        <f>22</f>
        <v>22.0</v>
      </c>
    </row>
    <row r="70">
      <c r="A70" s="27" t="s">
        <v>42</v>
      </c>
      <c r="B70" s="27" t="s">
        <v>253</v>
      </c>
      <c r="C70" s="27" t="s">
        <v>254</v>
      </c>
      <c r="D70" s="27" t="s">
        <v>255</v>
      </c>
      <c r="E70" s="28" t="s">
        <v>46</v>
      </c>
      <c r="F70" s="29" t="s">
        <v>46</v>
      </c>
      <c r="G70" s="30" t="s">
        <v>46</v>
      </c>
      <c r="H70" s="31"/>
      <c r="I70" s="31" t="s">
        <v>47</v>
      </c>
      <c r="J70" s="32" t="n">
        <v>1.0</v>
      </c>
      <c r="K70" s="33" t="n">
        <f>1810</f>
        <v>1810.0</v>
      </c>
      <c r="L70" s="34" t="s">
        <v>48</v>
      </c>
      <c r="M70" s="33" t="n">
        <f>1816</f>
        <v>1816.0</v>
      </c>
      <c r="N70" s="34" t="s">
        <v>82</v>
      </c>
      <c r="O70" s="33" t="n">
        <f>1804</f>
        <v>1804.0</v>
      </c>
      <c r="P70" s="34" t="s">
        <v>128</v>
      </c>
      <c r="Q70" s="33" t="n">
        <f>1814</f>
        <v>1814.0</v>
      </c>
      <c r="R70" s="34" t="s">
        <v>51</v>
      </c>
      <c r="S70" s="35" t="n">
        <f>1808.59</f>
        <v>1808.59</v>
      </c>
      <c r="T70" s="32" t="n">
        <f>487283</f>
        <v>487283.0</v>
      </c>
      <c r="U70" s="32" t="n">
        <f>128706</f>
        <v>128706.0</v>
      </c>
      <c r="V70" s="32" t="n">
        <f>881644074</f>
        <v>8.81644074E8</v>
      </c>
      <c r="W70" s="32" t="n">
        <f>232763826</f>
        <v>2.32763826E8</v>
      </c>
      <c r="X70" s="36" t="n">
        <f>22</f>
        <v>22.0</v>
      </c>
    </row>
    <row r="71">
      <c r="A71" s="27" t="s">
        <v>42</v>
      </c>
      <c r="B71" s="27" t="s">
        <v>256</v>
      </c>
      <c r="C71" s="27" t="s">
        <v>257</v>
      </c>
      <c r="D71" s="27" t="s">
        <v>258</v>
      </c>
      <c r="E71" s="28" t="s">
        <v>46</v>
      </c>
      <c r="F71" s="29" t="s">
        <v>46</v>
      </c>
      <c r="G71" s="30" t="s">
        <v>46</v>
      </c>
      <c r="H71" s="31"/>
      <c r="I71" s="31" t="s">
        <v>47</v>
      </c>
      <c r="J71" s="32" t="n">
        <v>1.0</v>
      </c>
      <c r="K71" s="33" t="n">
        <f>27305</f>
        <v>27305.0</v>
      </c>
      <c r="L71" s="34" t="s">
        <v>48</v>
      </c>
      <c r="M71" s="33" t="n">
        <f>27985</f>
        <v>27985.0</v>
      </c>
      <c r="N71" s="34" t="s">
        <v>55</v>
      </c>
      <c r="O71" s="33" t="n">
        <f>27000</f>
        <v>27000.0</v>
      </c>
      <c r="P71" s="34" t="s">
        <v>48</v>
      </c>
      <c r="Q71" s="33" t="n">
        <f>27855</f>
        <v>27855.0</v>
      </c>
      <c r="R71" s="34" t="s">
        <v>51</v>
      </c>
      <c r="S71" s="35" t="n">
        <f>27544.52</f>
        <v>27544.52</v>
      </c>
      <c r="T71" s="32" t="n">
        <f>5609</f>
        <v>5609.0</v>
      </c>
      <c r="U71" s="32" t="n">
        <f>3504</f>
        <v>3504.0</v>
      </c>
      <c r="V71" s="32" t="n">
        <f>153993495</f>
        <v>1.53993495E8</v>
      </c>
      <c r="W71" s="32" t="n">
        <f>96147450</f>
        <v>9.614745E7</v>
      </c>
      <c r="X71" s="36" t="n">
        <f>21</f>
        <v>21.0</v>
      </c>
    </row>
    <row r="72">
      <c r="A72" s="27" t="s">
        <v>42</v>
      </c>
      <c r="B72" s="27" t="s">
        <v>259</v>
      </c>
      <c r="C72" s="27" t="s">
        <v>260</v>
      </c>
      <c r="D72" s="27" t="s">
        <v>261</v>
      </c>
      <c r="E72" s="28" t="s">
        <v>46</v>
      </c>
      <c r="F72" s="29" t="s">
        <v>46</v>
      </c>
      <c r="G72" s="30" t="s">
        <v>46</v>
      </c>
      <c r="H72" s="31"/>
      <c r="I72" s="31" t="s">
        <v>47</v>
      </c>
      <c r="J72" s="32" t="n">
        <v>1.0</v>
      </c>
      <c r="K72" s="33" t="n">
        <f>8945</f>
        <v>8945.0</v>
      </c>
      <c r="L72" s="34" t="s">
        <v>48</v>
      </c>
      <c r="M72" s="33" t="n">
        <f>9098</f>
        <v>9098.0</v>
      </c>
      <c r="N72" s="34" t="s">
        <v>51</v>
      </c>
      <c r="O72" s="33" t="n">
        <f>8923</f>
        <v>8923.0</v>
      </c>
      <c r="P72" s="34" t="s">
        <v>48</v>
      </c>
      <c r="Q72" s="33" t="n">
        <f>9040</f>
        <v>9040.0</v>
      </c>
      <c r="R72" s="34" t="s">
        <v>51</v>
      </c>
      <c r="S72" s="35" t="n">
        <f>8981.82</f>
        <v>8981.82</v>
      </c>
      <c r="T72" s="32" t="n">
        <f>6146</f>
        <v>6146.0</v>
      </c>
      <c r="U72" s="32" t="str">
        <f>"－"</f>
        <v>－</v>
      </c>
      <c r="V72" s="32" t="n">
        <f>55323348</f>
        <v>5.5323348E7</v>
      </c>
      <c r="W72" s="32" t="str">
        <f>"－"</f>
        <v>－</v>
      </c>
      <c r="X72" s="36" t="n">
        <f>22</f>
        <v>22.0</v>
      </c>
    </row>
    <row r="73">
      <c r="A73" s="27" t="s">
        <v>42</v>
      </c>
      <c r="B73" s="27" t="s">
        <v>262</v>
      </c>
      <c r="C73" s="27" t="s">
        <v>263</v>
      </c>
      <c r="D73" s="27" t="s">
        <v>264</v>
      </c>
      <c r="E73" s="28" t="s">
        <v>46</v>
      </c>
      <c r="F73" s="29" t="s">
        <v>46</v>
      </c>
      <c r="G73" s="30" t="s">
        <v>46</v>
      </c>
      <c r="H73" s="31"/>
      <c r="I73" s="31" t="s">
        <v>47</v>
      </c>
      <c r="J73" s="32" t="n">
        <v>1.0</v>
      </c>
      <c r="K73" s="33" t="n">
        <f>20235</f>
        <v>20235.0</v>
      </c>
      <c r="L73" s="34" t="s">
        <v>48</v>
      </c>
      <c r="M73" s="33" t="n">
        <f>21790</f>
        <v>21790.0</v>
      </c>
      <c r="N73" s="34" t="s">
        <v>49</v>
      </c>
      <c r="O73" s="33" t="n">
        <f>19870</f>
        <v>19870.0</v>
      </c>
      <c r="P73" s="34" t="s">
        <v>90</v>
      </c>
      <c r="Q73" s="33" t="n">
        <f>20805</f>
        <v>20805.0</v>
      </c>
      <c r="R73" s="34" t="s">
        <v>51</v>
      </c>
      <c r="S73" s="35" t="n">
        <f>20600.23</f>
        <v>20600.23</v>
      </c>
      <c r="T73" s="32" t="n">
        <f>12776466</f>
        <v>1.2776466E7</v>
      </c>
      <c r="U73" s="32" t="n">
        <f>673905</f>
        <v>673905.0</v>
      </c>
      <c r="V73" s="32" t="n">
        <f>265830927665</f>
        <v>2.65830927665E11</v>
      </c>
      <c r="W73" s="32" t="n">
        <f>14298323250</f>
        <v>1.429832325E10</v>
      </c>
      <c r="X73" s="36" t="n">
        <f>22</f>
        <v>22.0</v>
      </c>
    </row>
    <row r="74">
      <c r="A74" s="27" t="s">
        <v>42</v>
      </c>
      <c r="B74" s="27" t="s">
        <v>265</v>
      </c>
      <c r="C74" s="27" t="s">
        <v>266</v>
      </c>
      <c r="D74" s="27" t="s">
        <v>267</v>
      </c>
      <c r="E74" s="28" t="s">
        <v>46</v>
      </c>
      <c r="F74" s="29" t="s">
        <v>46</v>
      </c>
      <c r="G74" s="30" t="s">
        <v>46</v>
      </c>
      <c r="H74" s="31"/>
      <c r="I74" s="31" t="s">
        <v>47</v>
      </c>
      <c r="J74" s="32" t="n">
        <v>1.0</v>
      </c>
      <c r="K74" s="33" t="n">
        <f>7767</f>
        <v>7767.0</v>
      </c>
      <c r="L74" s="34" t="s">
        <v>48</v>
      </c>
      <c r="M74" s="33" t="n">
        <f>12770</f>
        <v>12770.0</v>
      </c>
      <c r="N74" s="34" t="s">
        <v>82</v>
      </c>
      <c r="O74" s="33" t="n">
        <f>7352</f>
        <v>7352.0</v>
      </c>
      <c r="P74" s="34" t="s">
        <v>86</v>
      </c>
      <c r="Q74" s="33" t="n">
        <f>11100</f>
        <v>11100.0</v>
      </c>
      <c r="R74" s="34" t="s">
        <v>51</v>
      </c>
      <c r="S74" s="35" t="n">
        <f>8903.55</f>
        <v>8903.55</v>
      </c>
      <c r="T74" s="32" t="n">
        <f>6165777</f>
        <v>6165777.0</v>
      </c>
      <c r="U74" s="32" t="n">
        <f>31583</f>
        <v>31583.0</v>
      </c>
      <c r="V74" s="32" t="n">
        <f>62206954422</f>
        <v>6.2206954422E10</v>
      </c>
      <c r="W74" s="32" t="n">
        <f>320604137</f>
        <v>3.20604137E8</v>
      </c>
      <c r="X74" s="36" t="n">
        <f>22</f>
        <v>22.0</v>
      </c>
    </row>
    <row r="75">
      <c r="A75" s="27" t="s">
        <v>42</v>
      </c>
      <c r="B75" s="27" t="s">
        <v>268</v>
      </c>
      <c r="C75" s="27" t="s">
        <v>269</v>
      </c>
      <c r="D75" s="27" t="s">
        <v>270</v>
      </c>
      <c r="E75" s="28" t="s">
        <v>46</v>
      </c>
      <c r="F75" s="29" t="s">
        <v>46</v>
      </c>
      <c r="G75" s="30" t="s">
        <v>46</v>
      </c>
      <c r="H75" s="31"/>
      <c r="I75" s="31" t="s">
        <v>47</v>
      </c>
      <c r="J75" s="32" t="n">
        <v>1.0</v>
      </c>
      <c r="K75" s="33" t="n">
        <f>26235</f>
        <v>26235.0</v>
      </c>
      <c r="L75" s="34" t="s">
        <v>48</v>
      </c>
      <c r="M75" s="33" t="n">
        <f>39700</f>
        <v>39700.0</v>
      </c>
      <c r="N75" s="34" t="s">
        <v>82</v>
      </c>
      <c r="O75" s="33" t="n">
        <f>25655</f>
        <v>25655.0</v>
      </c>
      <c r="P75" s="34" t="s">
        <v>86</v>
      </c>
      <c r="Q75" s="33" t="n">
        <f>36550</f>
        <v>36550.0</v>
      </c>
      <c r="R75" s="34" t="s">
        <v>51</v>
      </c>
      <c r="S75" s="35" t="n">
        <f>30127.5</f>
        <v>30127.5</v>
      </c>
      <c r="T75" s="32" t="n">
        <f>5937758</f>
        <v>5937758.0</v>
      </c>
      <c r="U75" s="32" t="n">
        <f>34481</f>
        <v>34481.0</v>
      </c>
      <c r="V75" s="32" t="n">
        <f>191898951730</f>
        <v>1.9189895173E11</v>
      </c>
      <c r="W75" s="32" t="n">
        <f>1098465895</f>
        <v>1.098465895E9</v>
      </c>
      <c r="X75" s="36" t="n">
        <f>22</f>
        <v>22.0</v>
      </c>
    </row>
    <row r="76">
      <c r="A76" s="27" t="s">
        <v>42</v>
      </c>
      <c r="B76" s="27" t="s">
        <v>271</v>
      </c>
      <c r="C76" s="27" t="s">
        <v>272</v>
      </c>
      <c r="D76" s="27" t="s">
        <v>273</v>
      </c>
      <c r="E76" s="28" t="s">
        <v>46</v>
      </c>
      <c r="F76" s="29" t="s">
        <v>46</v>
      </c>
      <c r="G76" s="30" t="s">
        <v>46</v>
      </c>
      <c r="H76" s="31"/>
      <c r="I76" s="31" t="s">
        <v>47</v>
      </c>
      <c r="J76" s="32" t="n">
        <v>1.0</v>
      </c>
      <c r="K76" s="33" t="n">
        <f>65630</f>
        <v>65630.0</v>
      </c>
      <c r="L76" s="34" t="s">
        <v>48</v>
      </c>
      <c r="M76" s="33" t="n">
        <f>88990</f>
        <v>88990.0</v>
      </c>
      <c r="N76" s="34" t="s">
        <v>82</v>
      </c>
      <c r="O76" s="33" t="n">
        <f>62670</f>
        <v>62670.0</v>
      </c>
      <c r="P76" s="34" t="s">
        <v>48</v>
      </c>
      <c r="Q76" s="33" t="n">
        <f>76430</f>
        <v>76430.0</v>
      </c>
      <c r="R76" s="34" t="s">
        <v>51</v>
      </c>
      <c r="S76" s="35" t="n">
        <f>72016.36</f>
        <v>72016.36</v>
      </c>
      <c r="T76" s="32" t="n">
        <f>93679</f>
        <v>93679.0</v>
      </c>
      <c r="U76" s="32" t="n">
        <f>2032</f>
        <v>2032.0</v>
      </c>
      <c r="V76" s="32" t="n">
        <f>7175762804</f>
        <v>7.175762804E9</v>
      </c>
      <c r="W76" s="32" t="n">
        <f>153110624</f>
        <v>1.53110624E8</v>
      </c>
      <c r="X76" s="36" t="n">
        <f>22</f>
        <v>22.0</v>
      </c>
    </row>
    <row r="77">
      <c r="A77" s="27" t="s">
        <v>42</v>
      </c>
      <c r="B77" s="27" t="s">
        <v>274</v>
      </c>
      <c r="C77" s="27" t="s">
        <v>275</v>
      </c>
      <c r="D77" s="27" t="s">
        <v>276</v>
      </c>
      <c r="E77" s="28" t="s">
        <v>46</v>
      </c>
      <c r="F77" s="29" t="s">
        <v>46</v>
      </c>
      <c r="G77" s="30" t="s">
        <v>46</v>
      </c>
      <c r="H77" s="31"/>
      <c r="I77" s="31" t="s">
        <v>47</v>
      </c>
      <c r="J77" s="32" t="n">
        <v>1.0</v>
      </c>
      <c r="K77" s="33" t="n">
        <f>40060</f>
        <v>40060.0</v>
      </c>
      <c r="L77" s="34" t="s">
        <v>48</v>
      </c>
      <c r="M77" s="33" t="n">
        <f>40660</f>
        <v>40660.0</v>
      </c>
      <c r="N77" s="34" t="s">
        <v>128</v>
      </c>
      <c r="O77" s="33" t="n">
        <f>38750</f>
        <v>38750.0</v>
      </c>
      <c r="P77" s="34" t="s">
        <v>67</v>
      </c>
      <c r="Q77" s="33" t="n">
        <f>40150</f>
        <v>40150.0</v>
      </c>
      <c r="R77" s="34" t="s">
        <v>51</v>
      </c>
      <c r="S77" s="35" t="n">
        <f>40012.27</f>
        <v>40012.27</v>
      </c>
      <c r="T77" s="32" t="n">
        <f>669307</f>
        <v>669307.0</v>
      </c>
      <c r="U77" s="32" t="n">
        <f>19591</f>
        <v>19591.0</v>
      </c>
      <c r="V77" s="32" t="n">
        <f>26812385370</f>
        <v>2.681238537E10</v>
      </c>
      <c r="W77" s="32" t="n">
        <f>786924370</f>
        <v>7.8692437E8</v>
      </c>
      <c r="X77" s="36" t="n">
        <f>22</f>
        <v>22.0</v>
      </c>
    </row>
    <row r="78">
      <c r="A78" s="27" t="s">
        <v>42</v>
      </c>
      <c r="B78" s="27" t="s">
        <v>277</v>
      </c>
      <c r="C78" s="27" t="s">
        <v>278</v>
      </c>
      <c r="D78" s="27" t="s">
        <v>279</v>
      </c>
      <c r="E78" s="28" t="s">
        <v>46</v>
      </c>
      <c r="F78" s="29" t="s">
        <v>46</v>
      </c>
      <c r="G78" s="30" t="s">
        <v>46</v>
      </c>
      <c r="H78" s="31"/>
      <c r="I78" s="31" t="s">
        <v>47</v>
      </c>
      <c r="J78" s="32" t="n">
        <v>1.0</v>
      </c>
      <c r="K78" s="33" t="n">
        <f>72410</f>
        <v>72410.0</v>
      </c>
      <c r="L78" s="34" t="s">
        <v>48</v>
      </c>
      <c r="M78" s="33" t="n">
        <f>74350</f>
        <v>74350.0</v>
      </c>
      <c r="N78" s="34" t="s">
        <v>82</v>
      </c>
      <c r="O78" s="33" t="n">
        <f>71530</f>
        <v>71530.0</v>
      </c>
      <c r="P78" s="34" t="s">
        <v>181</v>
      </c>
      <c r="Q78" s="33" t="n">
        <f>73600</f>
        <v>73600.0</v>
      </c>
      <c r="R78" s="34" t="s">
        <v>51</v>
      </c>
      <c r="S78" s="35" t="n">
        <f>72962.27</f>
        <v>72962.27</v>
      </c>
      <c r="T78" s="32" t="n">
        <f>50327</f>
        <v>50327.0</v>
      </c>
      <c r="U78" s="32" t="n">
        <f>98</f>
        <v>98.0</v>
      </c>
      <c r="V78" s="32" t="n">
        <f>3656006239</f>
        <v>3.656006239E9</v>
      </c>
      <c r="W78" s="32" t="n">
        <f>7197129</f>
        <v>7197129.0</v>
      </c>
      <c r="X78" s="36" t="n">
        <f>22</f>
        <v>22.0</v>
      </c>
    </row>
    <row r="79">
      <c r="A79" s="27" t="s">
        <v>42</v>
      </c>
      <c r="B79" s="27" t="s">
        <v>280</v>
      </c>
      <c r="C79" s="27" t="s">
        <v>281</v>
      </c>
      <c r="D79" s="27" t="s">
        <v>282</v>
      </c>
      <c r="E79" s="28" t="s">
        <v>46</v>
      </c>
      <c r="F79" s="29" t="s">
        <v>46</v>
      </c>
      <c r="G79" s="30" t="s">
        <v>46</v>
      </c>
      <c r="H79" s="31"/>
      <c r="I79" s="31" t="s">
        <v>47</v>
      </c>
      <c r="J79" s="32" t="n">
        <v>1.0</v>
      </c>
      <c r="K79" s="33" t="n">
        <f>11645</f>
        <v>11645.0</v>
      </c>
      <c r="L79" s="34" t="s">
        <v>48</v>
      </c>
      <c r="M79" s="33" t="n">
        <f>11855</f>
        <v>11855.0</v>
      </c>
      <c r="N79" s="34" t="s">
        <v>49</v>
      </c>
      <c r="O79" s="33" t="n">
        <f>11415</f>
        <v>11415.0</v>
      </c>
      <c r="P79" s="34" t="s">
        <v>67</v>
      </c>
      <c r="Q79" s="33" t="n">
        <f>11775</f>
        <v>11775.0</v>
      </c>
      <c r="R79" s="34" t="s">
        <v>51</v>
      </c>
      <c r="S79" s="35" t="n">
        <f>11655</f>
        <v>11655.0</v>
      </c>
      <c r="T79" s="32" t="n">
        <f>596190</f>
        <v>596190.0</v>
      </c>
      <c r="U79" s="32" t="n">
        <f>101855</f>
        <v>101855.0</v>
      </c>
      <c r="V79" s="32" t="n">
        <f>6963732505</f>
        <v>6.963732505E9</v>
      </c>
      <c r="W79" s="32" t="n">
        <f>1187129365</f>
        <v>1.187129365E9</v>
      </c>
      <c r="X79" s="36" t="n">
        <f>22</f>
        <v>22.0</v>
      </c>
    </row>
    <row r="80">
      <c r="A80" s="27" t="s">
        <v>42</v>
      </c>
      <c r="B80" s="27" t="s">
        <v>283</v>
      </c>
      <c r="C80" s="27" t="s">
        <v>284</v>
      </c>
      <c r="D80" s="27" t="s">
        <v>285</v>
      </c>
      <c r="E80" s="28" t="s">
        <v>46</v>
      </c>
      <c r="F80" s="29" t="s">
        <v>46</v>
      </c>
      <c r="G80" s="30" t="s">
        <v>46</v>
      </c>
      <c r="H80" s="31"/>
      <c r="I80" s="31" t="s">
        <v>47</v>
      </c>
      <c r="J80" s="32" t="n">
        <v>1.0</v>
      </c>
      <c r="K80" s="33" t="n">
        <f>7157</f>
        <v>7157.0</v>
      </c>
      <c r="L80" s="34" t="s">
        <v>48</v>
      </c>
      <c r="M80" s="33" t="n">
        <f>7276</f>
        <v>7276.0</v>
      </c>
      <c r="N80" s="34" t="s">
        <v>49</v>
      </c>
      <c r="O80" s="33" t="n">
        <f>7001</f>
        <v>7001.0</v>
      </c>
      <c r="P80" s="34" t="s">
        <v>67</v>
      </c>
      <c r="Q80" s="33" t="n">
        <f>7201</f>
        <v>7201.0</v>
      </c>
      <c r="R80" s="34" t="s">
        <v>51</v>
      </c>
      <c r="S80" s="35" t="n">
        <f>7138.05</f>
        <v>7138.05</v>
      </c>
      <c r="T80" s="32" t="n">
        <f>246502</f>
        <v>246502.0</v>
      </c>
      <c r="U80" s="32" t="n">
        <f>51284</f>
        <v>51284.0</v>
      </c>
      <c r="V80" s="32" t="n">
        <f>1760489040</f>
        <v>1.76048904E9</v>
      </c>
      <c r="W80" s="32" t="n">
        <f>363858920</f>
        <v>3.6385892E8</v>
      </c>
      <c r="X80" s="36" t="n">
        <f>22</f>
        <v>22.0</v>
      </c>
    </row>
    <row r="81">
      <c r="A81" s="27" t="s">
        <v>42</v>
      </c>
      <c r="B81" s="27" t="s">
        <v>286</v>
      </c>
      <c r="C81" s="27" t="s">
        <v>287</v>
      </c>
      <c r="D81" s="27" t="s">
        <v>288</v>
      </c>
      <c r="E81" s="28" t="s">
        <v>46</v>
      </c>
      <c r="F81" s="29" t="s">
        <v>46</v>
      </c>
      <c r="G81" s="30" t="s">
        <v>46</v>
      </c>
      <c r="H81" s="31"/>
      <c r="I81" s="31" t="s">
        <v>47</v>
      </c>
      <c r="J81" s="32" t="n">
        <v>10.0</v>
      </c>
      <c r="K81" s="33" t="n">
        <f>6100</f>
        <v>6100.0</v>
      </c>
      <c r="L81" s="34" t="s">
        <v>48</v>
      </c>
      <c r="M81" s="33" t="n">
        <f>6233</f>
        <v>6233.0</v>
      </c>
      <c r="N81" s="34" t="s">
        <v>289</v>
      </c>
      <c r="O81" s="33" t="n">
        <f>5758</f>
        <v>5758.0</v>
      </c>
      <c r="P81" s="34" t="s">
        <v>90</v>
      </c>
      <c r="Q81" s="33" t="n">
        <f>6150</f>
        <v>6150.0</v>
      </c>
      <c r="R81" s="34" t="s">
        <v>51</v>
      </c>
      <c r="S81" s="35" t="n">
        <f>6060.55</f>
        <v>6060.55</v>
      </c>
      <c r="T81" s="32" t="n">
        <f>13480</f>
        <v>13480.0</v>
      </c>
      <c r="U81" s="32" t="n">
        <f>7340</f>
        <v>7340.0</v>
      </c>
      <c r="V81" s="32" t="n">
        <f>81717000</f>
        <v>8.1717E7</v>
      </c>
      <c r="W81" s="32" t="n">
        <f>44396160</f>
        <v>4.439616E7</v>
      </c>
      <c r="X81" s="36" t="n">
        <f>22</f>
        <v>22.0</v>
      </c>
    </row>
    <row r="82">
      <c r="A82" s="27" t="s">
        <v>42</v>
      </c>
      <c r="B82" s="27" t="s">
        <v>290</v>
      </c>
      <c r="C82" s="27" t="s">
        <v>291</v>
      </c>
      <c r="D82" s="27" t="s">
        <v>292</v>
      </c>
      <c r="E82" s="28" t="s">
        <v>46</v>
      </c>
      <c r="F82" s="29" t="s">
        <v>46</v>
      </c>
      <c r="G82" s="30" t="s">
        <v>46</v>
      </c>
      <c r="H82" s="31"/>
      <c r="I82" s="31" t="s">
        <v>47</v>
      </c>
      <c r="J82" s="32" t="n">
        <v>1.0</v>
      </c>
      <c r="K82" s="33" t="n">
        <f>5902</f>
        <v>5902.0</v>
      </c>
      <c r="L82" s="34" t="s">
        <v>48</v>
      </c>
      <c r="M82" s="33" t="n">
        <f>6080</f>
        <v>6080.0</v>
      </c>
      <c r="N82" s="34" t="s">
        <v>82</v>
      </c>
      <c r="O82" s="33" t="n">
        <f>5854</f>
        <v>5854.0</v>
      </c>
      <c r="P82" s="34" t="s">
        <v>48</v>
      </c>
      <c r="Q82" s="33" t="n">
        <f>6045</f>
        <v>6045.0</v>
      </c>
      <c r="R82" s="34" t="s">
        <v>51</v>
      </c>
      <c r="S82" s="35" t="n">
        <f>5955.41</f>
        <v>5955.41</v>
      </c>
      <c r="T82" s="32" t="n">
        <f>109330</f>
        <v>109330.0</v>
      </c>
      <c r="U82" s="32" t="n">
        <f>171</f>
        <v>171.0</v>
      </c>
      <c r="V82" s="32" t="n">
        <f>652439546</f>
        <v>6.52439546E8</v>
      </c>
      <c r="W82" s="32" t="n">
        <f>1014941</f>
        <v>1014941.0</v>
      </c>
      <c r="X82" s="36" t="n">
        <f>22</f>
        <v>22.0</v>
      </c>
    </row>
    <row r="83">
      <c r="A83" s="27" t="s">
        <v>42</v>
      </c>
      <c r="B83" s="27" t="s">
        <v>293</v>
      </c>
      <c r="C83" s="27" t="s">
        <v>294</v>
      </c>
      <c r="D83" s="27" t="s">
        <v>295</v>
      </c>
      <c r="E83" s="28" t="s">
        <v>46</v>
      </c>
      <c r="F83" s="29" t="s">
        <v>46</v>
      </c>
      <c r="G83" s="30" t="s">
        <v>46</v>
      </c>
      <c r="H83" s="31"/>
      <c r="I83" s="31" t="s">
        <v>47</v>
      </c>
      <c r="J83" s="32" t="n">
        <v>1.0</v>
      </c>
      <c r="K83" s="33" t="n">
        <f>2420</f>
        <v>2420.0</v>
      </c>
      <c r="L83" s="34" t="s">
        <v>48</v>
      </c>
      <c r="M83" s="33" t="n">
        <f>2575</f>
        <v>2575.0</v>
      </c>
      <c r="N83" s="34" t="s">
        <v>49</v>
      </c>
      <c r="O83" s="33" t="n">
        <f>2395</f>
        <v>2395.0</v>
      </c>
      <c r="P83" s="34" t="s">
        <v>48</v>
      </c>
      <c r="Q83" s="33" t="n">
        <f>2555</f>
        <v>2555.0</v>
      </c>
      <c r="R83" s="34" t="s">
        <v>51</v>
      </c>
      <c r="S83" s="35" t="n">
        <f>2468.77</f>
        <v>2468.77</v>
      </c>
      <c r="T83" s="32" t="n">
        <f>91050</f>
        <v>91050.0</v>
      </c>
      <c r="U83" s="32" t="n">
        <f>1190</f>
        <v>1190.0</v>
      </c>
      <c r="V83" s="32" t="n">
        <f>226082855</f>
        <v>2.26082855E8</v>
      </c>
      <c r="W83" s="32" t="n">
        <f>2733840</f>
        <v>2733840.0</v>
      </c>
      <c r="X83" s="36" t="n">
        <f>22</f>
        <v>22.0</v>
      </c>
    </row>
    <row r="84">
      <c r="A84" s="27" t="s">
        <v>42</v>
      </c>
      <c r="B84" s="27" t="s">
        <v>296</v>
      </c>
      <c r="C84" s="27" t="s">
        <v>297</v>
      </c>
      <c r="D84" s="27" t="s">
        <v>298</v>
      </c>
      <c r="E84" s="28" t="s">
        <v>46</v>
      </c>
      <c r="F84" s="29" t="s">
        <v>46</v>
      </c>
      <c r="G84" s="30" t="s">
        <v>46</v>
      </c>
      <c r="H84" s="31"/>
      <c r="I84" s="31" t="s">
        <v>47</v>
      </c>
      <c r="J84" s="32" t="n">
        <v>1.0</v>
      </c>
      <c r="K84" s="33" t="n">
        <f>106550</f>
        <v>106550.0</v>
      </c>
      <c r="L84" s="34" t="s">
        <v>48</v>
      </c>
      <c r="M84" s="33" t="n">
        <f>108100</f>
        <v>108100.0</v>
      </c>
      <c r="N84" s="34" t="s">
        <v>49</v>
      </c>
      <c r="O84" s="33" t="n">
        <f>104400</f>
        <v>104400.0</v>
      </c>
      <c r="P84" s="34" t="s">
        <v>67</v>
      </c>
      <c r="Q84" s="33" t="n">
        <f>107300</f>
        <v>107300.0</v>
      </c>
      <c r="R84" s="34" t="s">
        <v>51</v>
      </c>
      <c r="S84" s="35" t="n">
        <f>106470.45</f>
        <v>106470.45</v>
      </c>
      <c r="T84" s="32" t="n">
        <f>58928</f>
        <v>58928.0</v>
      </c>
      <c r="U84" s="32" t="n">
        <f>300</f>
        <v>300.0</v>
      </c>
      <c r="V84" s="32" t="n">
        <f>6282782778</f>
        <v>6.282782778E9</v>
      </c>
      <c r="W84" s="32" t="n">
        <f>31979378</f>
        <v>3.1979378E7</v>
      </c>
      <c r="X84" s="36" t="n">
        <f>22</f>
        <v>22.0</v>
      </c>
    </row>
    <row r="85">
      <c r="A85" s="27" t="s">
        <v>42</v>
      </c>
      <c r="B85" s="27" t="s">
        <v>299</v>
      </c>
      <c r="C85" s="27" t="s">
        <v>300</v>
      </c>
      <c r="D85" s="27" t="s">
        <v>301</v>
      </c>
      <c r="E85" s="28" t="s">
        <v>46</v>
      </c>
      <c r="F85" s="29" t="s">
        <v>46</v>
      </c>
      <c r="G85" s="30" t="s">
        <v>46</v>
      </c>
      <c r="H85" s="31"/>
      <c r="I85" s="31" t="s">
        <v>47</v>
      </c>
      <c r="J85" s="32" t="n">
        <v>1.0</v>
      </c>
      <c r="K85" s="33" t="n">
        <f>3684</f>
        <v>3684.0</v>
      </c>
      <c r="L85" s="34" t="s">
        <v>48</v>
      </c>
      <c r="M85" s="33" t="n">
        <f>3980</f>
        <v>3980.0</v>
      </c>
      <c r="N85" s="34" t="s">
        <v>82</v>
      </c>
      <c r="O85" s="33" t="n">
        <f>3670</f>
        <v>3670.0</v>
      </c>
      <c r="P85" s="34" t="s">
        <v>48</v>
      </c>
      <c r="Q85" s="33" t="n">
        <f>3817</f>
        <v>3817.0</v>
      </c>
      <c r="R85" s="34" t="s">
        <v>51</v>
      </c>
      <c r="S85" s="35" t="n">
        <f>3792</f>
        <v>3792.0</v>
      </c>
      <c r="T85" s="32" t="n">
        <f>20815</f>
        <v>20815.0</v>
      </c>
      <c r="U85" s="32" t="str">
        <f>"－"</f>
        <v>－</v>
      </c>
      <c r="V85" s="32" t="n">
        <f>78043644</f>
        <v>7.8043644E7</v>
      </c>
      <c r="W85" s="32" t="str">
        <f>"－"</f>
        <v>－</v>
      </c>
      <c r="X85" s="36" t="n">
        <f>22</f>
        <v>22.0</v>
      </c>
    </row>
    <row r="86">
      <c r="A86" s="27" t="s">
        <v>42</v>
      </c>
      <c r="B86" s="27" t="s">
        <v>302</v>
      </c>
      <c r="C86" s="27" t="s">
        <v>303</v>
      </c>
      <c r="D86" s="27" t="s">
        <v>304</v>
      </c>
      <c r="E86" s="28" t="s">
        <v>46</v>
      </c>
      <c r="F86" s="29" t="s">
        <v>46</v>
      </c>
      <c r="G86" s="30" t="s">
        <v>46</v>
      </c>
      <c r="H86" s="31"/>
      <c r="I86" s="31" t="s">
        <v>47</v>
      </c>
      <c r="J86" s="32" t="n">
        <v>1.0</v>
      </c>
      <c r="K86" s="33" t="n">
        <f>5880</f>
        <v>5880.0</v>
      </c>
      <c r="L86" s="34" t="s">
        <v>48</v>
      </c>
      <c r="M86" s="33" t="n">
        <f>6426</f>
        <v>6426.0</v>
      </c>
      <c r="N86" s="34" t="s">
        <v>210</v>
      </c>
      <c r="O86" s="33" t="n">
        <f>5720</f>
        <v>5720.0</v>
      </c>
      <c r="P86" s="34" t="s">
        <v>162</v>
      </c>
      <c r="Q86" s="33" t="n">
        <f>6340</f>
        <v>6340.0</v>
      </c>
      <c r="R86" s="34" t="s">
        <v>51</v>
      </c>
      <c r="S86" s="35" t="n">
        <f>6044.95</f>
        <v>6044.95</v>
      </c>
      <c r="T86" s="32" t="n">
        <f>19557</f>
        <v>19557.0</v>
      </c>
      <c r="U86" s="32" t="str">
        <f>"－"</f>
        <v>－</v>
      </c>
      <c r="V86" s="32" t="n">
        <f>115830453</f>
        <v>1.15830453E8</v>
      </c>
      <c r="W86" s="32" t="str">
        <f>"－"</f>
        <v>－</v>
      </c>
      <c r="X86" s="36" t="n">
        <f>22</f>
        <v>22.0</v>
      </c>
    </row>
    <row r="87">
      <c r="A87" s="27" t="s">
        <v>42</v>
      </c>
      <c r="B87" s="27" t="s">
        <v>305</v>
      </c>
      <c r="C87" s="27" t="s">
        <v>306</v>
      </c>
      <c r="D87" s="27" t="s">
        <v>307</v>
      </c>
      <c r="E87" s="28" t="s">
        <v>46</v>
      </c>
      <c r="F87" s="29" t="s">
        <v>46</v>
      </c>
      <c r="G87" s="30" t="s">
        <v>46</v>
      </c>
      <c r="H87" s="31"/>
      <c r="I87" s="31" t="s">
        <v>47</v>
      </c>
      <c r="J87" s="32" t="n">
        <v>1.0</v>
      </c>
      <c r="K87" s="33" t="n">
        <f>2131</f>
        <v>2131.0</v>
      </c>
      <c r="L87" s="34" t="s">
        <v>48</v>
      </c>
      <c r="M87" s="33" t="n">
        <f>2171</f>
        <v>2171.0</v>
      </c>
      <c r="N87" s="34" t="s">
        <v>82</v>
      </c>
      <c r="O87" s="33" t="n">
        <f>1988</f>
        <v>1988.0</v>
      </c>
      <c r="P87" s="34" t="s">
        <v>50</v>
      </c>
      <c r="Q87" s="33" t="n">
        <f>2114</f>
        <v>2114.0</v>
      </c>
      <c r="R87" s="34" t="s">
        <v>51</v>
      </c>
      <c r="S87" s="35" t="n">
        <f>2082.32</f>
        <v>2082.32</v>
      </c>
      <c r="T87" s="32" t="n">
        <f>581848</f>
        <v>581848.0</v>
      </c>
      <c r="U87" s="32" t="n">
        <f>722</f>
        <v>722.0</v>
      </c>
      <c r="V87" s="32" t="n">
        <f>1204672872</f>
        <v>1.204672872E9</v>
      </c>
      <c r="W87" s="32" t="n">
        <f>1483791</f>
        <v>1483791.0</v>
      </c>
      <c r="X87" s="36" t="n">
        <f>22</f>
        <v>22.0</v>
      </c>
    </row>
    <row r="88">
      <c r="A88" s="27" t="s">
        <v>42</v>
      </c>
      <c r="B88" s="27" t="s">
        <v>308</v>
      </c>
      <c r="C88" s="27" t="s">
        <v>309</v>
      </c>
      <c r="D88" s="27" t="s">
        <v>310</v>
      </c>
      <c r="E88" s="28" t="s">
        <v>46</v>
      </c>
      <c r="F88" s="29" t="s">
        <v>46</v>
      </c>
      <c r="G88" s="30" t="s">
        <v>46</v>
      </c>
      <c r="H88" s="31"/>
      <c r="I88" s="31" t="s">
        <v>47</v>
      </c>
      <c r="J88" s="32" t="n">
        <v>1.0</v>
      </c>
      <c r="K88" s="33" t="n">
        <f>53250</f>
        <v>53250.0</v>
      </c>
      <c r="L88" s="34" t="s">
        <v>48</v>
      </c>
      <c r="M88" s="33" t="n">
        <f>54910</f>
        <v>54910.0</v>
      </c>
      <c r="N88" s="34" t="s">
        <v>51</v>
      </c>
      <c r="O88" s="33" t="n">
        <f>53140</f>
        <v>53140.0</v>
      </c>
      <c r="P88" s="34" t="s">
        <v>106</v>
      </c>
      <c r="Q88" s="33" t="n">
        <f>54140</f>
        <v>54140.0</v>
      </c>
      <c r="R88" s="34" t="s">
        <v>51</v>
      </c>
      <c r="S88" s="35" t="n">
        <f>53740</f>
        <v>53740.0</v>
      </c>
      <c r="T88" s="32" t="n">
        <f>17134</f>
        <v>17134.0</v>
      </c>
      <c r="U88" s="32" t="n">
        <f>1177</f>
        <v>1177.0</v>
      </c>
      <c r="V88" s="32" t="n">
        <f>922516537</f>
        <v>9.22516537E8</v>
      </c>
      <c r="W88" s="32" t="n">
        <f>63481307</f>
        <v>6.3481307E7</v>
      </c>
      <c r="X88" s="36" t="n">
        <f>22</f>
        <v>22.0</v>
      </c>
    </row>
    <row r="89">
      <c r="A89" s="27" t="s">
        <v>42</v>
      </c>
      <c r="B89" s="27" t="s">
        <v>311</v>
      </c>
      <c r="C89" s="27" t="s">
        <v>312</v>
      </c>
      <c r="D89" s="27" t="s">
        <v>313</v>
      </c>
      <c r="E89" s="28" t="s">
        <v>46</v>
      </c>
      <c r="F89" s="29" t="s">
        <v>46</v>
      </c>
      <c r="G89" s="30" t="s">
        <v>46</v>
      </c>
      <c r="H89" s="31"/>
      <c r="I89" s="31" t="s">
        <v>47</v>
      </c>
      <c r="J89" s="32" t="n">
        <v>10.0</v>
      </c>
      <c r="K89" s="33" t="n">
        <f>702.5</f>
        <v>702.5</v>
      </c>
      <c r="L89" s="34" t="s">
        <v>48</v>
      </c>
      <c r="M89" s="33" t="n">
        <f>725</f>
        <v>725.0</v>
      </c>
      <c r="N89" s="34" t="s">
        <v>55</v>
      </c>
      <c r="O89" s="33" t="n">
        <f>680.7</f>
        <v>680.7</v>
      </c>
      <c r="P89" s="34" t="s">
        <v>50</v>
      </c>
      <c r="Q89" s="33" t="n">
        <f>713.6</f>
        <v>713.6</v>
      </c>
      <c r="R89" s="34" t="s">
        <v>51</v>
      </c>
      <c r="S89" s="35" t="n">
        <f>705.15</f>
        <v>705.15</v>
      </c>
      <c r="T89" s="32" t="n">
        <f>114928480</f>
        <v>1.1492848E8</v>
      </c>
      <c r="U89" s="32" t="n">
        <f>143970</f>
        <v>143970.0</v>
      </c>
      <c r="V89" s="32" t="n">
        <f>81249996710</f>
        <v>8.124999671E10</v>
      </c>
      <c r="W89" s="32" t="n">
        <f>101223154</f>
        <v>1.01223154E8</v>
      </c>
      <c r="X89" s="36" t="n">
        <f>22</f>
        <v>22.0</v>
      </c>
    </row>
    <row r="90">
      <c r="A90" s="27" t="s">
        <v>42</v>
      </c>
      <c r="B90" s="27" t="s">
        <v>314</v>
      </c>
      <c r="C90" s="27" t="s">
        <v>315</v>
      </c>
      <c r="D90" s="27" t="s">
        <v>316</v>
      </c>
      <c r="E90" s="28" t="s">
        <v>46</v>
      </c>
      <c r="F90" s="29" t="s">
        <v>46</v>
      </c>
      <c r="G90" s="30" t="s">
        <v>46</v>
      </c>
      <c r="H90" s="31"/>
      <c r="I90" s="31" t="s">
        <v>47</v>
      </c>
      <c r="J90" s="32" t="n">
        <v>10.0</v>
      </c>
      <c r="K90" s="33" t="n">
        <f>935</f>
        <v>935.0</v>
      </c>
      <c r="L90" s="34" t="s">
        <v>48</v>
      </c>
      <c r="M90" s="33" t="n">
        <f>948.1</f>
        <v>948.1</v>
      </c>
      <c r="N90" s="34" t="s">
        <v>50</v>
      </c>
      <c r="O90" s="33" t="n">
        <f>916.5</f>
        <v>916.5</v>
      </c>
      <c r="P90" s="34" t="s">
        <v>49</v>
      </c>
      <c r="Q90" s="33" t="n">
        <f>923.2</f>
        <v>923.2</v>
      </c>
      <c r="R90" s="34" t="s">
        <v>51</v>
      </c>
      <c r="S90" s="35" t="n">
        <f>930.23</f>
        <v>930.23</v>
      </c>
      <c r="T90" s="32" t="n">
        <f>2016260</f>
        <v>2016260.0</v>
      </c>
      <c r="U90" s="32" t="n">
        <f>9450</f>
        <v>9450.0</v>
      </c>
      <c r="V90" s="32" t="n">
        <f>1873114529</f>
        <v>1.873114529E9</v>
      </c>
      <c r="W90" s="32" t="n">
        <f>8884609</f>
        <v>8884609.0</v>
      </c>
      <c r="X90" s="36" t="n">
        <f>22</f>
        <v>22.0</v>
      </c>
    </row>
    <row r="91">
      <c r="A91" s="27" t="s">
        <v>42</v>
      </c>
      <c r="B91" s="27" t="s">
        <v>317</v>
      </c>
      <c r="C91" s="27" t="s">
        <v>318</v>
      </c>
      <c r="D91" s="27" t="s">
        <v>319</v>
      </c>
      <c r="E91" s="28" t="s">
        <v>46</v>
      </c>
      <c r="F91" s="29" t="s">
        <v>46</v>
      </c>
      <c r="G91" s="30" t="s">
        <v>46</v>
      </c>
      <c r="H91" s="31"/>
      <c r="I91" s="31" t="s">
        <v>47</v>
      </c>
      <c r="J91" s="32" t="n">
        <v>1.0</v>
      </c>
      <c r="K91" s="33" t="n">
        <f>43170</f>
        <v>43170.0</v>
      </c>
      <c r="L91" s="34" t="s">
        <v>48</v>
      </c>
      <c r="M91" s="33" t="n">
        <f>44490</f>
        <v>44490.0</v>
      </c>
      <c r="N91" s="34" t="s">
        <v>75</v>
      </c>
      <c r="O91" s="33" t="n">
        <f>40230</f>
        <v>40230.0</v>
      </c>
      <c r="P91" s="34" t="s">
        <v>67</v>
      </c>
      <c r="Q91" s="33" t="n">
        <f>43100</f>
        <v>43100.0</v>
      </c>
      <c r="R91" s="34" t="s">
        <v>51</v>
      </c>
      <c r="S91" s="35" t="n">
        <f>42837.73</f>
        <v>42837.73</v>
      </c>
      <c r="T91" s="32" t="n">
        <f>60537001</f>
        <v>6.0537001E7</v>
      </c>
      <c r="U91" s="32" t="n">
        <f>758961</f>
        <v>758961.0</v>
      </c>
      <c r="V91" s="32" t="n">
        <f>2595013492323</f>
        <v>2.595013492323E12</v>
      </c>
      <c r="W91" s="32" t="n">
        <f>32431583283</f>
        <v>3.2431583283E10</v>
      </c>
      <c r="X91" s="36" t="n">
        <f>22</f>
        <v>22.0</v>
      </c>
    </row>
    <row r="92">
      <c r="A92" s="27" t="s">
        <v>42</v>
      </c>
      <c r="B92" s="27" t="s">
        <v>320</v>
      </c>
      <c r="C92" s="27" t="s">
        <v>321</v>
      </c>
      <c r="D92" s="27" t="s">
        <v>322</v>
      </c>
      <c r="E92" s="28" t="s">
        <v>46</v>
      </c>
      <c r="F92" s="29" t="s">
        <v>46</v>
      </c>
      <c r="G92" s="30" t="s">
        <v>46</v>
      </c>
      <c r="H92" s="31"/>
      <c r="I92" s="31" t="s">
        <v>47</v>
      </c>
      <c r="J92" s="32" t="n">
        <v>1.0</v>
      </c>
      <c r="K92" s="33" t="n">
        <f>417</f>
        <v>417.0</v>
      </c>
      <c r="L92" s="34" t="s">
        <v>48</v>
      </c>
      <c r="M92" s="33" t="n">
        <f>432</f>
        <v>432.0</v>
      </c>
      <c r="N92" s="34" t="s">
        <v>67</v>
      </c>
      <c r="O92" s="33" t="n">
        <f>411</f>
        <v>411.0</v>
      </c>
      <c r="P92" s="34" t="s">
        <v>90</v>
      </c>
      <c r="Q92" s="33" t="n">
        <f>416</f>
        <v>416.0</v>
      </c>
      <c r="R92" s="34" t="s">
        <v>51</v>
      </c>
      <c r="S92" s="35" t="n">
        <f>418.5</f>
        <v>418.5</v>
      </c>
      <c r="T92" s="32" t="n">
        <f>28196134</f>
        <v>2.8196134E7</v>
      </c>
      <c r="U92" s="32" t="n">
        <f>6247767</f>
        <v>6247767.0</v>
      </c>
      <c r="V92" s="32" t="n">
        <f>11783119044</f>
        <v>1.1783119044E10</v>
      </c>
      <c r="W92" s="32" t="n">
        <f>2606131565</f>
        <v>2.606131565E9</v>
      </c>
      <c r="X92" s="36" t="n">
        <f>22</f>
        <v>22.0</v>
      </c>
    </row>
    <row r="93">
      <c r="A93" s="27" t="s">
        <v>42</v>
      </c>
      <c r="B93" s="27" t="s">
        <v>323</v>
      </c>
      <c r="C93" s="27" t="s">
        <v>324</v>
      </c>
      <c r="D93" s="27" t="s">
        <v>325</v>
      </c>
      <c r="E93" s="28" t="s">
        <v>46</v>
      </c>
      <c r="F93" s="29" t="s">
        <v>46</v>
      </c>
      <c r="G93" s="30" t="s">
        <v>46</v>
      </c>
      <c r="H93" s="31"/>
      <c r="I93" s="31" t="s">
        <v>47</v>
      </c>
      <c r="J93" s="32" t="n">
        <v>10.0</v>
      </c>
      <c r="K93" s="33" t="n">
        <f>8255</f>
        <v>8255.0</v>
      </c>
      <c r="L93" s="34" t="s">
        <v>48</v>
      </c>
      <c r="M93" s="33" t="n">
        <f>8380</f>
        <v>8380.0</v>
      </c>
      <c r="N93" s="34" t="s">
        <v>181</v>
      </c>
      <c r="O93" s="33" t="n">
        <f>7460</f>
        <v>7460.0</v>
      </c>
      <c r="P93" s="34" t="s">
        <v>200</v>
      </c>
      <c r="Q93" s="33" t="n">
        <f>8006</f>
        <v>8006.0</v>
      </c>
      <c r="R93" s="34" t="s">
        <v>51</v>
      </c>
      <c r="S93" s="35" t="n">
        <f>7950.64</f>
        <v>7950.64</v>
      </c>
      <c r="T93" s="32" t="n">
        <f>107060</f>
        <v>107060.0</v>
      </c>
      <c r="U93" s="32" t="str">
        <f>"－"</f>
        <v>－</v>
      </c>
      <c r="V93" s="32" t="n">
        <f>851057380</f>
        <v>8.5105738E8</v>
      </c>
      <c r="W93" s="32" t="str">
        <f>"－"</f>
        <v>－</v>
      </c>
      <c r="X93" s="36" t="n">
        <f>22</f>
        <v>22.0</v>
      </c>
    </row>
    <row r="94">
      <c r="A94" s="27" t="s">
        <v>42</v>
      </c>
      <c r="B94" s="27" t="s">
        <v>326</v>
      </c>
      <c r="C94" s="27" t="s">
        <v>327</v>
      </c>
      <c r="D94" s="27" t="s">
        <v>328</v>
      </c>
      <c r="E94" s="28" t="s">
        <v>46</v>
      </c>
      <c r="F94" s="29" t="s">
        <v>46</v>
      </c>
      <c r="G94" s="30" t="s">
        <v>46</v>
      </c>
      <c r="H94" s="31"/>
      <c r="I94" s="31" t="s">
        <v>47</v>
      </c>
      <c r="J94" s="32" t="n">
        <v>10.0</v>
      </c>
      <c r="K94" s="33" t="n">
        <f>7742</f>
        <v>7742.0</v>
      </c>
      <c r="L94" s="34" t="s">
        <v>48</v>
      </c>
      <c r="M94" s="33" t="n">
        <f>8092</f>
        <v>8092.0</v>
      </c>
      <c r="N94" s="34" t="s">
        <v>67</v>
      </c>
      <c r="O94" s="33" t="n">
        <f>7633</f>
        <v>7633.0</v>
      </c>
      <c r="P94" s="34" t="s">
        <v>181</v>
      </c>
      <c r="Q94" s="33" t="n">
        <f>7850</f>
        <v>7850.0</v>
      </c>
      <c r="R94" s="34" t="s">
        <v>51</v>
      </c>
      <c r="S94" s="35" t="n">
        <f>7875.59</f>
        <v>7875.59</v>
      </c>
      <c r="T94" s="32" t="n">
        <f>19530</f>
        <v>19530.0</v>
      </c>
      <c r="U94" s="32" t="str">
        <f>"－"</f>
        <v>－</v>
      </c>
      <c r="V94" s="32" t="n">
        <f>154176980</f>
        <v>1.5417698E8</v>
      </c>
      <c r="W94" s="32" t="str">
        <f>"－"</f>
        <v>－</v>
      </c>
      <c r="X94" s="36" t="n">
        <f>22</f>
        <v>22.0</v>
      </c>
    </row>
    <row r="95">
      <c r="A95" s="27" t="s">
        <v>42</v>
      </c>
      <c r="B95" s="27" t="s">
        <v>329</v>
      </c>
      <c r="C95" s="27" t="s">
        <v>330</v>
      </c>
      <c r="D95" s="27" t="s">
        <v>331</v>
      </c>
      <c r="E95" s="28" t="s">
        <v>46</v>
      </c>
      <c r="F95" s="29" t="s">
        <v>46</v>
      </c>
      <c r="G95" s="30" t="s">
        <v>46</v>
      </c>
      <c r="H95" s="31"/>
      <c r="I95" s="31" t="s">
        <v>47</v>
      </c>
      <c r="J95" s="32" t="n">
        <v>1.0</v>
      </c>
      <c r="K95" s="33" t="n">
        <f>47380</f>
        <v>47380.0</v>
      </c>
      <c r="L95" s="34" t="s">
        <v>48</v>
      </c>
      <c r="M95" s="33" t="n">
        <f>49510</f>
        <v>49510.0</v>
      </c>
      <c r="N95" s="34" t="s">
        <v>82</v>
      </c>
      <c r="O95" s="33" t="n">
        <f>46870</f>
        <v>46870.0</v>
      </c>
      <c r="P95" s="34" t="s">
        <v>50</v>
      </c>
      <c r="Q95" s="33" t="n">
        <f>49320</f>
        <v>49320.0</v>
      </c>
      <c r="R95" s="34" t="s">
        <v>51</v>
      </c>
      <c r="S95" s="35" t="n">
        <f>48320.91</f>
        <v>48320.91</v>
      </c>
      <c r="T95" s="32" t="n">
        <f>201164</f>
        <v>201164.0</v>
      </c>
      <c r="U95" s="32" t="n">
        <f>122454</f>
        <v>122454.0</v>
      </c>
      <c r="V95" s="32" t="n">
        <f>9722950004</f>
        <v>9.722950004E9</v>
      </c>
      <c r="W95" s="32" t="n">
        <f>5910989524</f>
        <v>5.910989524E9</v>
      </c>
      <c r="X95" s="36" t="n">
        <f>22</f>
        <v>22.0</v>
      </c>
    </row>
    <row r="96">
      <c r="A96" s="27" t="s">
        <v>42</v>
      </c>
      <c r="B96" s="27" t="s">
        <v>332</v>
      </c>
      <c r="C96" s="27" t="s">
        <v>333</v>
      </c>
      <c r="D96" s="27" t="s">
        <v>334</v>
      </c>
      <c r="E96" s="28" t="s">
        <v>46</v>
      </c>
      <c r="F96" s="29" t="s">
        <v>46</v>
      </c>
      <c r="G96" s="30" t="s">
        <v>46</v>
      </c>
      <c r="H96" s="31"/>
      <c r="I96" s="31" t="s">
        <v>47</v>
      </c>
      <c r="J96" s="32" t="n">
        <v>1.0</v>
      </c>
      <c r="K96" s="33" t="n">
        <f>4030</f>
        <v>4030.0</v>
      </c>
      <c r="L96" s="34" t="s">
        <v>48</v>
      </c>
      <c r="M96" s="33" t="n">
        <f>4101</f>
        <v>4101.0</v>
      </c>
      <c r="N96" s="34" t="s">
        <v>75</v>
      </c>
      <c r="O96" s="33" t="n">
        <f>3904</f>
        <v>3904.0</v>
      </c>
      <c r="P96" s="34" t="s">
        <v>67</v>
      </c>
      <c r="Q96" s="33" t="n">
        <f>4055</f>
        <v>4055.0</v>
      </c>
      <c r="R96" s="34" t="s">
        <v>51</v>
      </c>
      <c r="S96" s="35" t="n">
        <f>4028.27</f>
        <v>4028.27</v>
      </c>
      <c r="T96" s="32" t="n">
        <f>564087</f>
        <v>564087.0</v>
      </c>
      <c r="U96" s="32" t="n">
        <f>449761</f>
        <v>449761.0</v>
      </c>
      <c r="V96" s="32" t="n">
        <f>2278787629</f>
        <v>2.278787629E9</v>
      </c>
      <c r="W96" s="32" t="n">
        <f>1819857443</f>
        <v>1.819857443E9</v>
      </c>
      <c r="X96" s="36" t="n">
        <f>22</f>
        <v>22.0</v>
      </c>
    </row>
    <row r="97">
      <c r="A97" s="27" t="s">
        <v>42</v>
      </c>
      <c r="B97" s="27" t="s">
        <v>335</v>
      </c>
      <c r="C97" s="27" t="s">
        <v>336</v>
      </c>
      <c r="D97" s="27" t="s">
        <v>337</v>
      </c>
      <c r="E97" s="28" t="s">
        <v>46</v>
      </c>
      <c r="F97" s="29" t="s">
        <v>46</v>
      </c>
      <c r="G97" s="30" t="s">
        <v>46</v>
      </c>
      <c r="H97" s="31"/>
      <c r="I97" s="31" t="s">
        <v>47</v>
      </c>
      <c r="J97" s="32" t="n">
        <v>10.0</v>
      </c>
      <c r="K97" s="33" t="n">
        <f>464.2</f>
        <v>464.2</v>
      </c>
      <c r="L97" s="34" t="s">
        <v>48</v>
      </c>
      <c r="M97" s="33" t="n">
        <f>478.6</f>
        <v>478.6</v>
      </c>
      <c r="N97" s="34" t="s">
        <v>75</v>
      </c>
      <c r="O97" s="33" t="n">
        <f>432.8</f>
        <v>432.8</v>
      </c>
      <c r="P97" s="34" t="s">
        <v>67</v>
      </c>
      <c r="Q97" s="33" t="n">
        <f>463.7</f>
        <v>463.7</v>
      </c>
      <c r="R97" s="34" t="s">
        <v>51</v>
      </c>
      <c r="S97" s="35" t="n">
        <f>460.77</f>
        <v>460.77</v>
      </c>
      <c r="T97" s="32" t="n">
        <f>439139830</f>
        <v>4.3913983E8</v>
      </c>
      <c r="U97" s="32" t="n">
        <f>10058510</f>
        <v>1.005851E7</v>
      </c>
      <c r="V97" s="32" t="n">
        <f>202390976329</f>
        <v>2.02390976329E11</v>
      </c>
      <c r="W97" s="32" t="n">
        <f>4613196760</f>
        <v>4.61319676E9</v>
      </c>
      <c r="X97" s="36" t="n">
        <f>22</f>
        <v>22.0</v>
      </c>
    </row>
    <row r="98">
      <c r="A98" s="27" t="s">
        <v>42</v>
      </c>
      <c r="B98" s="27" t="s">
        <v>338</v>
      </c>
      <c r="C98" s="27" t="s">
        <v>339</v>
      </c>
      <c r="D98" s="27" t="s">
        <v>340</v>
      </c>
      <c r="E98" s="28" t="s">
        <v>46</v>
      </c>
      <c r="F98" s="29" t="s">
        <v>46</v>
      </c>
      <c r="G98" s="30" t="s">
        <v>46</v>
      </c>
      <c r="H98" s="31"/>
      <c r="I98" s="31" t="s">
        <v>47</v>
      </c>
      <c r="J98" s="32" t="n">
        <v>10.0</v>
      </c>
      <c r="K98" s="33" t="n">
        <f>1110.5</f>
        <v>1110.5</v>
      </c>
      <c r="L98" s="34" t="s">
        <v>48</v>
      </c>
      <c r="M98" s="33" t="n">
        <f>1145.5</f>
        <v>1145.5</v>
      </c>
      <c r="N98" s="34" t="s">
        <v>67</v>
      </c>
      <c r="O98" s="33" t="n">
        <f>1090</f>
        <v>1090.0</v>
      </c>
      <c r="P98" s="34" t="s">
        <v>75</v>
      </c>
      <c r="Q98" s="33" t="n">
        <f>1105.5</f>
        <v>1105.5</v>
      </c>
      <c r="R98" s="34" t="s">
        <v>51</v>
      </c>
      <c r="S98" s="35" t="n">
        <f>1111.05</f>
        <v>1111.05</v>
      </c>
      <c r="T98" s="32" t="n">
        <f>3942740</f>
        <v>3942740.0</v>
      </c>
      <c r="U98" s="32" t="n">
        <f>524210</f>
        <v>524210.0</v>
      </c>
      <c r="V98" s="32" t="n">
        <f>4383136297</f>
        <v>4.383136297E9</v>
      </c>
      <c r="W98" s="32" t="n">
        <f>580276132</f>
        <v>5.80276132E8</v>
      </c>
      <c r="X98" s="36" t="n">
        <f>22</f>
        <v>22.0</v>
      </c>
    </row>
    <row r="99">
      <c r="A99" s="27" t="s">
        <v>42</v>
      </c>
      <c r="B99" s="27" t="s">
        <v>341</v>
      </c>
      <c r="C99" s="27" t="s">
        <v>342</v>
      </c>
      <c r="D99" s="27" t="s">
        <v>343</v>
      </c>
      <c r="E99" s="28" t="s">
        <v>46</v>
      </c>
      <c r="F99" s="29" t="s">
        <v>46</v>
      </c>
      <c r="G99" s="30" t="s">
        <v>46</v>
      </c>
      <c r="H99" s="31"/>
      <c r="I99" s="31" t="s">
        <v>47</v>
      </c>
      <c r="J99" s="32" t="n">
        <v>10.0</v>
      </c>
      <c r="K99" s="33" t="n">
        <f>2355.5</f>
        <v>2355.5</v>
      </c>
      <c r="L99" s="34" t="s">
        <v>48</v>
      </c>
      <c r="M99" s="33" t="n">
        <f>2355.5</f>
        <v>2355.5</v>
      </c>
      <c r="N99" s="34" t="s">
        <v>48</v>
      </c>
      <c r="O99" s="33" t="n">
        <f>2247</f>
        <v>2247.0</v>
      </c>
      <c r="P99" s="34" t="s">
        <v>75</v>
      </c>
      <c r="Q99" s="33" t="n">
        <f>2325</f>
        <v>2325.0</v>
      </c>
      <c r="R99" s="34" t="s">
        <v>82</v>
      </c>
      <c r="S99" s="35" t="n">
        <f>2302.68</f>
        <v>2302.68</v>
      </c>
      <c r="T99" s="32" t="n">
        <f>69720</f>
        <v>69720.0</v>
      </c>
      <c r="U99" s="32" t="str">
        <f>"－"</f>
        <v>－</v>
      </c>
      <c r="V99" s="32" t="n">
        <f>162419570</f>
        <v>1.6241957E8</v>
      </c>
      <c r="W99" s="32" t="str">
        <f>"－"</f>
        <v>－</v>
      </c>
      <c r="X99" s="36" t="n">
        <f>14</f>
        <v>14.0</v>
      </c>
    </row>
    <row r="100">
      <c r="A100" s="27" t="s">
        <v>42</v>
      </c>
      <c r="B100" s="27" t="s">
        <v>344</v>
      </c>
      <c r="C100" s="27" t="s">
        <v>345</v>
      </c>
      <c r="D100" s="27" t="s">
        <v>346</v>
      </c>
      <c r="E100" s="28" t="s">
        <v>46</v>
      </c>
      <c r="F100" s="29" t="s">
        <v>46</v>
      </c>
      <c r="G100" s="30" t="s">
        <v>46</v>
      </c>
      <c r="H100" s="31"/>
      <c r="I100" s="31" t="s">
        <v>47</v>
      </c>
      <c r="J100" s="32" t="n">
        <v>1.0</v>
      </c>
      <c r="K100" s="33" t="n">
        <f>2659</f>
        <v>2659.0</v>
      </c>
      <c r="L100" s="34" t="s">
        <v>48</v>
      </c>
      <c r="M100" s="33" t="n">
        <f>2745</f>
        <v>2745.0</v>
      </c>
      <c r="N100" s="34" t="s">
        <v>55</v>
      </c>
      <c r="O100" s="33" t="n">
        <f>2630</f>
        <v>2630.0</v>
      </c>
      <c r="P100" s="34" t="s">
        <v>181</v>
      </c>
      <c r="Q100" s="33" t="n">
        <f>2689</f>
        <v>2689.0</v>
      </c>
      <c r="R100" s="34" t="s">
        <v>51</v>
      </c>
      <c r="S100" s="35" t="n">
        <f>2667.82</f>
        <v>2667.82</v>
      </c>
      <c r="T100" s="32" t="n">
        <f>20242</f>
        <v>20242.0</v>
      </c>
      <c r="U100" s="32" t="str">
        <f>"－"</f>
        <v>－</v>
      </c>
      <c r="V100" s="32" t="n">
        <f>54327638</f>
        <v>5.4327638E7</v>
      </c>
      <c r="W100" s="32" t="str">
        <f>"－"</f>
        <v>－</v>
      </c>
      <c r="X100" s="36" t="n">
        <f>22</f>
        <v>22.0</v>
      </c>
    </row>
    <row r="101">
      <c r="A101" s="27" t="s">
        <v>42</v>
      </c>
      <c r="B101" s="27" t="s">
        <v>347</v>
      </c>
      <c r="C101" s="27" t="s">
        <v>348</v>
      </c>
      <c r="D101" s="27" t="s">
        <v>349</v>
      </c>
      <c r="E101" s="28" t="s">
        <v>46</v>
      </c>
      <c r="F101" s="29" t="s">
        <v>46</v>
      </c>
      <c r="G101" s="30" t="s">
        <v>46</v>
      </c>
      <c r="H101" s="31"/>
      <c r="I101" s="31" t="s">
        <v>47</v>
      </c>
      <c r="J101" s="32" t="n">
        <v>1.0</v>
      </c>
      <c r="K101" s="33" t="n">
        <f>30350</f>
        <v>30350.0</v>
      </c>
      <c r="L101" s="34" t="s">
        <v>48</v>
      </c>
      <c r="M101" s="33" t="n">
        <f>31130</f>
        <v>31130.0</v>
      </c>
      <c r="N101" s="34" t="s">
        <v>75</v>
      </c>
      <c r="O101" s="33" t="n">
        <f>30040</f>
        <v>30040.0</v>
      </c>
      <c r="P101" s="34" t="s">
        <v>48</v>
      </c>
      <c r="Q101" s="33" t="n">
        <f>30850</f>
        <v>30850.0</v>
      </c>
      <c r="R101" s="34" t="s">
        <v>51</v>
      </c>
      <c r="S101" s="35" t="n">
        <f>30637.27</f>
        <v>30637.27</v>
      </c>
      <c r="T101" s="32" t="n">
        <f>87554</f>
        <v>87554.0</v>
      </c>
      <c r="U101" s="32" t="n">
        <f>45242</f>
        <v>45242.0</v>
      </c>
      <c r="V101" s="32" t="n">
        <f>2679519940</f>
        <v>2.67951994E9</v>
      </c>
      <c r="W101" s="32" t="n">
        <f>1383831970</f>
        <v>1.38383197E9</v>
      </c>
      <c r="X101" s="36" t="n">
        <f>22</f>
        <v>22.0</v>
      </c>
    </row>
    <row r="102">
      <c r="A102" s="27" t="s">
        <v>42</v>
      </c>
      <c r="B102" s="27" t="s">
        <v>350</v>
      </c>
      <c r="C102" s="27" t="s">
        <v>351</v>
      </c>
      <c r="D102" s="27" t="s">
        <v>352</v>
      </c>
      <c r="E102" s="28" t="s">
        <v>46</v>
      </c>
      <c r="F102" s="29" t="s">
        <v>46</v>
      </c>
      <c r="G102" s="30" t="s">
        <v>46</v>
      </c>
      <c r="H102" s="31"/>
      <c r="I102" s="31" t="s">
        <v>47</v>
      </c>
      <c r="J102" s="32" t="n">
        <v>1.0</v>
      </c>
      <c r="K102" s="33" t="n">
        <f>2810</f>
        <v>2810.0</v>
      </c>
      <c r="L102" s="34" t="s">
        <v>48</v>
      </c>
      <c r="M102" s="33" t="n">
        <f>2875</f>
        <v>2875.0</v>
      </c>
      <c r="N102" s="34" t="s">
        <v>75</v>
      </c>
      <c r="O102" s="33" t="n">
        <f>2770</f>
        <v>2770.0</v>
      </c>
      <c r="P102" s="34" t="s">
        <v>48</v>
      </c>
      <c r="Q102" s="33" t="n">
        <f>2850</f>
        <v>2850.0</v>
      </c>
      <c r="R102" s="34" t="s">
        <v>51</v>
      </c>
      <c r="S102" s="35" t="n">
        <f>2831.82</f>
        <v>2831.82</v>
      </c>
      <c r="T102" s="32" t="n">
        <f>472494</f>
        <v>472494.0</v>
      </c>
      <c r="U102" s="32" t="n">
        <f>273564</f>
        <v>273564.0</v>
      </c>
      <c r="V102" s="32" t="n">
        <f>1333241237</f>
        <v>1.333241237E9</v>
      </c>
      <c r="W102" s="32" t="n">
        <f>772461466</f>
        <v>7.72461466E8</v>
      </c>
      <c r="X102" s="36" t="n">
        <f>22</f>
        <v>22.0</v>
      </c>
    </row>
    <row r="103">
      <c r="A103" s="27" t="s">
        <v>42</v>
      </c>
      <c r="B103" s="27" t="s">
        <v>353</v>
      </c>
      <c r="C103" s="27" t="s">
        <v>354</v>
      </c>
      <c r="D103" s="27" t="s">
        <v>355</v>
      </c>
      <c r="E103" s="28" t="s">
        <v>46</v>
      </c>
      <c r="F103" s="29" t="s">
        <v>46</v>
      </c>
      <c r="G103" s="30" t="s">
        <v>46</v>
      </c>
      <c r="H103" s="31"/>
      <c r="I103" s="31" t="s">
        <v>47</v>
      </c>
      <c r="J103" s="32" t="n">
        <v>1.0</v>
      </c>
      <c r="K103" s="33" t="n">
        <f>31510</f>
        <v>31510.0</v>
      </c>
      <c r="L103" s="34" t="s">
        <v>48</v>
      </c>
      <c r="M103" s="33" t="n">
        <f>32160</f>
        <v>32160.0</v>
      </c>
      <c r="N103" s="34" t="s">
        <v>55</v>
      </c>
      <c r="O103" s="33" t="n">
        <f>31050</f>
        <v>31050.0</v>
      </c>
      <c r="P103" s="34" t="s">
        <v>48</v>
      </c>
      <c r="Q103" s="33" t="n">
        <f>31880</f>
        <v>31880.0</v>
      </c>
      <c r="R103" s="34" t="s">
        <v>51</v>
      </c>
      <c r="S103" s="35" t="n">
        <f>31659.55</f>
        <v>31659.55</v>
      </c>
      <c r="T103" s="32" t="n">
        <f>70118</f>
        <v>70118.0</v>
      </c>
      <c r="U103" s="32" t="n">
        <f>42665</f>
        <v>42665.0</v>
      </c>
      <c r="V103" s="32" t="n">
        <f>2219627729</f>
        <v>2.219627729E9</v>
      </c>
      <c r="W103" s="32" t="n">
        <f>1350251049</f>
        <v>1.350251049E9</v>
      </c>
      <c r="X103" s="36" t="n">
        <f>22</f>
        <v>22.0</v>
      </c>
    </row>
    <row r="104">
      <c r="A104" s="27" t="s">
        <v>42</v>
      </c>
      <c r="B104" s="27" t="s">
        <v>356</v>
      </c>
      <c r="C104" s="27" t="s">
        <v>357</v>
      </c>
      <c r="D104" s="27" t="s">
        <v>358</v>
      </c>
      <c r="E104" s="28" t="s">
        <v>46</v>
      </c>
      <c r="F104" s="29" t="s">
        <v>46</v>
      </c>
      <c r="G104" s="30" t="s">
        <v>46</v>
      </c>
      <c r="H104" s="31"/>
      <c r="I104" s="31" t="s">
        <v>47</v>
      </c>
      <c r="J104" s="32" t="n">
        <v>10.0</v>
      </c>
      <c r="K104" s="33" t="n">
        <f>2078</f>
        <v>2078.0</v>
      </c>
      <c r="L104" s="34" t="s">
        <v>48</v>
      </c>
      <c r="M104" s="33" t="n">
        <f>2088</f>
        <v>2088.0</v>
      </c>
      <c r="N104" s="34" t="s">
        <v>51</v>
      </c>
      <c r="O104" s="33" t="n">
        <f>1990</f>
        <v>1990.0</v>
      </c>
      <c r="P104" s="34" t="s">
        <v>106</v>
      </c>
      <c r="Q104" s="33" t="n">
        <f>2071.5</f>
        <v>2071.5</v>
      </c>
      <c r="R104" s="34" t="s">
        <v>51</v>
      </c>
      <c r="S104" s="35" t="n">
        <f>2040.27</f>
        <v>2040.27</v>
      </c>
      <c r="T104" s="32" t="n">
        <f>5629360</f>
        <v>5629360.0</v>
      </c>
      <c r="U104" s="32" t="n">
        <f>4760060</f>
        <v>4760060.0</v>
      </c>
      <c r="V104" s="32" t="n">
        <f>11500671734</f>
        <v>1.1500671734E10</v>
      </c>
      <c r="W104" s="32" t="n">
        <f>9725537384</f>
        <v>9.725537384E9</v>
      </c>
      <c r="X104" s="36" t="n">
        <f>22</f>
        <v>22.0</v>
      </c>
    </row>
    <row r="105">
      <c r="A105" s="27" t="s">
        <v>42</v>
      </c>
      <c r="B105" s="27" t="s">
        <v>359</v>
      </c>
      <c r="C105" s="27" t="s">
        <v>360</v>
      </c>
      <c r="D105" s="27" t="s">
        <v>361</v>
      </c>
      <c r="E105" s="28" t="s">
        <v>46</v>
      </c>
      <c r="F105" s="29" t="s">
        <v>46</v>
      </c>
      <c r="G105" s="30" t="s">
        <v>46</v>
      </c>
      <c r="H105" s="31"/>
      <c r="I105" s="31" t="s">
        <v>47</v>
      </c>
      <c r="J105" s="32" t="n">
        <v>10.0</v>
      </c>
      <c r="K105" s="33" t="n">
        <f>2500.5</f>
        <v>2500.5</v>
      </c>
      <c r="L105" s="34" t="s">
        <v>50</v>
      </c>
      <c r="M105" s="33" t="n">
        <f>2698.5</f>
        <v>2698.5</v>
      </c>
      <c r="N105" s="34" t="s">
        <v>51</v>
      </c>
      <c r="O105" s="33" t="n">
        <f>2455</f>
        <v>2455.0</v>
      </c>
      <c r="P105" s="34" t="s">
        <v>362</v>
      </c>
      <c r="Q105" s="33" t="n">
        <f>2698.5</f>
        <v>2698.5</v>
      </c>
      <c r="R105" s="34" t="s">
        <v>51</v>
      </c>
      <c r="S105" s="35" t="n">
        <f>2551.27</f>
        <v>2551.27</v>
      </c>
      <c r="T105" s="32" t="n">
        <f>370</f>
        <v>370.0</v>
      </c>
      <c r="U105" s="32" t="str">
        <f>"－"</f>
        <v>－</v>
      </c>
      <c r="V105" s="32" t="n">
        <f>938210</f>
        <v>938210.0</v>
      </c>
      <c r="W105" s="32" t="str">
        <f>"－"</f>
        <v>－</v>
      </c>
      <c r="X105" s="36" t="n">
        <f>11</f>
        <v>11.0</v>
      </c>
    </row>
    <row r="106">
      <c r="A106" s="27" t="s">
        <v>42</v>
      </c>
      <c r="B106" s="27" t="s">
        <v>363</v>
      </c>
      <c r="C106" s="27" t="s">
        <v>364</v>
      </c>
      <c r="D106" s="27" t="s">
        <v>365</v>
      </c>
      <c r="E106" s="28" t="s">
        <v>46</v>
      </c>
      <c r="F106" s="29" t="s">
        <v>46</v>
      </c>
      <c r="G106" s="30" t="s">
        <v>46</v>
      </c>
      <c r="H106" s="31"/>
      <c r="I106" s="31" t="s">
        <v>47</v>
      </c>
      <c r="J106" s="32" t="n">
        <v>1.0</v>
      </c>
      <c r="K106" s="33" t="n">
        <f>2093</f>
        <v>2093.0</v>
      </c>
      <c r="L106" s="34" t="s">
        <v>48</v>
      </c>
      <c r="M106" s="33" t="n">
        <f>2094</f>
        <v>2094.0</v>
      </c>
      <c r="N106" s="34" t="s">
        <v>51</v>
      </c>
      <c r="O106" s="33" t="n">
        <f>1995</f>
        <v>1995.0</v>
      </c>
      <c r="P106" s="34" t="s">
        <v>106</v>
      </c>
      <c r="Q106" s="33" t="n">
        <f>2076</f>
        <v>2076.0</v>
      </c>
      <c r="R106" s="34" t="s">
        <v>51</v>
      </c>
      <c r="S106" s="35" t="n">
        <f>2049.09</f>
        <v>2049.09</v>
      </c>
      <c r="T106" s="32" t="n">
        <f>8984857</f>
        <v>8984857.0</v>
      </c>
      <c r="U106" s="32" t="n">
        <f>5587764</f>
        <v>5587764.0</v>
      </c>
      <c r="V106" s="32" t="n">
        <f>18426090354</f>
        <v>1.8426090354E10</v>
      </c>
      <c r="W106" s="32" t="n">
        <f>11472086011</f>
        <v>1.1472086011E10</v>
      </c>
      <c r="X106" s="36" t="n">
        <f>22</f>
        <v>22.0</v>
      </c>
    </row>
    <row r="107">
      <c r="A107" s="27" t="s">
        <v>42</v>
      </c>
      <c r="B107" s="27" t="s">
        <v>366</v>
      </c>
      <c r="C107" s="27" t="s">
        <v>367</v>
      </c>
      <c r="D107" s="27" t="s">
        <v>368</v>
      </c>
      <c r="E107" s="28" t="s">
        <v>46</v>
      </c>
      <c r="F107" s="29" t="s">
        <v>46</v>
      </c>
      <c r="G107" s="30" t="s">
        <v>46</v>
      </c>
      <c r="H107" s="31"/>
      <c r="I107" s="31" t="s">
        <v>47</v>
      </c>
      <c r="J107" s="32" t="n">
        <v>1.0</v>
      </c>
      <c r="K107" s="33" t="n">
        <f>31000</f>
        <v>31000.0</v>
      </c>
      <c r="L107" s="34" t="s">
        <v>48</v>
      </c>
      <c r="M107" s="33" t="n">
        <f>31800</f>
        <v>31800.0</v>
      </c>
      <c r="N107" s="34" t="s">
        <v>369</v>
      </c>
      <c r="O107" s="33" t="n">
        <f>30730</f>
        <v>30730.0</v>
      </c>
      <c r="P107" s="34" t="s">
        <v>48</v>
      </c>
      <c r="Q107" s="33" t="n">
        <f>31650</f>
        <v>31650.0</v>
      </c>
      <c r="R107" s="34" t="s">
        <v>51</v>
      </c>
      <c r="S107" s="35" t="n">
        <f>31316.82</f>
        <v>31316.82</v>
      </c>
      <c r="T107" s="32" t="n">
        <f>107856</f>
        <v>107856.0</v>
      </c>
      <c r="U107" s="32" t="n">
        <f>87291</f>
        <v>87291.0</v>
      </c>
      <c r="V107" s="32" t="n">
        <f>3395862084</f>
        <v>3.395862084E9</v>
      </c>
      <c r="W107" s="32" t="n">
        <f>2750189264</f>
        <v>2.750189264E9</v>
      </c>
      <c r="X107" s="36" t="n">
        <f>22</f>
        <v>22.0</v>
      </c>
    </row>
    <row r="108">
      <c r="A108" s="27" t="s">
        <v>42</v>
      </c>
      <c r="B108" s="27" t="s">
        <v>370</v>
      </c>
      <c r="C108" s="27" t="s">
        <v>371</v>
      </c>
      <c r="D108" s="27" t="s">
        <v>372</v>
      </c>
      <c r="E108" s="28" t="s">
        <v>46</v>
      </c>
      <c r="F108" s="29" t="s">
        <v>46</v>
      </c>
      <c r="G108" s="30" t="s">
        <v>46</v>
      </c>
      <c r="H108" s="31"/>
      <c r="I108" s="31" t="s">
        <v>47</v>
      </c>
      <c r="J108" s="32" t="n">
        <v>10.0</v>
      </c>
      <c r="K108" s="33" t="n">
        <f>633.6</f>
        <v>633.6</v>
      </c>
      <c r="L108" s="34" t="s">
        <v>48</v>
      </c>
      <c r="M108" s="33" t="n">
        <f>638</f>
        <v>638.0</v>
      </c>
      <c r="N108" s="34" t="s">
        <v>362</v>
      </c>
      <c r="O108" s="33" t="n">
        <f>612.3</f>
        <v>612.3</v>
      </c>
      <c r="P108" s="34" t="s">
        <v>63</v>
      </c>
      <c r="Q108" s="33" t="n">
        <f>623.4</f>
        <v>623.4</v>
      </c>
      <c r="R108" s="34" t="s">
        <v>51</v>
      </c>
      <c r="S108" s="35" t="n">
        <f>623.16</f>
        <v>623.16</v>
      </c>
      <c r="T108" s="32" t="n">
        <f>234860</f>
        <v>234860.0</v>
      </c>
      <c r="U108" s="32" t="n">
        <f>130000</f>
        <v>130000.0</v>
      </c>
      <c r="V108" s="32" t="n">
        <f>145811464</f>
        <v>1.45811464E8</v>
      </c>
      <c r="W108" s="32" t="n">
        <f>80282000</f>
        <v>8.0282E7</v>
      </c>
      <c r="X108" s="36" t="n">
        <f>22</f>
        <v>22.0</v>
      </c>
    </row>
    <row r="109">
      <c r="A109" s="27" t="s">
        <v>42</v>
      </c>
      <c r="B109" s="27" t="s">
        <v>373</v>
      </c>
      <c r="C109" s="27" t="s">
        <v>374</v>
      </c>
      <c r="D109" s="27" t="s">
        <v>375</v>
      </c>
      <c r="E109" s="28" t="s">
        <v>46</v>
      </c>
      <c r="F109" s="29" t="s">
        <v>46</v>
      </c>
      <c r="G109" s="30" t="s">
        <v>46</v>
      </c>
      <c r="H109" s="31"/>
      <c r="I109" s="31" t="s">
        <v>47</v>
      </c>
      <c r="J109" s="32" t="n">
        <v>10.0</v>
      </c>
      <c r="K109" s="33" t="n">
        <f>509</f>
        <v>509.0</v>
      </c>
      <c r="L109" s="34" t="s">
        <v>48</v>
      </c>
      <c r="M109" s="33" t="n">
        <f>537.7</f>
        <v>537.7</v>
      </c>
      <c r="N109" s="34" t="s">
        <v>200</v>
      </c>
      <c r="O109" s="33" t="n">
        <f>508.4</f>
        <v>508.4</v>
      </c>
      <c r="P109" s="34" t="s">
        <v>48</v>
      </c>
      <c r="Q109" s="33" t="n">
        <f>528.2</f>
        <v>528.2</v>
      </c>
      <c r="R109" s="34" t="s">
        <v>51</v>
      </c>
      <c r="S109" s="35" t="n">
        <f>522.18</f>
        <v>522.18</v>
      </c>
      <c r="T109" s="32" t="n">
        <f>104468720</f>
        <v>1.0446872E8</v>
      </c>
      <c r="U109" s="32" t="n">
        <f>33275030</f>
        <v>3.327503E7</v>
      </c>
      <c r="V109" s="32" t="n">
        <f>54442460309</f>
        <v>5.4442460309E10</v>
      </c>
      <c r="W109" s="32" t="n">
        <f>17327384276</f>
        <v>1.7327384276E10</v>
      </c>
      <c r="X109" s="36" t="n">
        <f>22</f>
        <v>22.0</v>
      </c>
    </row>
    <row r="110">
      <c r="A110" s="27" t="s">
        <v>42</v>
      </c>
      <c r="B110" s="27" t="s">
        <v>376</v>
      </c>
      <c r="C110" s="27" t="s">
        <v>377</v>
      </c>
      <c r="D110" s="27" t="s">
        <v>378</v>
      </c>
      <c r="E110" s="28" t="s">
        <v>46</v>
      </c>
      <c r="F110" s="29" t="s">
        <v>46</v>
      </c>
      <c r="G110" s="30" t="s">
        <v>46</v>
      </c>
      <c r="H110" s="31"/>
      <c r="I110" s="31" t="s">
        <v>47</v>
      </c>
      <c r="J110" s="32" t="n">
        <v>1.0</v>
      </c>
      <c r="K110" s="33" t="n">
        <f>42050</f>
        <v>42050.0</v>
      </c>
      <c r="L110" s="34" t="s">
        <v>48</v>
      </c>
      <c r="M110" s="33" t="n">
        <f>42300</f>
        <v>42300.0</v>
      </c>
      <c r="N110" s="34" t="s">
        <v>48</v>
      </c>
      <c r="O110" s="33" t="n">
        <f>40830</f>
        <v>40830.0</v>
      </c>
      <c r="P110" s="34" t="s">
        <v>75</v>
      </c>
      <c r="Q110" s="33" t="n">
        <f>41330</f>
        <v>41330.0</v>
      </c>
      <c r="R110" s="34" t="s">
        <v>51</v>
      </c>
      <c r="S110" s="35" t="n">
        <f>41355.91</f>
        <v>41355.91</v>
      </c>
      <c r="T110" s="32" t="n">
        <f>6404</f>
        <v>6404.0</v>
      </c>
      <c r="U110" s="32" t="n">
        <f>2348</f>
        <v>2348.0</v>
      </c>
      <c r="V110" s="32" t="n">
        <f>267574856</f>
        <v>2.67574856E8</v>
      </c>
      <c r="W110" s="32" t="n">
        <f>98749306</f>
        <v>9.8749306E7</v>
      </c>
      <c r="X110" s="36" t="n">
        <f>22</f>
        <v>22.0</v>
      </c>
    </row>
    <row r="111">
      <c r="A111" s="27" t="s">
        <v>42</v>
      </c>
      <c r="B111" s="27" t="s">
        <v>379</v>
      </c>
      <c r="C111" s="27" t="s">
        <v>380</v>
      </c>
      <c r="D111" s="27" t="s">
        <v>381</v>
      </c>
      <c r="E111" s="28" t="s">
        <v>46</v>
      </c>
      <c r="F111" s="29" t="s">
        <v>46</v>
      </c>
      <c r="G111" s="30" t="s">
        <v>46</v>
      </c>
      <c r="H111" s="31"/>
      <c r="I111" s="31" t="s">
        <v>47</v>
      </c>
      <c r="J111" s="32" t="n">
        <v>1.0</v>
      </c>
      <c r="K111" s="33" t="n">
        <f>29115</f>
        <v>29115.0</v>
      </c>
      <c r="L111" s="34" t="s">
        <v>48</v>
      </c>
      <c r="M111" s="33" t="n">
        <f>29930</f>
        <v>29930.0</v>
      </c>
      <c r="N111" s="34" t="s">
        <v>55</v>
      </c>
      <c r="O111" s="33" t="n">
        <f>28300</f>
        <v>28300.0</v>
      </c>
      <c r="P111" s="34" t="s">
        <v>63</v>
      </c>
      <c r="Q111" s="33" t="n">
        <f>29650</f>
        <v>29650.0</v>
      </c>
      <c r="R111" s="34" t="s">
        <v>51</v>
      </c>
      <c r="S111" s="35" t="n">
        <f>29211.82</f>
        <v>29211.82</v>
      </c>
      <c r="T111" s="32" t="n">
        <f>11082</f>
        <v>11082.0</v>
      </c>
      <c r="U111" s="32" t="n">
        <f>416</f>
        <v>416.0</v>
      </c>
      <c r="V111" s="32" t="n">
        <f>322951455</f>
        <v>3.22951455E8</v>
      </c>
      <c r="W111" s="32" t="n">
        <f>12181995</f>
        <v>1.2181995E7</v>
      </c>
      <c r="X111" s="36" t="n">
        <f>22</f>
        <v>22.0</v>
      </c>
    </row>
    <row r="112">
      <c r="A112" s="27" t="s">
        <v>42</v>
      </c>
      <c r="B112" s="27" t="s">
        <v>382</v>
      </c>
      <c r="C112" s="27" t="s">
        <v>383</v>
      </c>
      <c r="D112" s="27" t="s">
        <v>384</v>
      </c>
      <c r="E112" s="28" t="s">
        <v>46</v>
      </c>
      <c r="F112" s="29" t="s">
        <v>46</v>
      </c>
      <c r="G112" s="30" t="s">
        <v>46</v>
      </c>
      <c r="H112" s="31"/>
      <c r="I112" s="31" t="s">
        <v>47</v>
      </c>
      <c r="J112" s="32" t="n">
        <v>1.0</v>
      </c>
      <c r="K112" s="33" t="n">
        <f>42910</f>
        <v>42910.0</v>
      </c>
      <c r="L112" s="34" t="s">
        <v>48</v>
      </c>
      <c r="M112" s="33" t="n">
        <f>43700</f>
        <v>43700.0</v>
      </c>
      <c r="N112" s="34" t="s">
        <v>59</v>
      </c>
      <c r="O112" s="33" t="n">
        <f>41540</f>
        <v>41540.0</v>
      </c>
      <c r="P112" s="34" t="s">
        <v>181</v>
      </c>
      <c r="Q112" s="33" t="n">
        <f>43280</f>
        <v>43280.0</v>
      </c>
      <c r="R112" s="34" t="s">
        <v>51</v>
      </c>
      <c r="S112" s="35" t="n">
        <f>42621.82</f>
        <v>42621.82</v>
      </c>
      <c r="T112" s="32" t="n">
        <f>73808</f>
        <v>73808.0</v>
      </c>
      <c r="U112" s="32" t="n">
        <f>65502</f>
        <v>65502.0</v>
      </c>
      <c r="V112" s="32" t="n">
        <f>3125113927</f>
        <v>3.125113927E9</v>
      </c>
      <c r="W112" s="32" t="n">
        <f>2770787787</f>
        <v>2.770787787E9</v>
      </c>
      <c r="X112" s="36" t="n">
        <f>22</f>
        <v>22.0</v>
      </c>
    </row>
    <row r="113">
      <c r="A113" s="27" t="s">
        <v>42</v>
      </c>
      <c r="B113" s="27" t="s">
        <v>385</v>
      </c>
      <c r="C113" s="27" t="s">
        <v>386</v>
      </c>
      <c r="D113" s="27" t="s">
        <v>387</v>
      </c>
      <c r="E113" s="28" t="s">
        <v>46</v>
      </c>
      <c r="F113" s="29" t="s">
        <v>46</v>
      </c>
      <c r="G113" s="30" t="s">
        <v>46</v>
      </c>
      <c r="H113" s="31"/>
      <c r="I113" s="31" t="s">
        <v>47</v>
      </c>
      <c r="J113" s="32" t="n">
        <v>1.0</v>
      </c>
      <c r="K113" s="33" t="n">
        <f>31110</f>
        <v>31110.0</v>
      </c>
      <c r="L113" s="34" t="s">
        <v>48</v>
      </c>
      <c r="M113" s="33" t="n">
        <f>31590</f>
        <v>31590.0</v>
      </c>
      <c r="N113" s="34" t="s">
        <v>55</v>
      </c>
      <c r="O113" s="33" t="n">
        <f>30310</f>
        <v>30310.0</v>
      </c>
      <c r="P113" s="34" t="s">
        <v>50</v>
      </c>
      <c r="Q113" s="33" t="n">
        <f>31230</f>
        <v>31230.0</v>
      </c>
      <c r="R113" s="34" t="s">
        <v>51</v>
      </c>
      <c r="S113" s="35" t="n">
        <f>30982.73</f>
        <v>30982.73</v>
      </c>
      <c r="T113" s="32" t="n">
        <f>5909</f>
        <v>5909.0</v>
      </c>
      <c r="U113" s="32" t="n">
        <f>58</f>
        <v>58.0</v>
      </c>
      <c r="V113" s="32" t="n">
        <f>182510886</f>
        <v>1.82510886E8</v>
      </c>
      <c r="W113" s="32" t="n">
        <f>1791476</f>
        <v>1791476.0</v>
      </c>
      <c r="X113" s="36" t="n">
        <f>22</f>
        <v>22.0</v>
      </c>
    </row>
    <row r="114">
      <c r="A114" s="27" t="s">
        <v>42</v>
      </c>
      <c r="B114" s="27" t="s">
        <v>388</v>
      </c>
      <c r="C114" s="27" t="s">
        <v>389</v>
      </c>
      <c r="D114" s="27" t="s">
        <v>390</v>
      </c>
      <c r="E114" s="28" t="s">
        <v>46</v>
      </c>
      <c r="F114" s="29" t="s">
        <v>46</v>
      </c>
      <c r="G114" s="30" t="s">
        <v>46</v>
      </c>
      <c r="H114" s="31"/>
      <c r="I114" s="31" t="s">
        <v>47</v>
      </c>
      <c r="J114" s="32" t="n">
        <v>1.0</v>
      </c>
      <c r="K114" s="33" t="n">
        <f>29045</f>
        <v>29045.0</v>
      </c>
      <c r="L114" s="34" t="s">
        <v>48</v>
      </c>
      <c r="M114" s="33" t="n">
        <f>29950</f>
        <v>29950.0</v>
      </c>
      <c r="N114" s="34" t="s">
        <v>49</v>
      </c>
      <c r="O114" s="33" t="n">
        <f>28590</f>
        <v>28590.0</v>
      </c>
      <c r="P114" s="34" t="s">
        <v>50</v>
      </c>
      <c r="Q114" s="33" t="n">
        <f>29575</f>
        <v>29575.0</v>
      </c>
      <c r="R114" s="34" t="s">
        <v>51</v>
      </c>
      <c r="S114" s="35" t="n">
        <f>29213.64</f>
        <v>29213.64</v>
      </c>
      <c r="T114" s="32" t="n">
        <f>29567</f>
        <v>29567.0</v>
      </c>
      <c r="U114" s="32" t="n">
        <f>20440</f>
        <v>20440.0</v>
      </c>
      <c r="V114" s="32" t="n">
        <f>865766175</f>
        <v>8.65766175E8</v>
      </c>
      <c r="W114" s="32" t="n">
        <f>599703890</f>
        <v>5.9970389E8</v>
      </c>
      <c r="X114" s="36" t="n">
        <f>22</f>
        <v>22.0</v>
      </c>
    </row>
    <row r="115">
      <c r="A115" s="27" t="s">
        <v>42</v>
      </c>
      <c r="B115" s="27" t="s">
        <v>391</v>
      </c>
      <c r="C115" s="27" t="s">
        <v>392</v>
      </c>
      <c r="D115" s="27" t="s">
        <v>393</v>
      </c>
      <c r="E115" s="28" t="s">
        <v>46</v>
      </c>
      <c r="F115" s="29" t="s">
        <v>46</v>
      </c>
      <c r="G115" s="30" t="s">
        <v>46</v>
      </c>
      <c r="H115" s="31"/>
      <c r="I115" s="31" t="s">
        <v>47</v>
      </c>
      <c r="J115" s="32" t="n">
        <v>1.0</v>
      </c>
      <c r="K115" s="33" t="n">
        <f>34730</f>
        <v>34730.0</v>
      </c>
      <c r="L115" s="34" t="s">
        <v>48</v>
      </c>
      <c r="M115" s="33" t="n">
        <f>37290</f>
        <v>37290.0</v>
      </c>
      <c r="N115" s="34" t="s">
        <v>289</v>
      </c>
      <c r="O115" s="33" t="n">
        <f>33740</f>
        <v>33740.0</v>
      </c>
      <c r="P115" s="34" t="s">
        <v>50</v>
      </c>
      <c r="Q115" s="33" t="n">
        <f>36080</f>
        <v>36080.0</v>
      </c>
      <c r="R115" s="34" t="s">
        <v>51</v>
      </c>
      <c r="S115" s="35" t="n">
        <f>35501.36</f>
        <v>35501.36</v>
      </c>
      <c r="T115" s="32" t="n">
        <f>29369</f>
        <v>29369.0</v>
      </c>
      <c r="U115" s="32" t="n">
        <f>15910</f>
        <v>15910.0</v>
      </c>
      <c r="V115" s="32" t="n">
        <f>1054450422</f>
        <v>1.054450422E9</v>
      </c>
      <c r="W115" s="32" t="n">
        <f>574449402</f>
        <v>5.74449402E8</v>
      </c>
      <c r="X115" s="36" t="n">
        <f>22</f>
        <v>22.0</v>
      </c>
    </row>
    <row r="116">
      <c r="A116" s="27" t="s">
        <v>42</v>
      </c>
      <c r="B116" s="27" t="s">
        <v>394</v>
      </c>
      <c r="C116" s="27" t="s">
        <v>395</v>
      </c>
      <c r="D116" s="27" t="s">
        <v>396</v>
      </c>
      <c r="E116" s="28" t="s">
        <v>46</v>
      </c>
      <c r="F116" s="29" t="s">
        <v>46</v>
      </c>
      <c r="G116" s="30" t="s">
        <v>46</v>
      </c>
      <c r="H116" s="31"/>
      <c r="I116" s="31" t="s">
        <v>47</v>
      </c>
      <c r="J116" s="32" t="n">
        <v>1.0</v>
      </c>
      <c r="K116" s="33" t="n">
        <f>43030</f>
        <v>43030.0</v>
      </c>
      <c r="L116" s="34" t="s">
        <v>48</v>
      </c>
      <c r="M116" s="33" t="n">
        <f>45230</f>
        <v>45230.0</v>
      </c>
      <c r="N116" s="34" t="s">
        <v>210</v>
      </c>
      <c r="O116" s="33" t="n">
        <f>41450</f>
        <v>41450.0</v>
      </c>
      <c r="P116" s="34" t="s">
        <v>67</v>
      </c>
      <c r="Q116" s="33" t="n">
        <f>44470</f>
        <v>44470.0</v>
      </c>
      <c r="R116" s="34" t="s">
        <v>51</v>
      </c>
      <c r="S116" s="35" t="n">
        <f>43615.45</f>
        <v>43615.45</v>
      </c>
      <c r="T116" s="32" t="n">
        <f>43403</f>
        <v>43403.0</v>
      </c>
      <c r="U116" s="32" t="n">
        <f>22069</f>
        <v>22069.0</v>
      </c>
      <c r="V116" s="32" t="n">
        <f>1899691740</f>
        <v>1.89969174E9</v>
      </c>
      <c r="W116" s="32" t="n">
        <f>975696700</f>
        <v>9.756967E8</v>
      </c>
      <c r="X116" s="36" t="n">
        <f>22</f>
        <v>22.0</v>
      </c>
    </row>
    <row r="117">
      <c r="A117" s="27" t="s">
        <v>42</v>
      </c>
      <c r="B117" s="27" t="s">
        <v>397</v>
      </c>
      <c r="C117" s="27" t="s">
        <v>398</v>
      </c>
      <c r="D117" s="27" t="s">
        <v>399</v>
      </c>
      <c r="E117" s="28" t="s">
        <v>46</v>
      </c>
      <c r="F117" s="29" t="s">
        <v>46</v>
      </c>
      <c r="G117" s="30" t="s">
        <v>46</v>
      </c>
      <c r="H117" s="31"/>
      <c r="I117" s="31" t="s">
        <v>47</v>
      </c>
      <c r="J117" s="32" t="n">
        <v>1.0</v>
      </c>
      <c r="K117" s="33" t="n">
        <f>75000</f>
        <v>75000.0</v>
      </c>
      <c r="L117" s="34" t="s">
        <v>48</v>
      </c>
      <c r="M117" s="33" t="n">
        <f>76780</f>
        <v>76780.0</v>
      </c>
      <c r="N117" s="34" t="s">
        <v>128</v>
      </c>
      <c r="O117" s="33" t="n">
        <f>70850</f>
        <v>70850.0</v>
      </c>
      <c r="P117" s="34" t="s">
        <v>67</v>
      </c>
      <c r="Q117" s="33" t="n">
        <f>73070</f>
        <v>73070.0</v>
      </c>
      <c r="R117" s="34" t="s">
        <v>51</v>
      </c>
      <c r="S117" s="35" t="n">
        <f>73538.18</f>
        <v>73538.18</v>
      </c>
      <c r="T117" s="32" t="n">
        <f>4087</f>
        <v>4087.0</v>
      </c>
      <c r="U117" s="32" t="n">
        <f>24</f>
        <v>24.0</v>
      </c>
      <c r="V117" s="32" t="n">
        <f>300852281</f>
        <v>3.00852281E8</v>
      </c>
      <c r="W117" s="32" t="n">
        <f>1808471</f>
        <v>1808471.0</v>
      </c>
      <c r="X117" s="36" t="n">
        <f>22</f>
        <v>22.0</v>
      </c>
    </row>
    <row r="118">
      <c r="A118" s="27" t="s">
        <v>42</v>
      </c>
      <c r="B118" s="27" t="s">
        <v>400</v>
      </c>
      <c r="C118" s="27" t="s">
        <v>401</v>
      </c>
      <c r="D118" s="27" t="s">
        <v>402</v>
      </c>
      <c r="E118" s="28" t="s">
        <v>46</v>
      </c>
      <c r="F118" s="29" t="s">
        <v>46</v>
      </c>
      <c r="G118" s="30" t="s">
        <v>46</v>
      </c>
      <c r="H118" s="31"/>
      <c r="I118" s="31" t="s">
        <v>47</v>
      </c>
      <c r="J118" s="32" t="n">
        <v>1.0</v>
      </c>
      <c r="K118" s="33" t="n">
        <f>48960</f>
        <v>48960.0</v>
      </c>
      <c r="L118" s="34" t="s">
        <v>48</v>
      </c>
      <c r="M118" s="33" t="n">
        <f>49990</f>
        <v>49990.0</v>
      </c>
      <c r="N118" s="34" t="s">
        <v>128</v>
      </c>
      <c r="O118" s="33" t="n">
        <f>47240</f>
        <v>47240.0</v>
      </c>
      <c r="P118" s="34" t="s">
        <v>67</v>
      </c>
      <c r="Q118" s="33" t="n">
        <f>48960</f>
        <v>48960.0</v>
      </c>
      <c r="R118" s="34" t="s">
        <v>51</v>
      </c>
      <c r="S118" s="35" t="n">
        <f>48823.18</f>
        <v>48823.18</v>
      </c>
      <c r="T118" s="32" t="n">
        <f>9811</f>
        <v>9811.0</v>
      </c>
      <c r="U118" s="32" t="n">
        <f>2093</f>
        <v>2093.0</v>
      </c>
      <c r="V118" s="32" t="n">
        <f>477809415</f>
        <v>4.77809415E8</v>
      </c>
      <c r="W118" s="32" t="n">
        <f>102519845</f>
        <v>1.02519845E8</v>
      </c>
      <c r="X118" s="36" t="n">
        <f>22</f>
        <v>22.0</v>
      </c>
    </row>
    <row r="119">
      <c r="A119" s="27" t="s">
        <v>42</v>
      </c>
      <c r="B119" s="27" t="s">
        <v>403</v>
      </c>
      <c r="C119" s="27" t="s">
        <v>404</v>
      </c>
      <c r="D119" s="27" t="s">
        <v>405</v>
      </c>
      <c r="E119" s="28" t="s">
        <v>46</v>
      </c>
      <c r="F119" s="29" t="s">
        <v>46</v>
      </c>
      <c r="G119" s="30" t="s">
        <v>46</v>
      </c>
      <c r="H119" s="31"/>
      <c r="I119" s="31" t="s">
        <v>47</v>
      </c>
      <c r="J119" s="32" t="n">
        <v>1.0</v>
      </c>
      <c r="K119" s="33" t="n">
        <f>43050</f>
        <v>43050.0</v>
      </c>
      <c r="L119" s="34" t="s">
        <v>48</v>
      </c>
      <c r="M119" s="33" t="n">
        <f>43300</f>
        <v>43300.0</v>
      </c>
      <c r="N119" s="34" t="s">
        <v>86</v>
      </c>
      <c r="O119" s="33" t="n">
        <f>41500</f>
        <v>41500.0</v>
      </c>
      <c r="P119" s="34" t="s">
        <v>67</v>
      </c>
      <c r="Q119" s="33" t="n">
        <f>42280</f>
        <v>42280.0</v>
      </c>
      <c r="R119" s="34" t="s">
        <v>51</v>
      </c>
      <c r="S119" s="35" t="n">
        <f>42354.55</f>
        <v>42354.55</v>
      </c>
      <c r="T119" s="32" t="n">
        <f>42671</f>
        <v>42671.0</v>
      </c>
      <c r="U119" s="32" t="n">
        <f>37306</f>
        <v>37306.0</v>
      </c>
      <c r="V119" s="32" t="n">
        <f>1813680804</f>
        <v>1.813680804E9</v>
      </c>
      <c r="W119" s="32" t="n">
        <f>1586797824</f>
        <v>1.586797824E9</v>
      </c>
      <c r="X119" s="36" t="n">
        <f>22</f>
        <v>22.0</v>
      </c>
    </row>
    <row r="120">
      <c r="A120" s="27" t="s">
        <v>42</v>
      </c>
      <c r="B120" s="27" t="s">
        <v>406</v>
      </c>
      <c r="C120" s="27" t="s">
        <v>407</v>
      </c>
      <c r="D120" s="27" t="s">
        <v>408</v>
      </c>
      <c r="E120" s="28" t="s">
        <v>46</v>
      </c>
      <c r="F120" s="29" t="s">
        <v>46</v>
      </c>
      <c r="G120" s="30" t="s">
        <v>46</v>
      </c>
      <c r="H120" s="31"/>
      <c r="I120" s="31" t="s">
        <v>47</v>
      </c>
      <c r="J120" s="32" t="n">
        <v>1.0</v>
      </c>
      <c r="K120" s="33" t="n">
        <f>11930</f>
        <v>11930.0</v>
      </c>
      <c r="L120" s="34" t="s">
        <v>48</v>
      </c>
      <c r="M120" s="33" t="n">
        <f>11930</f>
        <v>11930.0</v>
      </c>
      <c r="N120" s="34" t="s">
        <v>48</v>
      </c>
      <c r="O120" s="33" t="n">
        <f>10930</f>
        <v>10930.0</v>
      </c>
      <c r="P120" s="34" t="s">
        <v>162</v>
      </c>
      <c r="Q120" s="33" t="n">
        <f>11370</f>
        <v>11370.0</v>
      </c>
      <c r="R120" s="34" t="s">
        <v>51</v>
      </c>
      <c r="S120" s="35" t="n">
        <f>11280</f>
        <v>11280.0</v>
      </c>
      <c r="T120" s="32" t="n">
        <f>90589</f>
        <v>90589.0</v>
      </c>
      <c r="U120" s="32" t="n">
        <f>31364</f>
        <v>31364.0</v>
      </c>
      <c r="V120" s="32" t="n">
        <f>1022882746</f>
        <v>1.022882746E9</v>
      </c>
      <c r="W120" s="32" t="n">
        <f>352148756</f>
        <v>3.52148756E8</v>
      </c>
      <c r="X120" s="36" t="n">
        <f>22</f>
        <v>22.0</v>
      </c>
    </row>
    <row r="121">
      <c r="A121" s="27" t="s">
        <v>42</v>
      </c>
      <c r="B121" s="27" t="s">
        <v>409</v>
      </c>
      <c r="C121" s="27" t="s">
        <v>410</v>
      </c>
      <c r="D121" s="27" t="s">
        <v>411</v>
      </c>
      <c r="E121" s="28" t="s">
        <v>46</v>
      </c>
      <c r="F121" s="29" t="s">
        <v>46</v>
      </c>
      <c r="G121" s="30" t="s">
        <v>46</v>
      </c>
      <c r="H121" s="31"/>
      <c r="I121" s="31" t="s">
        <v>47</v>
      </c>
      <c r="J121" s="32" t="n">
        <v>1.0</v>
      </c>
      <c r="K121" s="33" t="n">
        <f>20630</f>
        <v>20630.0</v>
      </c>
      <c r="L121" s="34" t="s">
        <v>48</v>
      </c>
      <c r="M121" s="33" t="n">
        <f>21210</f>
        <v>21210.0</v>
      </c>
      <c r="N121" s="34" t="s">
        <v>51</v>
      </c>
      <c r="O121" s="33" t="n">
        <f>20240</f>
        <v>20240.0</v>
      </c>
      <c r="P121" s="34" t="s">
        <v>86</v>
      </c>
      <c r="Q121" s="33" t="n">
        <f>21210</f>
        <v>21210.0</v>
      </c>
      <c r="R121" s="34" t="s">
        <v>51</v>
      </c>
      <c r="S121" s="35" t="n">
        <f>20764.55</f>
        <v>20764.55</v>
      </c>
      <c r="T121" s="32" t="n">
        <f>7397</f>
        <v>7397.0</v>
      </c>
      <c r="U121" s="32" t="n">
        <f>133</f>
        <v>133.0</v>
      </c>
      <c r="V121" s="32" t="n">
        <f>153452410</f>
        <v>1.5345241E8</v>
      </c>
      <c r="W121" s="32" t="n">
        <f>2751955</f>
        <v>2751955.0</v>
      </c>
      <c r="X121" s="36" t="n">
        <f>22</f>
        <v>22.0</v>
      </c>
    </row>
    <row r="122">
      <c r="A122" s="27" t="s">
        <v>42</v>
      </c>
      <c r="B122" s="27" t="s">
        <v>412</v>
      </c>
      <c r="C122" s="27" t="s">
        <v>413</v>
      </c>
      <c r="D122" s="27" t="s">
        <v>414</v>
      </c>
      <c r="E122" s="28" t="s">
        <v>46</v>
      </c>
      <c r="F122" s="29" t="s">
        <v>46</v>
      </c>
      <c r="G122" s="30" t="s">
        <v>46</v>
      </c>
      <c r="H122" s="31"/>
      <c r="I122" s="31" t="s">
        <v>47</v>
      </c>
      <c r="J122" s="32" t="n">
        <v>1.0</v>
      </c>
      <c r="K122" s="33" t="n">
        <f>109400</f>
        <v>109400.0</v>
      </c>
      <c r="L122" s="34" t="s">
        <v>48</v>
      </c>
      <c r="M122" s="33" t="n">
        <f>115750</f>
        <v>115750.0</v>
      </c>
      <c r="N122" s="34" t="s">
        <v>55</v>
      </c>
      <c r="O122" s="33" t="n">
        <f>107500</f>
        <v>107500.0</v>
      </c>
      <c r="P122" s="34" t="s">
        <v>48</v>
      </c>
      <c r="Q122" s="33" t="n">
        <f>114300</f>
        <v>114300.0</v>
      </c>
      <c r="R122" s="34" t="s">
        <v>51</v>
      </c>
      <c r="S122" s="35" t="n">
        <f>112006.82</f>
        <v>112006.82</v>
      </c>
      <c r="T122" s="32" t="n">
        <f>23411</f>
        <v>23411.0</v>
      </c>
      <c r="U122" s="32" t="n">
        <f>4328</f>
        <v>4328.0</v>
      </c>
      <c r="V122" s="32" t="n">
        <f>2632251325</f>
        <v>2.632251325E9</v>
      </c>
      <c r="W122" s="32" t="n">
        <f>486315525</f>
        <v>4.86315525E8</v>
      </c>
      <c r="X122" s="36" t="n">
        <f>22</f>
        <v>22.0</v>
      </c>
    </row>
    <row r="123">
      <c r="A123" s="27" t="s">
        <v>42</v>
      </c>
      <c r="B123" s="27" t="s">
        <v>415</v>
      </c>
      <c r="C123" s="27" t="s">
        <v>416</v>
      </c>
      <c r="D123" s="27" t="s">
        <v>417</v>
      </c>
      <c r="E123" s="28" t="s">
        <v>46</v>
      </c>
      <c r="F123" s="29" t="s">
        <v>46</v>
      </c>
      <c r="G123" s="30" t="s">
        <v>46</v>
      </c>
      <c r="H123" s="31"/>
      <c r="I123" s="31" t="s">
        <v>418</v>
      </c>
      <c r="J123" s="32" t="n">
        <v>1.0</v>
      </c>
      <c r="K123" s="33" t="n">
        <f>12540</f>
        <v>12540.0</v>
      </c>
      <c r="L123" s="34" t="s">
        <v>48</v>
      </c>
      <c r="M123" s="33" t="n">
        <f>13350</f>
        <v>13350.0</v>
      </c>
      <c r="N123" s="34" t="s">
        <v>75</v>
      </c>
      <c r="O123" s="33" t="n">
        <f>12410</f>
        <v>12410.0</v>
      </c>
      <c r="P123" s="34" t="s">
        <v>181</v>
      </c>
      <c r="Q123" s="33" t="n">
        <f>12950</f>
        <v>12950.0</v>
      </c>
      <c r="R123" s="34" t="s">
        <v>51</v>
      </c>
      <c r="S123" s="35" t="n">
        <f>12922.05</f>
        <v>12922.05</v>
      </c>
      <c r="T123" s="32" t="n">
        <f>19053</f>
        <v>19053.0</v>
      </c>
      <c r="U123" s="32" t="str">
        <f>"－"</f>
        <v>－</v>
      </c>
      <c r="V123" s="32" t="n">
        <f>247310855</f>
        <v>2.47310855E8</v>
      </c>
      <c r="W123" s="32" t="str">
        <f>"－"</f>
        <v>－</v>
      </c>
      <c r="X123" s="36" t="n">
        <f>22</f>
        <v>22.0</v>
      </c>
    </row>
    <row r="124">
      <c r="A124" s="27" t="s">
        <v>42</v>
      </c>
      <c r="B124" s="27" t="s">
        <v>419</v>
      </c>
      <c r="C124" s="27" t="s">
        <v>420</v>
      </c>
      <c r="D124" s="27" t="s">
        <v>421</v>
      </c>
      <c r="E124" s="28" t="s">
        <v>46</v>
      </c>
      <c r="F124" s="29" t="s">
        <v>46</v>
      </c>
      <c r="G124" s="30" t="s">
        <v>46</v>
      </c>
      <c r="H124" s="31"/>
      <c r="I124" s="31" t="s">
        <v>47</v>
      </c>
      <c r="J124" s="32" t="n">
        <v>1.0</v>
      </c>
      <c r="K124" s="33" t="n">
        <f>38230</f>
        <v>38230.0</v>
      </c>
      <c r="L124" s="34" t="s">
        <v>48</v>
      </c>
      <c r="M124" s="33" t="n">
        <f>38230</f>
        <v>38230.0</v>
      </c>
      <c r="N124" s="34" t="s">
        <v>48</v>
      </c>
      <c r="O124" s="33" t="n">
        <f>36190</f>
        <v>36190.0</v>
      </c>
      <c r="P124" s="34" t="s">
        <v>362</v>
      </c>
      <c r="Q124" s="33" t="n">
        <f>37170</f>
        <v>37170.0</v>
      </c>
      <c r="R124" s="34" t="s">
        <v>51</v>
      </c>
      <c r="S124" s="35" t="n">
        <f>37010.91</f>
        <v>37010.91</v>
      </c>
      <c r="T124" s="32" t="n">
        <f>6996</f>
        <v>6996.0</v>
      </c>
      <c r="U124" s="32" t="n">
        <f>4657</f>
        <v>4657.0</v>
      </c>
      <c r="V124" s="32" t="n">
        <f>260402013</f>
        <v>2.60402013E8</v>
      </c>
      <c r="W124" s="32" t="n">
        <f>173828953</f>
        <v>1.73828953E8</v>
      </c>
      <c r="X124" s="36" t="n">
        <f>22</f>
        <v>22.0</v>
      </c>
    </row>
    <row r="125">
      <c r="A125" s="27" t="s">
        <v>42</v>
      </c>
      <c r="B125" s="27" t="s">
        <v>422</v>
      </c>
      <c r="C125" s="27" t="s">
        <v>423</v>
      </c>
      <c r="D125" s="27" t="s">
        <v>424</v>
      </c>
      <c r="E125" s="28" t="s">
        <v>46</v>
      </c>
      <c r="F125" s="29" t="s">
        <v>46</v>
      </c>
      <c r="G125" s="30" t="s">
        <v>46</v>
      </c>
      <c r="H125" s="31"/>
      <c r="I125" s="31" t="s">
        <v>47</v>
      </c>
      <c r="J125" s="32" t="n">
        <v>1.0</v>
      </c>
      <c r="K125" s="33" t="n">
        <f>27275</f>
        <v>27275.0</v>
      </c>
      <c r="L125" s="34" t="s">
        <v>48</v>
      </c>
      <c r="M125" s="33" t="n">
        <f>28795</f>
        <v>28795.0</v>
      </c>
      <c r="N125" s="34" t="s">
        <v>200</v>
      </c>
      <c r="O125" s="33" t="n">
        <f>27245</f>
        <v>27245.0</v>
      </c>
      <c r="P125" s="34" t="s">
        <v>48</v>
      </c>
      <c r="Q125" s="33" t="n">
        <f>28265</f>
        <v>28265.0</v>
      </c>
      <c r="R125" s="34" t="s">
        <v>51</v>
      </c>
      <c r="S125" s="35" t="n">
        <f>27996.82</f>
        <v>27996.82</v>
      </c>
      <c r="T125" s="32" t="n">
        <f>151758</f>
        <v>151758.0</v>
      </c>
      <c r="U125" s="32" t="n">
        <f>67111</f>
        <v>67111.0</v>
      </c>
      <c r="V125" s="32" t="n">
        <f>4244729233</f>
        <v>4.244729233E9</v>
      </c>
      <c r="W125" s="32" t="n">
        <f>1878664283</f>
        <v>1.878664283E9</v>
      </c>
      <c r="X125" s="36" t="n">
        <f>22</f>
        <v>22.0</v>
      </c>
    </row>
    <row r="126">
      <c r="A126" s="27" t="s">
        <v>42</v>
      </c>
      <c r="B126" s="27" t="s">
        <v>425</v>
      </c>
      <c r="C126" s="27" t="s">
        <v>426</v>
      </c>
      <c r="D126" s="27" t="s">
        <v>427</v>
      </c>
      <c r="E126" s="28" t="s">
        <v>46</v>
      </c>
      <c r="F126" s="29" t="s">
        <v>46</v>
      </c>
      <c r="G126" s="30" t="s">
        <v>46</v>
      </c>
      <c r="H126" s="31"/>
      <c r="I126" s="31" t="s">
        <v>47</v>
      </c>
      <c r="J126" s="32" t="n">
        <v>1.0</v>
      </c>
      <c r="K126" s="33" t="n">
        <f>32110</f>
        <v>32110.0</v>
      </c>
      <c r="L126" s="34" t="s">
        <v>48</v>
      </c>
      <c r="M126" s="33" t="n">
        <f>34700</f>
        <v>34700.0</v>
      </c>
      <c r="N126" s="34" t="s">
        <v>59</v>
      </c>
      <c r="O126" s="33" t="n">
        <f>31870</f>
        <v>31870.0</v>
      </c>
      <c r="P126" s="34" t="s">
        <v>48</v>
      </c>
      <c r="Q126" s="33" t="n">
        <f>34000</f>
        <v>34000.0</v>
      </c>
      <c r="R126" s="34" t="s">
        <v>51</v>
      </c>
      <c r="S126" s="35" t="n">
        <f>33283.18</f>
        <v>33283.18</v>
      </c>
      <c r="T126" s="32" t="n">
        <f>23869</f>
        <v>23869.0</v>
      </c>
      <c r="U126" s="32" t="n">
        <f>8833</f>
        <v>8833.0</v>
      </c>
      <c r="V126" s="32" t="n">
        <f>795572688</f>
        <v>7.95572688E8</v>
      </c>
      <c r="W126" s="32" t="n">
        <f>294248998</f>
        <v>2.94248998E8</v>
      </c>
      <c r="X126" s="36" t="n">
        <f>22</f>
        <v>22.0</v>
      </c>
    </row>
    <row r="127">
      <c r="A127" s="27" t="s">
        <v>42</v>
      </c>
      <c r="B127" s="27" t="s">
        <v>428</v>
      </c>
      <c r="C127" s="27" t="s">
        <v>429</v>
      </c>
      <c r="D127" s="27" t="s">
        <v>430</v>
      </c>
      <c r="E127" s="28" t="s">
        <v>46</v>
      </c>
      <c r="F127" s="29" t="s">
        <v>46</v>
      </c>
      <c r="G127" s="30" t="s">
        <v>46</v>
      </c>
      <c r="H127" s="31"/>
      <c r="I127" s="31" t="s">
        <v>47</v>
      </c>
      <c r="J127" s="32" t="n">
        <v>1.0</v>
      </c>
      <c r="K127" s="33" t="n">
        <f>52610</f>
        <v>52610.0</v>
      </c>
      <c r="L127" s="34" t="s">
        <v>48</v>
      </c>
      <c r="M127" s="33" t="n">
        <f>53920</f>
        <v>53920.0</v>
      </c>
      <c r="N127" s="34" t="s">
        <v>200</v>
      </c>
      <c r="O127" s="33" t="n">
        <f>50030</f>
        <v>50030.0</v>
      </c>
      <c r="P127" s="34" t="s">
        <v>181</v>
      </c>
      <c r="Q127" s="33" t="n">
        <f>52790</f>
        <v>52790.0</v>
      </c>
      <c r="R127" s="34" t="s">
        <v>51</v>
      </c>
      <c r="S127" s="35" t="n">
        <f>52233.18</f>
        <v>52233.18</v>
      </c>
      <c r="T127" s="32" t="n">
        <f>7489</f>
        <v>7489.0</v>
      </c>
      <c r="U127" s="32" t="n">
        <f>50</f>
        <v>50.0</v>
      </c>
      <c r="V127" s="32" t="n">
        <f>389916728</f>
        <v>3.89916728E8</v>
      </c>
      <c r="W127" s="32" t="n">
        <f>2582018</f>
        <v>2582018.0</v>
      </c>
      <c r="X127" s="36" t="n">
        <f>22</f>
        <v>22.0</v>
      </c>
    </row>
    <row r="128">
      <c r="A128" s="27" t="s">
        <v>42</v>
      </c>
      <c r="B128" s="27" t="s">
        <v>431</v>
      </c>
      <c r="C128" s="27" t="s">
        <v>432</v>
      </c>
      <c r="D128" s="27" t="s">
        <v>433</v>
      </c>
      <c r="E128" s="28" t="s">
        <v>46</v>
      </c>
      <c r="F128" s="29" t="s">
        <v>46</v>
      </c>
      <c r="G128" s="30" t="s">
        <v>46</v>
      </c>
      <c r="H128" s="31"/>
      <c r="I128" s="31" t="s">
        <v>418</v>
      </c>
      <c r="J128" s="32" t="n">
        <v>1.0</v>
      </c>
      <c r="K128" s="33" t="n">
        <f>11885</f>
        <v>11885.0</v>
      </c>
      <c r="L128" s="34" t="s">
        <v>48</v>
      </c>
      <c r="M128" s="33" t="n">
        <f>12655</f>
        <v>12655.0</v>
      </c>
      <c r="N128" s="34" t="s">
        <v>82</v>
      </c>
      <c r="O128" s="33" t="n">
        <f>11520</f>
        <v>11520.0</v>
      </c>
      <c r="P128" s="34" t="s">
        <v>48</v>
      </c>
      <c r="Q128" s="33" t="n">
        <f>12365</f>
        <v>12365.0</v>
      </c>
      <c r="R128" s="34" t="s">
        <v>51</v>
      </c>
      <c r="S128" s="35" t="n">
        <f>12142.5</f>
        <v>12142.5</v>
      </c>
      <c r="T128" s="32" t="n">
        <f>142688</f>
        <v>142688.0</v>
      </c>
      <c r="U128" s="32" t="str">
        <f>"－"</f>
        <v>－</v>
      </c>
      <c r="V128" s="32" t="n">
        <f>1736372515</f>
        <v>1.736372515E9</v>
      </c>
      <c r="W128" s="32" t="str">
        <f>"－"</f>
        <v>－</v>
      </c>
      <c r="X128" s="36" t="n">
        <f>22</f>
        <v>22.0</v>
      </c>
    </row>
    <row r="129">
      <c r="A129" s="27" t="s">
        <v>42</v>
      </c>
      <c r="B129" s="27" t="s">
        <v>434</v>
      </c>
      <c r="C129" s="27" t="s">
        <v>435</v>
      </c>
      <c r="D129" s="27" t="s">
        <v>436</v>
      </c>
      <c r="E129" s="28" t="s">
        <v>46</v>
      </c>
      <c r="F129" s="29" t="s">
        <v>46</v>
      </c>
      <c r="G129" s="30" t="s">
        <v>46</v>
      </c>
      <c r="H129" s="31"/>
      <c r="I129" s="31" t="s">
        <v>47</v>
      </c>
      <c r="J129" s="32" t="n">
        <v>1.0</v>
      </c>
      <c r="K129" s="33" t="n">
        <f>2559</f>
        <v>2559.0</v>
      </c>
      <c r="L129" s="34" t="s">
        <v>48</v>
      </c>
      <c r="M129" s="33" t="n">
        <f>2664</f>
        <v>2664.0</v>
      </c>
      <c r="N129" s="34" t="s">
        <v>82</v>
      </c>
      <c r="O129" s="33" t="n">
        <f>2525</f>
        <v>2525.0</v>
      </c>
      <c r="P129" s="34" t="s">
        <v>48</v>
      </c>
      <c r="Q129" s="33" t="n">
        <f>2645</f>
        <v>2645.0</v>
      </c>
      <c r="R129" s="34" t="s">
        <v>51</v>
      </c>
      <c r="S129" s="35" t="n">
        <f>2605.86</f>
        <v>2605.86</v>
      </c>
      <c r="T129" s="32" t="n">
        <f>2632826</f>
        <v>2632826.0</v>
      </c>
      <c r="U129" s="32" t="n">
        <f>2257413</f>
        <v>2257413.0</v>
      </c>
      <c r="V129" s="32" t="n">
        <f>6844155858</f>
        <v>6.844155858E9</v>
      </c>
      <c r="W129" s="32" t="n">
        <f>5864356483</f>
        <v>5.864356483E9</v>
      </c>
      <c r="X129" s="36" t="n">
        <f>22</f>
        <v>22.0</v>
      </c>
    </row>
    <row r="130">
      <c r="A130" s="27" t="s">
        <v>42</v>
      </c>
      <c r="B130" s="27" t="s">
        <v>437</v>
      </c>
      <c r="C130" s="27" t="s">
        <v>438</v>
      </c>
      <c r="D130" s="27" t="s">
        <v>439</v>
      </c>
      <c r="E130" s="28" t="s">
        <v>46</v>
      </c>
      <c r="F130" s="29" t="s">
        <v>46</v>
      </c>
      <c r="G130" s="30" t="s">
        <v>46</v>
      </c>
      <c r="H130" s="31"/>
      <c r="I130" s="31" t="s">
        <v>47</v>
      </c>
      <c r="J130" s="32" t="n">
        <v>10.0</v>
      </c>
      <c r="K130" s="33" t="n">
        <f>4895</f>
        <v>4895.0</v>
      </c>
      <c r="L130" s="34" t="s">
        <v>48</v>
      </c>
      <c r="M130" s="33" t="n">
        <f>4895</f>
        <v>4895.0</v>
      </c>
      <c r="N130" s="34" t="s">
        <v>48</v>
      </c>
      <c r="O130" s="33" t="n">
        <f>3974</f>
        <v>3974.0</v>
      </c>
      <c r="P130" s="34" t="s">
        <v>181</v>
      </c>
      <c r="Q130" s="33" t="n">
        <f>4107</f>
        <v>4107.0</v>
      </c>
      <c r="R130" s="34" t="s">
        <v>82</v>
      </c>
      <c r="S130" s="35" t="n">
        <f>4096.78</f>
        <v>4096.78</v>
      </c>
      <c r="T130" s="32" t="n">
        <f>2630</f>
        <v>2630.0</v>
      </c>
      <c r="U130" s="32" t="str">
        <f>"－"</f>
        <v>－</v>
      </c>
      <c r="V130" s="32" t="n">
        <f>10618350</f>
        <v>1.061835E7</v>
      </c>
      <c r="W130" s="32" t="str">
        <f>"－"</f>
        <v>－</v>
      </c>
      <c r="X130" s="36" t="n">
        <f>18</f>
        <v>18.0</v>
      </c>
    </row>
    <row r="131">
      <c r="A131" s="27" t="s">
        <v>42</v>
      </c>
      <c r="B131" s="27" t="s">
        <v>440</v>
      </c>
      <c r="C131" s="27" t="s">
        <v>441</v>
      </c>
      <c r="D131" s="27" t="s">
        <v>442</v>
      </c>
      <c r="E131" s="28" t="s">
        <v>46</v>
      </c>
      <c r="F131" s="29" t="s">
        <v>46</v>
      </c>
      <c r="G131" s="30" t="s">
        <v>46</v>
      </c>
      <c r="H131" s="31"/>
      <c r="I131" s="31" t="s">
        <v>47</v>
      </c>
      <c r="J131" s="32" t="n">
        <v>10.0</v>
      </c>
      <c r="K131" s="33" t="n">
        <f>4370</f>
        <v>4370.0</v>
      </c>
      <c r="L131" s="34" t="s">
        <v>48</v>
      </c>
      <c r="M131" s="33" t="n">
        <f>4571</f>
        <v>4571.0</v>
      </c>
      <c r="N131" s="34" t="s">
        <v>82</v>
      </c>
      <c r="O131" s="33" t="n">
        <f>4365</f>
        <v>4365.0</v>
      </c>
      <c r="P131" s="34" t="s">
        <v>50</v>
      </c>
      <c r="Q131" s="33" t="n">
        <f>4500</f>
        <v>4500.0</v>
      </c>
      <c r="R131" s="34" t="s">
        <v>51</v>
      </c>
      <c r="S131" s="35" t="n">
        <f>4456.67</f>
        <v>4456.67</v>
      </c>
      <c r="T131" s="32" t="n">
        <f>135720</f>
        <v>135720.0</v>
      </c>
      <c r="U131" s="32" t="n">
        <f>91500</f>
        <v>91500.0</v>
      </c>
      <c r="V131" s="32" t="n">
        <f>606222080</f>
        <v>6.0622208E8</v>
      </c>
      <c r="W131" s="32" t="n">
        <f>409558230</f>
        <v>4.0955823E8</v>
      </c>
      <c r="X131" s="36" t="n">
        <f>21</f>
        <v>21.0</v>
      </c>
    </row>
    <row r="132">
      <c r="A132" s="27" t="s">
        <v>42</v>
      </c>
      <c r="B132" s="27" t="s">
        <v>443</v>
      </c>
      <c r="C132" s="27" t="s">
        <v>444</v>
      </c>
      <c r="D132" s="27" t="s">
        <v>445</v>
      </c>
      <c r="E132" s="28" t="s">
        <v>46</v>
      </c>
      <c r="F132" s="29" t="s">
        <v>46</v>
      </c>
      <c r="G132" s="30" t="s">
        <v>46</v>
      </c>
      <c r="H132" s="31"/>
      <c r="I132" s="31" t="s">
        <v>47</v>
      </c>
      <c r="J132" s="32" t="n">
        <v>10.0</v>
      </c>
      <c r="K132" s="33" t="n">
        <f>2727</f>
        <v>2727.0</v>
      </c>
      <c r="L132" s="34" t="s">
        <v>48</v>
      </c>
      <c r="M132" s="33" t="n">
        <f>2839</f>
        <v>2839.0</v>
      </c>
      <c r="N132" s="34" t="s">
        <v>59</v>
      </c>
      <c r="O132" s="33" t="n">
        <f>2727</f>
        <v>2727.0</v>
      </c>
      <c r="P132" s="34" t="s">
        <v>48</v>
      </c>
      <c r="Q132" s="33" t="n">
        <f>2824.5</f>
        <v>2824.5</v>
      </c>
      <c r="R132" s="34" t="s">
        <v>49</v>
      </c>
      <c r="S132" s="35" t="n">
        <f>2805.08</f>
        <v>2805.08</v>
      </c>
      <c r="T132" s="32" t="n">
        <f>95600</f>
        <v>95600.0</v>
      </c>
      <c r="U132" s="32" t="n">
        <f>71500</f>
        <v>71500.0</v>
      </c>
      <c r="V132" s="32" t="n">
        <f>266556740</f>
        <v>2.6655674E8</v>
      </c>
      <c r="W132" s="32" t="n">
        <f>199423650</f>
        <v>1.9942365E8</v>
      </c>
      <c r="X132" s="36" t="n">
        <f>12</f>
        <v>12.0</v>
      </c>
    </row>
    <row r="133">
      <c r="A133" s="27" t="s">
        <v>42</v>
      </c>
      <c r="B133" s="27" t="s">
        <v>446</v>
      </c>
      <c r="C133" s="27" t="s">
        <v>447</v>
      </c>
      <c r="D133" s="27" t="s">
        <v>448</v>
      </c>
      <c r="E133" s="28" t="s">
        <v>46</v>
      </c>
      <c r="F133" s="29" t="s">
        <v>46</v>
      </c>
      <c r="G133" s="30" t="s">
        <v>46</v>
      </c>
      <c r="H133" s="31"/>
      <c r="I133" s="31" t="s">
        <v>47</v>
      </c>
      <c r="J133" s="32" t="n">
        <v>10.0</v>
      </c>
      <c r="K133" s="33" t="n">
        <f>770.2</f>
        <v>770.2</v>
      </c>
      <c r="L133" s="34" t="s">
        <v>48</v>
      </c>
      <c r="M133" s="33" t="n">
        <f>783.6</f>
        <v>783.6</v>
      </c>
      <c r="N133" s="34" t="s">
        <v>49</v>
      </c>
      <c r="O133" s="33" t="n">
        <f>754.3</f>
        <v>754.3</v>
      </c>
      <c r="P133" s="34" t="s">
        <v>67</v>
      </c>
      <c r="Q133" s="33" t="n">
        <f>778.5</f>
        <v>778.5</v>
      </c>
      <c r="R133" s="34" t="s">
        <v>51</v>
      </c>
      <c r="S133" s="35" t="n">
        <f>770.72</f>
        <v>770.72</v>
      </c>
      <c r="T133" s="32" t="n">
        <f>41207300</f>
        <v>4.12073E7</v>
      </c>
      <c r="U133" s="32" t="n">
        <f>1380860</f>
        <v>1380860.0</v>
      </c>
      <c r="V133" s="32" t="n">
        <f>31766713316</f>
        <v>3.1766713316E10</v>
      </c>
      <c r="W133" s="32" t="n">
        <f>1064943549</f>
        <v>1.064943549E9</v>
      </c>
      <c r="X133" s="36" t="n">
        <f>22</f>
        <v>22.0</v>
      </c>
    </row>
    <row r="134">
      <c r="A134" s="27" t="s">
        <v>42</v>
      </c>
      <c r="B134" s="27" t="s">
        <v>449</v>
      </c>
      <c r="C134" s="27" t="s">
        <v>450</v>
      </c>
      <c r="D134" s="27" t="s">
        <v>451</v>
      </c>
      <c r="E134" s="28" t="s">
        <v>46</v>
      </c>
      <c r="F134" s="29" t="s">
        <v>46</v>
      </c>
      <c r="G134" s="30" t="s">
        <v>46</v>
      </c>
      <c r="H134" s="31"/>
      <c r="I134" s="31" t="s">
        <v>47</v>
      </c>
      <c r="J134" s="32" t="n">
        <v>10.0</v>
      </c>
      <c r="K134" s="33" t="n">
        <f>318.4</f>
        <v>318.4</v>
      </c>
      <c r="L134" s="34" t="s">
        <v>48</v>
      </c>
      <c r="M134" s="33" t="n">
        <f>319.8</f>
        <v>319.8</v>
      </c>
      <c r="N134" s="34" t="s">
        <v>59</v>
      </c>
      <c r="O134" s="33" t="n">
        <f>313.1</f>
        <v>313.1</v>
      </c>
      <c r="P134" s="34" t="s">
        <v>200</v>
      </c>
      <c r="Q134" s="33" t="n">
        <f>317.6</f>
        <v>317.6</v>
      </c>
      <c r="R134" s="34" t="s">
        <v>51</v>
      </c>
      <c r="S134" s="35" t="n">
        <f>316.16</f>
        <v>316.16</v>
      </c>
      <c r="T134" s="32" t="n">
        <f>18135500</f>
        <v>1.81355E7</v>
      </c>
      <c r="U134" s="32" t="n">
        <f>14120520</f>
        <v>1.412052E7</v>
      </c>
      <c r="V134" s="32" t="n">
        <f>5725333634</f>
        <v>5.725333634E9</v>
      </c>
      <c r="W134" s="32" t="n">
        <f>4455368198</f>
        <v>4.455368198E9</v>
      </c>
      <c r="X134" s="36" t="n">
        <f>22</f>
        <v>22.0</v>
      </c>
    </row>
    <row r="135">
      <c r="A135" s="27" t="s">
        <v>42</v>
      </c>
      <c r="B135" s="27" t="s">
        <v>452</v>
      </c>
      <c r="C135" s="27" t="s">
        <v>453</v>
      </c>
      <c r="D135" s="27" t="s">
        <v>454</v>
      </c>
      <c r="E135" s="28" t="s">
        <v>46</v>
      </c>
      <c r="F135" s="29" t="s">
        <v>46</v>
      </c>
      <c r="G135" s="30" t="s">
        <v>46</v>
      </c>
      <c r="H135" s="31"/>
      <c r="I135" s="31" t="s">
        <v>47</v>
      </c>
      <c r="J135" s="32" t="n">
        <v>1.0</v>
      </c>
      <c r="K135" s="33" t="n">
        <f>6400</f>
        <v>6400.0</v>
      </c>
      <c r="L135" s="34" t="s">
        <v>48</v>
      </c>
      <c r="M135" s="33" t="n">
        <f>6540</f>
        <v>6540.0</v>
      </c>
      <c r="N135" s="34" t="s">
        <v>49</v>
      </c>
      <c r="O135" s="33" t="n">
        <f>6298</f>
        <v>6298.0</v>
      </c>
      <c r="P135" s="34" t="s">
        <v>63</v>
      </c>
      <c r="Q135" s="33" t="n">
        <f>6503</f>
        <v>6503.0</v>
      </c>
      <c r="R135" s="34" t="s">
        <v>51</v>
      </c>
      <c r="S135" s="35" t="n">
        <f>6417.32</f>
        <v>6417.32</v>
      </c>
      <c r="T135" s="32" t="n">
        <f>31378</f>
        <v>31378.0</v>
      </c>
      <c r="U135" s="32" t="str">
        <f>"－"</f>
        <v>－</v>
      </c>
      <c r="V135" s="32" t="n">
        <f>202099456</f>
        <v>2.02099456E8</v>
      </c>
      <c r="W135" s="32" t="str">
        <f>"－"</f>
        <v>－</v>
      </c>
      <c r="X135" s="36" t="n">
        <f>22</f>
        <v>22.0</v>
      </c>
    </row>
    <row r="136">
      <c r="A136" s="27" t="s">
        <v>42</v>
      </c>
      <c r="B136" s="27" t="s">
        <v>455</v>
      </c>
      <c r="C136" s="27" t="s">
        <v>456</v>
      </c>
      <c r="D136" s="27" t="s">
        <v>457</v>
      </c>
      <c r="E136" s="28" t="s">
        <v>46</v>
      </c>
      <c r="F136" s="29" t="s">
        <v>46</v>
      </c>
      <c r="G136" s="30" t="s">
        <v>46</v>
      </c>
      <c r="H136" s="31"/>
      <c r="I136" s="31" t="s">
        <v>47</v>
      </c>
      <c r="J136" s="32" t="n">
        <v>1.0</v>
      </c>
      <c r="K136" s="33" t="n">
        <f>3549</f>
        <v>3549.0</v>
      </c>
      <c r="L136" s="34" t="s">
        <v>48</v>
      </c>
      <c r="M136" s="33" t="n">
        <f>3642</f>
        <v>3642.0</v>
      </c>
      <c r="N136" s="34" t="s">
        <v>82</v>
      </c>
      <c r="O136" s="33" t="n">
        <f>3437</f>
        <v>3437.0</v>
      </c>
      <c r="P136" s="34" t="s">
        <v>200</v>
      </c>
      <c r="Q136" s="33" t="n">
        <f>3615</f>
        <v>3615.0</v>
      </c>
      <c r="R136" s="34" t="s">
        <v>51</v>
      </c>
      <c r="S136" s="35" t="n">
        <f>3531.64</f>
        <v>3531.64</v>
      </c>
      <c r="T136" s="32" t="n">
        <f>268586</f>
        <v>268586.0</v>
      </c>
      <c r="U136" s="32" t="n">
        <f>115205</f>
        <v>115205.0</v>
      </c>
      <c r="V136" s="32" t="n">
        <f>945441559</f>
        <v>9.45441559E8</v>
      </c>
      <c r="W136" s="32" t="n">
        <f>403507398</f>
        <v>4.03507398E8</v>
      </c>
      <c r="X136" s="36" t="n">
        <f>22</f>
        <v>22.0</v>
      </c>
    </row>
    <row r="137">
      <c r="A137" s="27" t="s">
        <v>42</v>
      </c>
      <c r="B137" s="27" t="s">
        <v>458</v>
      </c>
      <c r="C137" s="27" t="s">
        <v>459</v>
      </c>
      <c r="D137" s="27" t="s">
        <v>460</v>
      </c>
      <c r="E137" s="28" t="s">
        <v>46</v>
      </c>
      <c r="F137" s="29" t="s">
        <v>46</v>
      </c>
      <c r="G137" s="30" t="s">
        <v>46</v>
      </c>
      <c r="H137" s="31"/>
      <c r="I137" s="31" t="s">
        <v>47</v>
      </c>
      <c r="J137" s="32" t="n">
        <v>1.0</v>
      </c>
      <c r="K137" s="33" t="n">
        <f>3406</f>
        <v>3406.0</v>
      </c>
      <c r="L137" s="34" t="s">
        <v>48</v>
      </c>
      <c r="M137" s="33" t="n">
        <f>3408</f>
        <v>3408.0</v>
      </c>
      <c r="N137" s="34" t="s">
        <v>48</v>
      </c>
      <c r="O137" s="33" t="n">
        <f>3275</f>
        <v>3275.0</v>
      </c>
      <c r="P137" s="34" t="s">
        <v>63</v>
      </c>
      <c r="Q137" s="33" t="n">
        <f>3350</f>
        <v>3350.0</v>
      </c>
      <c r="R137" s="34" t="s">
        <v>51</v>
      </c>
      <c r="S137" s="35" t="n">
        <f>3331.59</f>
        <v>3331.59</v>
      </c>
      <c r="T137" s="32" t="n">
        <f>148254</f>
        <v>148254.0</v>
      </c>
      <c r="U137" s="32" t="str">
        <f>"－"</f>
        <v>－</v>
      </c>
      <c r="V137" s="32" t="n">
        <f>493289613</f>
        <v>4.93289613E8</v>
      </c>
      <c r="W137" s="32" t="str">
        <f>"－"</f>
        <v>－</v>
      </c>
      <c r="X137" s="36" t="n">
        <f>22</f>
        <v>22.0</v>
      </c>
    </row>
    <row r="138">
      <c r="A138" s="27" t="s">
        <v>42</v>
      </c>
      <c r="B138" s="27" t="s">
        <v>461</v>
      </c>
      <c r="C138" s="27" t="s">
        <v>462</v>
      </c>
      <c r="D138" s="27" t="s">
        <v>463</v>
      </c>
      <c r="E138" s="28" t="s">
        <v>46</v>
      </c>
      <c r="F138" s="29" t="s">
        <v>46</v>
      </c>
      <c r="G138" s="30" t="s">
        <v>46</v>
      </c>
      <c r="H138" s="31"/>
      <c r="I138" s="31" t="s">
        <v>47</v>
      </c>
      <c r="J138" s="32" t="n">
        <v>1.0</v>
      </c>
      <c r="K138" s="33" t="n">
        <f>11905</f>
        <v>11905.0</v>
      </c>
      <c r="L138" s="34" t="s">
        <v>48</v>
      </c>
      <c r="M138" s="33" t="n">
        <f>11980</f>
        <v>11980.0</v>
      </c>
      <c r="N138" s="34" t="s">
        <v>51</v>
      </c>
      <c r="O138" s="33" t="n">
        <f>11400</f>
        <v>11400.0</v>
      </c>
      <c r="P138" s="34" t="s">
        <v>106</v>
      </c>
      <c r="Q138" s="33" t="n">
        <f>11980</f>
        <v>11980.0</v>
      </c>
      <c r="R138" s="34" t="s">
        <v>51</v>
      </c>
      <c r="S138" s="35" t="n">
        <f>11715.91</f>
        <v>11715.91</v>
      </c>
      <c r="T138" s="32" t="n">
        <f>599821</f>
        <v>599821.0</v>
      </c>
      <c r="U138" s="32" t="n">
        <f>464542</f>
        <v>464542.0</v>
      </c>
      <c r="V138" s="32" t="n">
        <f>6987109592</f>
        <v>6.987109592E9</v>
      </c>
      <c r="W138" s="32" t="n">
        <f>5396517017</f>
        <v>5.396517017E9</v>
      </c>
      <c r="X138" s="36" t="n">
        <f>22</f>
        <v>22.0</v>
      </c>
    </row>
    <row r="139">
      <c r="A139" s="27" t="s">
        <v>42</v>
      </c>
      <c r="B139" s="27" t="s">
        <v>464</v>
      </c>
      <c r="C139" s="27" t="s">
        <v>465</v>
      </c>
      <c r="D139" s="27" t="s">
        <v>466</v>
      </c>
      <c r="E139" s="28" t="s">
        <v>46</v>
      </c>
      <c r="F139" s="29" t="s">
        <v>46</v>
      </c>
      <c r="G139" s="30" t="s">
        <v>46</v>
      </c>
      <c r="H139" s="31"/>
      <c r="I139" s="31" t="s">
        <v>47</v>
      </c>
      <c r="J139" s="32" t="n">
        <v>1.0</v>
      </c>
      <c r="K139" s="33" t="n">
        <f>3030</f>
        <v>3030.0</v>
      </c>
      <c r="L139" s="34" t="s">
        <v>48</v>
      </c>
      <c r="M139" s="33" t="n">
        <f>3064</f>
        <v>3064.0</v>
      </c>
      <c r="N139" s="34" t="s">
        <v>162</v>
      </c>
      <c r="O139" s="33" t="n">
        <f>2828</f>
        <v>2828.0</v>
      </c>
      <c r="P139" s="34" t="s">
        <v>63</v>
      </c>
      <c r="Q139" s="33" t="n">
        <f>2978</f>
        <v>2978.0</v>
      </c>
      <c r="R139" s="34" t="s">
        <v>51</v>
      </c>
      <c r="S139" s="35" t="n">
        <f>2974.95</f>
        <v>2974.95</v>
      </c>
      <c r="T139" s="32" t="n">
        <f>3804685</f>
        <v>3804685.0</v>
      </c>
      <c r="U139" s="32" t="n">
        <f>44330</f>
        <v>44330.0</v>
      </c>
      <c r="V139" s="32" t="n">
        <f>11218655201</f>
        <v>1.1218655201E10</v>
      </c>
      <c r="W139" s="32" t="n">
        <f>131590688</f>
        <v>1.31590688E8</v>
      </c>
      <c r="X139" s="36" t="n">
        <f>22</f>
        <v>22.0</v>
      </c>
    </row>
    <row r="140">
      <c r="A140" s="27" t="s">
        <v>42</v>
      </c>
      <c r="B140" s="27" t="s">
        <v>467</v>
      </c>
      <c r="C140" s="27" t="s">
        <v>468</v>
      </c>
      <c r="D140" s="27" t="s">
        <v>469</v>
      </c>
      <c r="E140" s="28" t="s">
        <v>46</v>
      </c>
      <c r="F140" s="29" t="s">
        <v>46</v>
      </c>
      <c r="G140" s="30" t="s">
        <v>46</v>
      </c>
      <c r="H140" s="31"/>
      <c r="I140" s="31" t="s">
        <v>47</v>
      </c>
      <c r="J140" s="32" t="n">
        <v>1.0</v>
      </c>
      <c r="K140" s="33" t="n">
        <f>61180</f>
        <v>61180.0</v>
      </c>
      <c r="L140" s="34" t="s">
        <v>48</v>
      </c>
      <c r="M140" s="33" t="n">
        <f>66080</f>
        <v>66080.0</v>
      </c>
      <c r="N140" s="34" t="s">
        <v>369</v>
      </c>
      <c r="O140" s="33" t="n">
        <f>60330</f>
        <v>60330.0</v>
      </c>
      <c r="P140" s="34" t="s">
        <v>90</v>
      </c>
      <c r="Q140" s="33" t="n">
        <f>63950</f>
        <v>63950.0</v>
      </c>
      <c r="R140" s="34" t="s">
        <v>51</v>
      </c>
      <c r="S140" s="35" t="n">
        <f>62668.18</f>
        <v>62668.18</v>
      </c>
      <c r="T140" s="32" t="n">
        <f>21047</f>
        <v>21047.0</v>
      </c>
      <c r="U140" s="32" t="str">
        <f>"－"</f>
        <v>－</v>
      </c>
      <c r="V140" s="32" t="n">
        <f>1330069070</f>
        <v>1.33006907E9</v>
      </c>
      <c r="W140" s="32" t="str">
        <f>"－"</f>
        <v>－</v>
      </c>
      <c r="X140" s="36" t="n">
        <f>22</f>
        <v>22.0</v>
      </c>
    </row>
    <row r="141">
      <c r="A141" s="27" t="s">
        <v>42</v>
      </c>
      <c r="B141" s="27" t="s">
        <v>470</v>
      </c>
      <c r="C141" s="27" t="s">
        <v>471</v>
      </c>
      <c r="D141" s="27" t="s">
        <v>472</v>
      </c>
      <c r="E141" s="28" t="s">
        <v>46</v>
      </c>
      <c r="F141" s="29" t="s">
        <v>46</v>
      </c>
      <c r="G141" s="30" t="s">
        <v>46</v>
      </c>
      <c r="H141" s="31"/>
      <c r="I141" s="31" t="s">
        <v>47</v>
      </c>
      <c r="J141" s="32" t="n">
        <v>10.0</v>
      </c>
      <c r="K141" s="33" t="n">
        <f>8209</f>
        <v>8209.0</v>
      </c>
      <c r="L141" s="34" t="s">
        <v>48</v>
      </c>
      <c r="M141" s="33" t="n">
        <f>12535</f>
        <v>12535.0</v>
      </c>
      <c r="N141" s="34" t="s">
        <v>82</v>
      </c>
      <c r="O141" s="33" t="n">
        <f>8012</f>
        <v>8012.0</v>
      </c>
      <c r="P141" s="34" t="s">
        <v>86</v>
      </c>
      <c r="Q141" s="33" t="n">
        <f>10835</f>
        <v>10835.0</v>
      </c>
      <c r="R141" s="34" t="s">
        <v>51</v>
      </c>
      <c r="S141" s="35" t="n">
        <f>9298.14</f>
        <v>9298.14</v>
      </c>
      <c r="T141" s="32" t="n">
        <f>1112580</f>
        <v>1112580.0</v>
      </c>
      <c r="U141" s="32" t="str">
        <f>"－"</f>
        <v>－</v>
      </c>
      <c r="V141" s="32" t="n">
        <f>10998247780</f>
        <v>1.099824778E10</v>
      </c>
      <c r="W141" s="32" t="str">
        <f>"－"</f>
        <v>－</v>
      </c>
      <c r="X141" s="36" t="n">
        <f>22</f>
        <v>22.0</v>
      </c>
    </row>
    <row r="142">
      <c r="A142" s="27" t="s">
        <v>42</v>
      </c>
      <c r="B142" s="27" t="s">
        <v>473</v>
      </c>
      <c r="C142" s="27" t="s">
        <v>474</v>
      </c>
      <c r="D142" s="27" t="s">
        <v>475</v>
      </c>
      <c r="E142" s="28" t="s">
        <v>46</v>
      </c>
      <c r="F142" s="29" t="s">
        <v>46</v>
      </c>
      <c r="G142" s="30" t="s">
        <v>46</v>
      </c>
      <c r="H142" s="31"/>
      <c r="I142" s="31" t="s">
        <v>47</v>
      </c>
      <c r="J142" s="32" t="n">
        <v>1.0</v>
      </c>
      <c r="K142" s="33" t="n">
        <f>23900</f>
        <v>23900.0</v>
      </c>
      <c r="L142" s="34" t="s">
        <v>48</v>
      </c>
      <c r="M142" s="33" t="n">
        <f>36680</f>
        <v>36680.0</v>
      </c>
      <c r="N142" s="34" t="s">
        <v>82</v>
      </c>
      <c r="O142" s="33" t="n">
        <f>22890</f>
        <v>22890.0</v>
      </c>
      <c r="P142" s="34" t="s">
        <v>162</v>
      </c>
      <c r="Q142" s="33" t="n">
        <f>30860</f>
        <v>30860.0</v>
      </c>
      <c r="R142" s="34" t="s">
        <v>51</v>
      </c>
      <c r="S142" s="35" t="n">
        <f>27064.77</f>
        <v>27064.77</v>
      </c>
      <c r="T142" s="32" t="n">
        <f>235283</f>
        <v>235283.0</v>
      </c>
      <c r="U142" s="32" t="str">
        <f>"－"</f>
        <v>－</v>
      </c>
      <c r="V142" s="32" t="n">
        <f>7111744375</f>
        <v>7.111744375E9</v>
      </c>
      <c r="W142" s="32" t="str">
        <f>"－"</f>
        <v>－</v>
      </c>
      <c r="X142" s="36" t="n">
        <f>22</f>
        <v>22.0</v>
      </c>
    </row>
    <row r="143">
      <c r="A143" s="27" t="s">
        <v>42</v>
      </c>
      <c r="B143" s="27" t="s">
        <v>476</v>
      </c>
      <c r="C143" s="27" t="s">
        <v>477</v>
      </c>
      <c r="D143" s="27" t="s">
        <v>478</v>
      </c>
      <c r="E143" s="28" t="s">
        <v>46</v>
      </c>
      <c r="F143" s="29" t="s">
        <v>46</v>
      </c>
      <c r="G143" s="30" t="s">
        <v>46</v>
      </c>
      <c r="H143" s="31"/>
      <c r="I143" s="31" t="s">
        <v>47</v>
      </c>
      <c r="J143" s="32" t="n">
        <v>1.0</v>
      </c>
      <c r="K143" s="33" t="n">
        <f>20600</f>
        <v>20600.0</v>
      </c>
      <c r="L143" s="34" t="s">
        <v>48</v>
      </c>
      <c r="M143" s="33" t="n">
        <f>27895</f>
        <v>27895.0</v>
      </c>
      <c r="N143" s="34" t="s">
        <v>82</v>
      </c>
      <c r="O143" s="33" t="n">
        <f>20005</f>
        <v>20005.0</v>
      </c>
      <c r="P143" s="34" t="s">
        <v>181</v>
      </c>
      <c r="Q143" s="33" t="n">
        <f>23085</f>
        <v>23085.0</v>
      </c>
      <c r="R143" s="34" t="s">
        <v>51</v>
      </c>
      <c r="S143" s="35" t="n">
        <f>22806.14</f>
        <v>22806.14</v>
      </c>
      <c r="T143" s="32" t="n">
        <f>41242</f>
        <v>41242.0</v>
      </c>
      <c r="U143" s="32" t="str">
        <f>"－"</f>
        <v>－</v>
      </c>
      <c r="V143" s="32" t="n">
        <f>993667755</f>
        <v>9.93667755E8</v>
      </c>
      <c r="W143" s="32" t="str">
        <f>"－"</f>
        <v>－</v>
      </c>
      <c r="X143" s="36" t="n">
        <f>22</f>
        <v>22.0</v>
      </c>
    </row>
    <row r="144">
      <c r="A144" s="27" t="s">
        <v>42</v>
      </c>
      <c r="B144" s="27" t="s">
        <v>479</v>
      </c>
      <c r="C144" s="27" t="s">
        <v>480</v>
      </c>
      <c r="D144" s="27" t="s">
        <v>481</v>
      </c>
      <c r="E144" s="28" t="s">
        <v>46</v>
      </c>
      <c r="F144" s="29" t="s">
        <v>46</v>
      </c>
      <c r="G144" s="30" t="s">
        <v>46</v>
      </c>
      <c r="H144" s="31"/>
      <c r="I144" s="31" t="s">
        <v>47</v>
      </c>
      <c r="J144" s="32" t="n">
        <v>1.0</v>
      </c>
      <c r="K144" s="33" t="n">
        <f>40010</f>
        <v>40010.0</v>
      </c>
      <c r="L144" s="34" t="s">
        <v>48</v>
      </c>
      <c r="M144" s="33" t="n">
        <f>52000</f>
        <v>52000.0</v>
      </c>
      <c r="N144" s="34" t="s">
        <v>210</v>
      </c>
      <c r="O144" s="33" t="n">
        <f>39910</f>
        <v>39910.0</v>
      </c>
      <c r="P144" s="34" t="s">
        <v>181</v>
      </c>
      <c r="Q144" s="33" t="n">
        <f>46580</f>
        <v>46580.0</v>
      </c>
      <c r="R144" s="34" t="s">
        <v>51</v>
      </c>
      <c r="S144" s="35" t="n">
        <f>43964.09</f>
        <v>43964.09</v>
      </c>
      <c r="T144" s="32" t="n">
        <f>13945</f>
        <v>13945.0</v>
      </c>
      <c r="U144" s="32" t="str">
        <f>"－"</f>
        <v>－</v>
      </c>
      <c r="V144" s="32" t="n">
        <f>641099950</f>
        <v>6.4109995E8</v>
      </c>
      <c r="W144" s="32" t="str">
        <f>"－"</f>
        <v>－</v>
      </c>
      <c r="X144" s="36" t="n">
        <f>22</f>
        <v>22.0</v>
      </c>
    </row>
    <row r="145">
      <c r="A145" s="27" t="s">
        <v>42</v>
      </c>
      <c r="B145" s="27" t="s">
        <v>482</v>
      </c>
      <c r="C145" s="27" t="s">
        <v>483</v>
      </c>
      <c r="D145" s="27" t="s">
        <v>484</v>
      </c>
      <c r="E145" s="28" t="s">
        <v>46</v>
      </c>
      <c r="F145" s="29" t="s">
        <v>46</v>
      </c>
      <c r="G145" s="30" t="s">
        <v>46</v>
      </c>
      <c r="H145" s="31"/>
      <c r="I145" s="31" t="s">
        <v>47</v>
      </c>
      <c r="J145" s="32" t="n">
        <v>10.0</v>
      </c>
      <c r="K145" s="33" t="n">
        <f>59900</f>
        <v>59900.0</v>
      </c>
      <c r="L145" s="34" t="s">
        <v>48</v>
      </c>
      <c r="M145" s="33" t="n">
        <f>60170</f>
        <v>60170.0</v>
      </c>
      <c r="N145" s="34" t="s">
        <v>59</v>
      </c>
      <c r="O145" s="33" t="n">
        <f>57500</f>
        <v>57500.0</v>
      </c>
      <c r="P145" s="34" t="s">
        <v>362</v>
      </c>
      <c r="Q145" s="33" t="n">
        <f>59980</f>
        <v>59980.0</v>
      </c>
      <c r="R145" s="34" t="s">
        <v>51</v>
      </c>
      <c r="S145" s="35" t="n">
        <f>59572.27</f>
        <v>59572.27</v>
      </c>
      <c r="T145" s="32" t="n">
        <f>13960</f>
        <v>13960.0</v>
      </c>
      <c r="U145" s="32" t="n">
        <f>10050</f>
        <v>10050.0</v>
      </c>
      <c r="V145" s="32" t="n">
        <f>829735502</f>
        <v>8.29735502E8</v>
      </c>
      <c r="W145" s="32" t="n">
        <f>596676802</f>
        <v>5.96676802E8</v>
      </c>
      <c r="X145" s="36" t="n">
        <f>22</f>
        <v>22.0</v>
      </c>
    </row>
    <row r="146">
      <c r="A146" s="27" t="s">
        <v>42</v>
      </c>
      <c r="B146" s="27" t="s">
        <v>485</v>
      </c>
      <c r="C146" s="27" t="s">
        <v>486</v>
      </c>
      <c r="D146" s="27" t="s">
        <v>487</v>
      </c>
      <c r="E146" s="28" t="s">
        <v>46</v>
      </c>
      <c r="F146" s="29" t="s">
        <v>46</v>
      </c>
      <c r="G146" s="30" t="s">
        <v>46</v>
      </c>
      <c r="H146" s="31"/>
      <c r="I146" s="31" t="s">
        <v>47</v>
      </c>
      <c r="J146" s="32" t="n">
        <v>10.0</v>
      </c>
      <c r="K146" s="33" t="n">
        <f>364.4</f>
        <v>364.4</v>
      </c>
      <c r="L146" s="34" t="s">
        <v>48</v>
      </c>
      <c r="M146" s="33" t="n">
        <f>365.8</f>
        <v>365.8</v>
      </c>
      <c r="N146" s="34" t="s">
        <v>48</v>
      </c>
      <c r="O146" s="33" t="n">
        <f>347.6</f>
        <v>347.6</v>
      </c>
      <c r="P146" s="34" t="s">
        <v>63</v>
      </c>
      <c r="Q146" s="33" t="n">
        <f>354.4</f>
        <v>354.4</v>
      </c>
      <c r="R146" s="34" t="s">
        <v>51</v>
      </c>
      <c r="S146" s="35" t="n">
        <f>355.36</f>
        <v>355.36</v>
      </c>
      <c r="T146" s="32" t="n">
        <f>20914960</f>
        <v>2.091496E7</v>
      </c>
      <c r="U146" s="32" t="n">
        <f>369330</f>
        <v>369330.0</v>
      </c>
      <c r="V146" s="32" t="n">
        <f>7448768851</f>
        <v>7.448768851E9</v>
      </c>
      <c r="W146" s="32" t="n">
        <f>130751670</f>
        <v>1.3075167E8</v>
      </c>
      <c r="X146" s="36" t="n">
        <f>22</f>
        <v>22.0</v>
      </c>
    </row>
    <row r="147">
      <c r="A147" s="27" t="s">
        <v>42</v>
      </c>
      <c r="B147" s="27" t="s">
        <v>488</v>
      </c>
      <c r="C147" s="27" t="s">
        <v>489</v>
      </c>
      <c r="D147" s="27" t="s">
        <v>490</v>
      </c>
      <c r="E147" s="28" t="s">
        <v>46</v>
      </c>
      <c r="F147" s="29" t="s">
        <v>46</v>
      </c>
      <c r="G147" s="30" t="s">
        <v>46</v>
      </c>
      <c r="H147" s="31"/>
      <c r="I147" s="31" t="s">
        <v>47</v>
      </c>
      <c r="J147" s="32" t="n">
        <v>10.0</v>
      </c>
      <c r="K147" s="33" t="n">
        <f>62330</f>
        <v>62330.0</v>
      </c>
      <c r="L147" s="34" t="s">
        <v>48</v>
      </c>
      <c r="M147" s="33" t="n">
        <f>62330</f>
        <v>62330.0</v>
      </c>
      <c r="N147" s="34" t="s">
        <v>48</v>
      </c>
      <c r="O147" s="33" t="n">
        <f>59700</f>
        <v>59700.0</v>
      </c>
      <c r="P147" s="34" t="s">
        <v>162</v>
      </c>
      <c r="Q147" s="33" t="n">
        <f>62000</f>
        <v>62000.0</v>
      </c>
      <c r="R147" s="34" t="s">
        <v>82</v>
      </c>
      <c r="S147" s="35" t="n">
        <f>61200</f>
        <v>61200.0</v>
      </c>
      <c r="T147" s="32" t="n">
        <f>1980</f>
        <v>1980.0</v>
      </c>
      <c r="U147" s="32" t="n">
        <f>10</f>
        <v>10.0</v>
      </c>
      <c r="V147" s="32" t="n">
        <f>119608700</f>
        <v>1.196087E8</v>
      </c>
      <c r="W147" s="32" t="n">
        <f>608000</f>
        <v>608000.0</v>
      </c>
      <c r="X147" s="36" t="n">
        <f>12</f>
        <v>12.0</v>
      </c>
    </row>
    <row r="148">
      <c r="A148" s="27" t="s">
        <v>42</v>
      </c>
      <c r="B148" s="27" t="s">
        <v>491</v>
      </c>
      <c r="C148" s="27" t="s">
        <v>492</v>
      </c>
      <c r="D148" s="27" t="s">
        <v>493</v>
      </c>
      <c r="E148" s="28" t="s">
        <v>46</v>
      </c>
      <c r="F148" s="29" t="s">
        <v>46</v>
      </c>
      <c r="G148" s="30" t="s">
        <v>46</v>
      </c>
      <c r="H148" s="31"/>
      <c r="I148" s="31" t="s">
        <v>47</v>
      </c>
      <c r="J148" s="32" t="n">
        <v>1.0</v>
      </c>
      <c r="K148" s="33" t="n">
        <f>7326</f>
        <v>7326.0</v>
      </c>
      <c r="L148" s="34" t="s">
        <v>48</v>
      </c>
      <c r="M148" s="33" t="n">
        <f>7511</f>
        <v>7511.0</v>
      </c>
      <c r="N148" s="34" t="s">
        <v>49</v>
      </c>
      <c r="O148" s="33" t="n">
        <f>7251</f>
        <v>7251.0</v>
      </c>
      <c r="P148" s="34" t="s">
        <v>67</v>
      </c>
      <c r="Q148" s="33" t="n">
        <f>7469</f>
        <v>7469.0</v>
      </c>
      <c r="R148" s="34" t="s">
        <v>51</v>
      </c>
      <c r="S148" s="35" t="n">
        <f>7381.45</f>
        <v>7381.45</v>
      </c>
      <c r="T148" s="32" t="n">
        <f>108552</f>
        <v>108552.0</v>
      </c>
      <c r="U148" s="32" t="n">
        <f>61</f>
        <v>61.0</v>
      </c>
      <c r="V148" s="32" t="n">
        <f>801098066</f>
        <v>8.01098066E8</v>
      </c>
      <c r="W148" s="32" t="n">
        <f>455145</f>
        <v>455145.0</v>
      </c>
      <c r="X148" s="36" t="n">
        <f>22</f>
        <v>22.0</v>
      </c>
    </row>
    <row r="149">
      <c r="A149" s="27" t="s">
        <v>42</v>
      </c>
      <c r="B149" s="27" t="s">
        <v>494</v>
      </c>
      <c r="C149" s="27" t="s">
        <v>495</v>
      </c>
      <c r="D149" s="27" t="s">
        <v>496</v>
      </c>
      <c r="E149" s="28" t="s">
        <v>46</v>
      </c>
      <c r="F149" s="29" t="s">
        <v>46</v>
      </c>
      <c r="G149" s="30" t="s">
        <v>46</v>
      </c>
      <c r="H149" s="31"/>
      <c r="I149" s="31" t="s">
        <v>47</v>
      </c>
      <c r="J149" s="32" t="n">
        <v>1.0</v>
      </c>
      <c r="K149" s="33" t="n">
        <f>2687</f>
        <v>2687.0</v>
      </c>
      <c r="L149" s="34" t="s">
        <v>48</v>
      </c>
      <c r="M149" s="33" t="n">
        <f>2797</f>
        <v>2797.0</v>
      </c>
      <c r="N149" s="34" t="s">
        <v>82</v>
      </c>
      <c r="O149" s="33" t="n">
        <f>2648</f>
        <v>2648.0</v>
      </c>
      <c r="P149" s="34" t="s">
        <v>63</v>
      </c>
      <c r="Q149" s="33" t="n">
        <f>2783</f>
        <v>2783.0</v>
      </c>
      <c r="R149" s="34" t="s">
        <v>51</v>
      </c>
      <c r="S149" s="35" t="n">
        <f>2716.18</f>
        <v>2716.18</v>
      </c>
      <c r="T149" s="32" t="n">
        <f>167358</f>
        <v>167358.0</v>
      </c>
      <c r="U149" s="32" t="n">
        <f>3530</f>
        <v>3530.0</v>
      </c>
      <c r="V149" s="32" t="n">
        <f>455363439</f>
        <v>4.55363439E8</v>
      </c>
      <c r="W149" s="32" t="n">
        <f>9714039</f>
        <v>9714039.0</v>
      </c>
      <c r="X149" s="36" t="n">
        <f>22</f>
        <v>22.0</v>
      </c>
    </row>
    <row r="150">
      <c r="A150" s="27" t="s">
        <v>42</v>
      </c>
      <c r="B150" s="27" t="s">
        <v>497</v>
      </c>
      <c r="C150" s="27" t="s">
        <v>498</v>
      </c>
      <c r="D150" s="27" t="s">
        <v>499</v>
      </c>
      <c r="E150" s="28" t="s">
        <v>46</v>
      </c>
      <c r="F150" s="29" t="s">
        <v>46</v>
      </c>
      <c r="G150" s="30" t="s">
        <v>46</v>
      </c>
      <c r="H150" s="31"/>
      <c r="I150" s="31" t="s">
        <v>47</v>
      </c>
      <c r="J150" s="32" t="n">
        <v>10.0</v>
      </c>
      <c r="K150" s="33" t="n">
        <f>1915</f>
        <v>1915.0</v>
      </c>
      <c r="L150" s="34" t="s">
        <v>48</v>
      </c>
      <c r="M150" s="33" t="n">
        <f>2119.5</f>
        <v>2119.5</v>
      </c>
      <c r="N150" s="34" t="s">
        <v>51</v>
      </c>
      <c r="O150" s="33" t="n">
        <f>1900</f>
        <v>1900.0</v>
      </c>
      <c r="P150" s="34" t="s">
        <v>48</v>
      </c>
      <c r="Q150" s="33" t="n">
        <f>1957.5</f>
        <v>1957.5</v>
      </c>
      <c r="R150" s="34" t="s">
        <v>51</v>
      </c>
      <c r="S150" s="35" t="n">
        <f>1981.69</f>
        <v>1981.69</v>
      </c>
      <c r="T150" s="32" t="n">
        <f>2390</f>
        <v>2390.0</v>
      </c>
      <c r="U150" s="32" t="str">
        <f>"－"</f>
        <v>－</v>
      </c>
      <c r="V150" s="32" t="n">
        <f>4753580</f>
        <v>4753580.0</v>
      </c>
      <c r="W150" s="32" t="str">
        <f>"－"</f>
        <v>－</v>
      </c>
      <c r="X150" s="36" t="n">
        <f>18</f>
        <v>18.0</v>
      </c>
    </row>
    <row r="151">
      <c r="A151" s="27" t="s">
        <v>42</v>
      </c>
      <c r="B151" s="27" t="s">
        <v>500</v>
      </c>
      <c r="C151" s="27" t="s">
        <v>501</v>
      </c>
      <c r="D151" s="27" t="s">
        <v>502</v>
      </c>
      <c r="E151" s="28" t="s">
        <v>46</v>
      </c>
      <c r="F151" s="29" t="s">
        <v>46</v>
      </c>
      <c r="G151" s="30" t="s">
        <v>46</v>
      </c>
      <c r="H151" s="31"/>
      <c r="I151" s="31" t="s">
        <v>47</v>
      </c>
      <c r="J151" s="32" t="n">
        <v>10.0</v>
      </c>
      <c r="K151" s="33" t="n">
        <f>533.1</f>
        <v>533.1</v>
      </c>
      <c r="L151" s="34" t="s">
        <v>48</v>
      </c>
      <c r="M151" s="33" t="n">
        <f>549.7</f>
        <v>549.7</v>
      </c>
      <c r="N151" s="34" t="s">
        <v>162</v>
      </c>
      <c r="O151" s="33" t="n">
        <f>483</f>
        <v>483.0</v>
      </c>
      <c r="P151" s="34" t="s">
        <v>71</v>
      </c>
      <c r="Q151" s="33" t="n">
        <f>506.8</f>
        <v>506.8</v>
      </c>
      <c r="R151" s="34" t="s">
        <v>51</v>
      </c>
      <c r="S151" s="35" t="n">
        <f>516.01</f>
        <v>516.01</v>
      </c>
      <c r="T151" s="32" t="n">
        <f>34880</f>
        <v>34880.0</v>
      </c>
      <c r="U151" s="32" t="str">
        <f>"－"</f>
        <v>－</v>
      </c>
      <c r="V151" s="32" t="n">
        <f>17782324</f>
        <v>1.7782324E7</v>
      </c>
      <c r="W151" s="32" t="str">
        <f>"－"</f>
        <v>－</v>
      </c>
      <c r="X151" s="36" t="n">
        <f>22</f>
        <v>22.0</v>
      </c>
    </row>
    <row r="152">
      <c r="A152" s="27" t="s">
        <v>42</v>
      </c>
      <c r="B152" s="27" t="s">
        <v>503</v>
      </c>
      <c r="C152" s="27" t="s">
        <v>504</v>
      </c>
      <c r="D152" s="27" t="s">
        <v>505</v>
      </c>
      <c r="E152" s="28" t="s">
        <v>46</v>
      </c>
      <c r="F152" s="29" t="s">
        <v>46</v>
      </c>
      <c r="G152" s="30" t="s">
        <v>46</v>
      </c>
      <c r="H152" s="31"/>
      <c r="I152" s="31" t="s">
        <v>47</v>
      </c>
      <c r="J152" s="32" t="n">
        <v>10.0</v>
      </c>
      <c r="K152" s="33" t="n">
        <f>2600</f>
        <v>2600.0</v>
      </c>
      <c r="L152" s="34" t="s">
        <v>48</v>
      </c>
      <c r="M152" s="33" t="n">
        <f>2999.5</f>
        <v>2999.5</v>
      </c>
      <c r="N152" s="34" t="s">
        <v>59</v>
      </c>
      <c r="O152" s="33" t="n">
        <f>2505.5</f>
        <v>2505.5</v>
      </c>
      <c r="P152" s="34" t="s">
        <v>90</v>
      </c>
      <c r="Q152" s="33" t="n">
        <f>2821</f>
        <v>2821.0</v>
      </c>
      <c r="R152" s="34" t="s">
        <v>51</v>
      </c>
      <c r="S152" s="35" t="n">
        <f>2684.13</f>
        <v>2684.13</v>
      </c>
      <c r="T152" s="32" t="n">
        <f>6140</f>
        <v>6140.0</v>
      </c>
      <c r="U152" s="32" t="str">
        <f>"－"</f>
        <v>－</v>
      </c>
      <c r="V152" s="32" t="n">
        <f>16668985</f>
        <v>1.6668985E7</v>
      </c>
      <c r="W152" s="32" t="str">
        <f>"－"</f>
        <v>－</v>
      </c>
      <c r="X152" s="36" t="n">
        <f>19</f>
        <v>19.0</v>
      </c>
    </row>
    <row r="153">
      <c r="A153" s="27" t="s">
        <v>42</v>
      </c>
      <c r="B153" s="27" t="s">
        <v>506</v>
      </c>
      <c r="C153" s="27" t="s">
        <v>507</v>
      </c>
      <c r="D153" s="27" t="s">
        <v>508</v>
      </c>
      <c r="E153" s="28" t="s">
        <v>46</v>
      </c>
      <c r="F153" s="29" t="s">
        <v>46</v>
      </c>
      <c r="G153" s="30" t="s">
        <v>46</v>
      </c>
      <c r="H153" s="31"/>
      <c r="I153" s="31" t="s">
        <v>47</v>
      </c>
      <c r="J153" s="32" t="n">
        <v>10.0</v>
      </c>
      <c r="K153" s="33" t="n">
        <f>969.8</f>
        <v>969.8</v>
      </c>
      <c r="L153" s="34" t="s">
        <v>48</v>
      </c>
      <c r="M153" s="33" t="n">
        <f>969.9</f>
        <v>969.9</v>
      </c>
      <c r="N153" s="34" t="s">
        <v>162</v>
      </c>
      <c r="O153" s="33" t="n">
        <f>905.2</f>
        <v>905.2</v>
      </c>
      <c r="P153" s="34" t="s">
        <v>71</v>
      </c>
      <c r="Q153" s="33" t="n">
        <f>925.2</f>
        <v>925.2</v>
      </c>
      <c r="R153" s="34" t="s">
        <v>51</v>
      </c>
      <c r="S153" s="35" t="n">
        <f>936.58</f>
        <v>936.58</v>
      </c>
      <c r="T153" s="32" t="n">
        <f>30690</f>
        <v>30690.0</v>
      </c>
      <c r="U153" s="32" t="str">
        <f>"－"</f>
        <v>－</v>
      </c>
      <c r="V153" s="32" t="n">
        <f>28850600</f>
        <v>2.88506E7</v>
      </c>
      <c r="W153" s="32" t="str">
        <f>"－"</f>
        <v>－</v>
      </c>
      <c r="X153" s="36" t="n">
        <f>22</f>
        <v>22.0</v>
      </c>
    </row>
    <row r="154">
      <c r="A154" s="27" t="s">
        <v>42</v>
      </c>
      <c r="B154" s="27" t="s">
        <v>509</v>
      </c>
      <c r="C154" s="27" t="s">
        <v>510</v>
      </c>
      <c r="D154" s="27" t="s">
        <v>511</v>
      </c>
      <c r="E154" s="28" t="s">
        <v>46</v>
      </c>
      <c r="F154" s="29" t="s">
        <v>46</v>
      </c>
      <c r="G154" s="30" t="s">
        <v>46</v>
      </c>
      <c r="H154" s="31"/>
      <c r="I154" s="31" t="s">
        <v>47</v>
      </c>
      <c r="J154" s="32" t="n">
        <v>10.0</v>
      </c>
      <c r="K154" s="33" t="n">
        <f>542</f>
        <v>542.0</v>
      </c>
      <c r="L154" s="34" t="s">
        <v>48</v>
      </c>
      <c r="M154" s="33" t="n">
        <f>542</f>
        <v>542.0</v>
      </c>
      <c r="N154" s="34" t="s">
        <v>48</v>
      </c>
      <c r="O154" s="33" t="n">
        <f>505</f>
        <v>505.0</v>
      </c>
      <c r="P154" s="34" t="s">
        <v>71</v>
      </c>
      <c r="Q154" s="33" t="n">
        <f>515.5</f>
        <v>515.5</v>
      </c>
      <c r="R154" s="34" t="s">
        <v>51</v>
      </c>
      <c r="S154" s="35" t="n">
        <f>521.54</f>
        <v>521.54</v>
      </c>
      <c r="T154" s="32" t="n">
        <f>93360</f>
        <v>93360.0</v>
      </c>
      <c r="U154" s="32" t="str">
        <f>"－"</f>
        <v>－</v>
      </c>
      <c r="V154" s="32" t="n">
        <f>48713560</f>
        <v>4.871356E7</v>
      </c>
      <c r="W154" s="32" t="str">
        <f>"－"</f>
        <v>－</v>
      </c>
      <c r="X154" s="36" t="n">
        <f>22</f>
        <v>22.0</v>
      </c>
    </row>
    <row r="155">
      <c r="A155" s="27" t="s">
        <v>42</v>
      </c>
      <c r="B155" s="27" t="s">
        <v>512</v>
      </c>
      <c r="C155" s="27" t="s">
        <v>513</v>
      </c>
      <c r="D155" s="27" t="s">
        <v>514</v>
      </c>
      <c r="E155" s="28" t="s">
        <v>46</v>
      </c>
      <c r="F155" s="29" t="s">
        <v>46</v>
      </c>
      <c r="G155" s="30" t="s">
        <v>46</v>
      </c>
      <c r="H155" s="31"/>
      <c r="I155" s="31" t="s">
        <v>47</v>
      </c>
      <c r="J155" s="32" t="n">
        <v>1.0</v>
      </c>
      <c r="K155" s="33" t="n">
        <f>1149</f>
        <v>1149.0</v>
      </c>
      <c r="L155" s="34" t="s">
        <v>48</v>
      </c>
      <c r="M155" s="33" t="n">
        <f>1232</f>
        <v>1232.0</v>
      </c>
      <c r="N155" s="34" t="s">
        <v>162</v>
      </c>
      <c r="O155" s="33" t="n">
        <f>908</f>
        <v>908.0</v>
      </c>
      <c r="P155" s="34" t="s">
        <v>289</v>
      </c>
      <c r="Q155" s="33" t="n">
        <f>987</f>
        <v>987.0</v>
      </c>
      <c r="R155" s="34" t="s">
        <v>51</v>
      </c>
      <c r="S155" s="35" t="n">
        <f>1054.45</f>
        <v>1054.45</v>
      </c>
      <c r="T155" s="32" t="n">
        <f>1703435</f>
        <v>1703435.0</v>
      </c>
      <c r="U155" s="32" t="str">
        <f>"－"</f>
        <v>－</v>
      </c>
      <c r="V155" s="32" t="n">
        <f>1742193727</f>
        <v>1.742193727E9</v>
      </c>
      <c r="W155" s="32" t="str">
        <f>"－"</f>
        <v>－</v>
      </c>
      <c r="X155" s="36" t="n">
        <f>22</f>
        <v>22.0</v>
      </c>
    </row>
    <row r="156">
      <c r="A156" s="27" t="s">
        <v>42</v>
      </c>
      <c r="B156" s="27" t="s">
        <v>515</v>
      </c>
      <c r="C156" s="27" t="s">
        <v>516</v>
      </c>
      <c r="D156" s="27" t="s">
        <v>517</v>
      </c>
      <c r="E156" s="28" t="s">
        <v>46</v>
      </c>
      <c r="F156" s="29" t="s">
        <v>46</v>
      </c>
      <c r="G156" s="30" t="s">
        <v>46</v>
      </c>
      <c r="H156" s="31"/>
      <c r="I156" s="31" t="s">
        <v>47</v>
      </c>
      <c r="J156" s="32" t="n">
        <v>10.0</v>
      </c>
      <c r="K156" s="33" t="n">
        <f>1413</f>
        <v>1413.0</v>
      </c>
      <c r="L156" s="34" t="s">
        <v>48</v>
      </c>
      <c r="M156" s="33" t="n">
        <f>1439.5</f>
        <v>1439.5</v>
      </c>
      <c r="N156" s="34" t="s">
        <v>162</v>
      </c>
      <c r="O156" s="33" t="n">
        <f>1327.5</f>
        <v>1327.5</v>
      </c>
      <c r="P156" s="34" t="s">
        <v>63</v>
      </c>
      <c r="Q156" s="33" t="n">
        <f>1385.5</f>
        <v>1385.5</v>
      </c>
      <c r="R156" s="34" t="s">
        <v>82</v>
      </c>
      <c r="S156" s="35" t="n">
        <f>1388.62</f>
        <v>1388.62</v>
      </c>
      <c r="T156" s="32" t="n">
        <f>54850</f>
        <v>54850.0</v>
      </c>
      <c r="U156" s="32" t="str">
        <f>"－"</f>
        <v>－</v>
      </c>
      <c r="V156" s="32" t="n">
        <f>75940570</f>
        <v>7.594057E7</v>
      </c>
      <c r="W156" s="32" t="str">
        <f>"－"</f>
        <v>－</v>
      </c>
      <c r="X156" s="36" t="n">
        <f>21</f>
        <v>21.0</v>
      </c>
    </row>
    <row r="157">
      <c r="A157" s="27" t="s">
        <v>42</v>
      </c>
      <c r="B157" s="27" t="s">
        <v>518</v>
      </c>
      <c r="C157" s="27" t="s">
        <v>519</v>
      </c>
      <c r="D157" s="27" t="s">
        <v>520</v>
      </c>
      <c r="E157" s="28" t="s">
        <v>46</v>
      </c>
      <c r="F157" s="29" t="s">
        <v>46</v>
      </c>
      <c r="G157" s="30" t="s">
        <v>46</v>
      </c>
      <c r="H157" s="31"/>
      <c r="I157" s="31" t="s">
        <v>47</v>
      </c>
      <c r="J157" s="32" t="n">
        <v>1.0</v>
      </c>
      <c r="K157" s="33" t="n">
        <f>8299</f>
        <v>8299.0</v>
      </c>
      <c r="L157" s="34" t="s">
        <v>48</v>
      </c>
      <c r="M157" s="33" t="n">
        <f>8350</f>
        <v>8350.0</v>
      </c>
      <c r="N157" s="34" t="s">
        <v>181</v>
      </c>
      <c r="O157" s="33" t="n">
        <f>7505</f>
        <v>7505.0</v>
      </c>
      <c r="P157" s="34" t="s">
        <v>71</v>
      </c>
      <c r="Q157" s="33" t="n">
        <f>7757</f>
        <v>7757.0</v>
      </c>
      <c r="R157" s="34" t="s">
        <v>51</v>
      </c>
      <c r="S157" s="35" t="n">
        <f>7931.14</f>
        <v>7931.14</v>
      </c>
      <c r="T157" s="32" t="n">
        <f>3610</f>
        <v>3610.0</v>
      </c>
      <c r="U157" s="32" t="str">
        <f>"－"</f>
        <v>－</v>
      </c>
      <c r="V157" s="32" t="n">
        <f>28502695</f>
        <v>2.8502695E7</v>
      </c>
      <c r="W157" s="32" t="str">
        <f>"－"</f>
        <v>－</v>
      </c>
      <c r="X157" s="36" t="n">
        <f>21</f>
        <v>21.0</v>
      </c>
    </row>
    <row r="158">
      <c r="A158" s="27" t="s">
        <v>42</v>
      </c>
      <c r="B158" s="27" t="s">
        <v>521</v>
      </c>
      <c r="C158" s="27" t="s">
        <v>522</v>
      </c>
      <c r="D158" s="27" t="s">
        <v>523</v>
      </c>
      <c r="E158" s="28" t="s">
        <v>46</v>
      </c>
      <c r="F158" s="29" t="s">
        <v>46</v>
      </c>
      <c r="G158" s="30" t="s">
        <v>46</v>
      </c>
      <c r="H158" s="31"/>
      <c r="I158" s="31" t="s">
        <v>47</v>
      </c>
      <c r="J158" s="32" t="n">
        <v>100.0</v>
      </c>
      <c r="K158" s="33" t="n">
        <f>583.1</f>
        <v>583.1</v>
      </c>
      <c r="L158" s="34" t="s">
        <v>48</v>
      </c>
      <c r="M158" s="33" t="n">
        <f>705.7</f>
        <v>705.7</v>
      </c>
      <c r="N158" s="34" t="s">
        <v>82</v>
      </c>
      <c r="O158" s="33" t="n">
        <f>560.7</f>
        <v>560.7</v>
      </c>
      <c r="P158" s="34" t="s">
        <v>106</v>
      </c>
      <c r="Q158" s="33" t="n">
        <f>607</f>
        <v>607.0</v>
      </c>
      <c r="R158" s="34" t="s">
        <v>51</v>
      </c>
      <c r="S158" s="35" t="n">
        <f>597.46</f>
        <v>597.46</v>
      </c>
      <c r="T158" s="32" t="n">
        <f>172100</f>
        <v>172100.0</v>
      </c>
      <c r="U158" s="32" t="str">
        <f>"－"</f>
        <v>－</v>
      </c>
      <c r="V158" s="32" t="n">
        <f>105794540</f>
        <v>1.0579454E8</v>
      </c>
      <c r="W158" s="32" t="str">
        <f>"－"</f>
        <v>－</v>
      </c>
      <c r="X158" s="36" t="n">
        <f>22</f>
        <v>22.0</v>
      </c>
    </row>
    <row r="159">
      <c r="A159" s="27" t="s">
        <v>42</v>
      </c>
      <c r="B159" s="27" t="s">
        <v>524</v>
      </c>
      <c r="C159" s="27" t="s">
        <v>525</v>
      </c>
      <c r="D159" s="27" t="s">
        <v>526</v>
      </c>
      <c r="E159" s="28" t="s">
        <v>46</v>
      </c>
      <c r="F159" s="29" t="s">
        <v>46</v>
      </c>
      <c r="G159" s="30" t="s">
        <v>46</v>
      </c>
      <c r="H159" s="31"/>
      <c r="I159" s="31" t="s">
        <v>47</v>
      </c>
      <c r="J159" s="32" t="n">
        <v>10.0</v>
      </c>
      <c r="K159" s="33" t="n">
        <f>7180</f>
        <v>7180.0</v>
      </c>
      <c r="L159" s="34" t="s">
        <v>48</v>
      </c>
      <c r="M159" s="33" t="n">
        <f>8499</f>
        <v>8499.0</v>
      </c>
      <c r="N159" s="34" t="s">
        <v>82</v>
      </c>
      <c r="O159" s="33" t="n">
        <f>7086</f>
        <v>7086.0</v>
      </c>
      <c r="P159" s="34" t="s">
        <v>181</v>
      </c>
      <c r="Q159" s="33" t="n">
        <f>7751</f>
        <v>7751.0</v>
      </c>
      <c r="R159" s="34" t="s">
        <v>51</v>
      </c>
      <c r="S159" s="35" t="n">
        <f>7433.27</f>
        <v>7433.27</v>
      </c>
      <c r="T159" s="32" t="n">
        <f>725430</f>
        <v>725430.0</v>
      </c>
      <c r="U159" s="32" t="str">
        <f>"－"</f>
        <v>－</v>
      </c>
      <c r="V159" s="32" t="n">
        <f>5504473910</f>
        <v>5.50447391E9</v>
      </c>
      <c r="W159" s="32" t="str">
        <f>"－"</f>
        <v>－</v>
      </c>
      <c r="X159" s="36" t="n">
        <f>22</f>
        <v>22.0</v>
      </c>
    </row>
    <row r="160">
      <c r="A160" s="27" t="s">
        <v>42</v>
      </c>
      <c r="B160" s="27" t="s">
        <v>527</v>
      </c>
      <c r="C160" s="27" t="s">
        <v>528</v>
      </c>
      <c r="D160" s="27" t="s">
        <v>529</v>
      </c>
      <c r="E160" s="28" t="s">
        <v>46</v>
      </c>
      <c r="F160" s="29" t="s">
        <v>46</v>
      </c>
      <c r="G160" s="30" t="s">
        <v>46</v>
      </c>
      <c r="H160" s="31"/>
      <c r="I160" s="31" t="s">
        <v>47</v>
      </c>
      <c r="J160" s="32" t="n">
        <v>10.0</v>
      </c>
      <c r="K160" s="33" t="n">
        <f>2075</f>
        <v>2075.0</v>
      </c>
      <c r="L160" s="34" t="s">
        <v>48</v>
      </c>
      <c r="M160" s="33" t="n">
        <f>2437.5</f>
        <v>2437.5</v>
      </c>
      <c r="N160" s="34" t="s">
        <v>82</v>
      </c>
      <c r="O160" s="33" t="n">
        <f>1945</f>
        <v>1945.0</v>
      </c>
      <c r="P160" s="34" t="s">
        <v>63</v>
      </c>
      <c r="Q160" s="33" t="n">
        <f>2277.5</f>
        <v>2277.5</v>
      </c>
      <c r="R160" s="34" t="s">
        <v>51</v>
      </c>
      <c r="S160" s="35" t="n">
        <f>2073.86</f>
        <v>2073.86</v>
      </c>
      <c r="T160" s="32" t="n">
        <f>40470</f>
        <v>40470.0</v>
      </c>
      <c r="U160" s="32" t="str">
        <f>"－"</f>
        <v>－</v>
      </c>
      <c r="V160" s="32" t="n">
        <f>86228310</f>
        <v>8.622831E7</v>
      </c>
      <c r="W160" s="32" t="str">
        <f>"－"</f>
        <v>－</v>
      </c>
      <c r="X160" s="36" t="n">
        <f>22</f>
        <v>22.0</v>
      </c>
    </row>
    <row r="161">
      <c r="A161" s="27" t="s">
        <v>42</v>
      </c>
      <c r="B161" s="27" t="s">
        <v>530</v>
      </c>
      <c r="C161" s="27" t="s">
        <v>531</v>
      </c>
      <c r="D161" s="27" t="s">
        <v>532</v>
      </c>
      <c r="E161" s="28" t="s">
        <v>46</v>
      </c>
      <c r="F161" s="29" t="s">
        <v>46</v>
      </c>
      <c r="G161" s="30" t="s">
        <v>46</v>
      </c>
      <c r="H161" s="31"/>
      <c r="I161" s="31" t="s">
        <v>47</v>
      </c>
      <c r="J161" s="32" t="n">
        <v>1.0</v>
      </c>
      <c r="K161" s="33" t="n">
        <f>2889</f>
        <v>2889.0</v>
      </c>
      <c r="L161" s="34" t="s">
        <v>48</v>
      </c>
      <c r="M161" s="33" t="n">
        <f>2889</f>
        <v>2889.0</v>
      </c>
      <c r="N161" s="34" t="s">
        <v>48</v>
      </c>
      <c r="O161" s="33" t="n">
        <f>2641</f>
        <v>2641.0</v>
      </c>
      <c r="P161" s="34" t="s">
        <v>63</v>
      </c>
      <c r="Q161" s="33" t="n">
        <f>2692</f>
        <v>2692.0</v>
      </c>
      <c r="R161" s="34" t="s">
        <v>51</v>
      </c>
      <c r="S161" s="35" t="n">
        <f>2744.95</f>
        <v>2744.95</v>
      </c>
      <c r="T161" s="32" t="n">
        <f>185821</f>
        <v>185821.0</v>
      </c>
      <c r="U161" s="32" t="str">
        <f>"－"</f>
        <v>－</v>
      </c>
      <c r="V161" s="32" t="n">
        <f>505708457</f>
        <v>5.05708457E8</v>
      </c>
      <c r="W161" s="32" t="str">
        <f>"－"</f>
        <v>－</v>
      </c>
      <c r="X161" s="36" t="n">
        <f>22</f>
        <v>22.0</v>
      </c>
    </row>
    <row r="162">
      <c r="A162" s="27" t="s">
        <v>42</v>
      </c>
      <c r="B162" s="27" t="s">
        <v>533</v>
      </c>
      <c r="C162" s="27" t="s">
        <v>534</v>
      </c>
      <c r="D162" s="27" t="s">
        <v>535</v>
      </c>
      <c r="E162" s="28" t="s">
        <v>46</v>
      </c>
      <c r="F162" s="29" t="s">
        <v>46</v>
      </c>
      <c r="G162" s="30" t="s">
        <v>46</v>
      </c>
      <c r="H162" s="31"/>
      <c r="I162" s="31" t="s">
        <v>47</v>
      </c>
      <c r="J162" s="32" t="n">
        <v>1.0</v>
      </c>
      <c r="K162" s="33" t="n">
        <f>3097</f>
        <v>3097.0</v>
      </c>
      <c r="L162" s="34" t="s">
        <v>48</v>
      </c>
      <c r="M162" s="33" t="n">
        <f>3097</f>
        <v>3097.0</v>
      </c>
      <c r="N162" s="34" t="s">
        <v>48</v>
      </c>
      <c r="O162" s="33" t="n">
        <f>2871</f>
        <v>2871.0</v>
      </c>
      <c r="P162" s="34" t="s">
        <v>63</v>
      </c>
      <c r="Q162" s="33" t="n">
        <f>2958</f>
        <v>2958.0</v>
      </c>
      <c r="R162" s="34" t="s">
        <v>51</v>
      </c>
      <c r="S162" s="35" t="n">
        <f>2961.64</f>
        <v>2961.64</v>
      </c>
      <c r="T162" s="32" t="n">
        <f>27934</f>
        <v>27934.0</v>
      </c>
      <c r="U162" s="32" t="str">
        <f>"－"</f>
        <v>－</v>
      </c>
      <c r="V162" s="32" t="n">
        <f>82905081</f>
        <v>8.2905081E7</v>
      </c>
      <c r="W162" s="32" t="str">
        <f>"－"</f>
        <v>－</v>
      </c>
      <c r="X162" s="36" t="n">
        <f>22</f>
        <v>22.0</v>
      </c>
    </row>
    <row r="163">
      <c r="A163" s="27" t="s">
        <v>42</v>
      </c>
      <c r="B163" s="27" t="s">
        <v>536</v>
      </c>
      <c r="C163" s="27" t="s">
        <v>537</v>
      </c>
      <c r="D163" s="27" t="s">
        <v>538</v>
      </c>
      <c r="E163" s="28" t="s">
        <v>46</v>
      </c>
      <c r="F163" s="29" t="s">
        <v>46</v>
      </c>
      <c r="G163" s="30" t="s">
        <v>46</v>
      </c>
      <c r="H163" s="31"/>
      <c r="I163" s="31" t="s">
        <v>47</v>
      </c>
      <c r="J163" s="32" t="n">
        <v>10.0</v>
      </c>
      <c r="K163" s="33" t="n">
        <f>4361</f>
        <v>4361.0</v>
      </c>
      <c r="L163" s="34" t="s">
        <v>48</v>
      </c>
      <c r="M163" s="33" t="n">
        <f>4377</f>
        <v>4377.0</v>
      </c>
      <c r="N163" s="34" t="s">
        <v>48</v>
      </c>
      <c r="O163" s="33" t="n">
        <f>4037</f>
        <v>4037.0</v>
      </c>
      <c r="P163" s="34" t="s">
        <v>71</v>
      </c>
      <c r="Q163" s="33" t="n">
        <f>4062</f>
        <v>4062.0</v>
      </c>
      <c r="R163" s="34" t="s">
        <v>51</v>
      </c>
      <c r="S163" s="35" t="n">
        <f>4157</f>
        <v>4157.0</v>
      </c>
      <c r="T163" s="32" t="n">
        <f>12400</f>
        <v>12400.0</v>
      </c>
      <c r="U163" s="32" t="str">
        <f>"－"</f>
        <v>－</v>
      </c>
      <c r="V163" s="32" t="n">
        <f>51791720</f>
        <v>5.179172E7</v>
      </c>
      <c r="W163" s="32" t="str">
        <f>"－"</f>
        <v>－</v>
      </c>
      <c r="X163" s="36" t="n">
        <f>22</f>
        <v>22.0</v>
      </c>
    </row>
    <row r="164">
      <c r="A164" s="27" t="s">
        <v>42</v>
      </c>
      <c r="B164" s="27" t="s">
        <v>539</v>
      </c>
      <c r="C164" s="27" t="s">
        <v>540</v>
      </c>
      <c r="D164" s="27" t="s">
        <v>541</v>
      </c>
      <c r="E164" s="28" t="s">
        <v>46</v>
      </c>
      <c r="F164" s="29" t="s">
        <v>46</v>
      </c>
      <c r="G164" s="30" t="s">
        <v>46</v>
      </c>
      <c r="H164" s="31"/>
      <c r="I164" s="31" t="s">
        <v>47</v>
      </c>
      <c r="J164" s="32" t="n">
        <v>1.0</v>
      </c>
      <c r="K164" s="33" t="n">
        <f>3707</f>
        <v>3707.0</v>
      </c>
      <c r="L164" s="34" t="s">
        <v>48</v>
      </c>
      <c r="M164" s="33" t="n">
        <f>3811</f>
        <v>3811.0</v>
      </c>
      <c r="N164" s="34" t="s">
        <v>200</v>
      </c>
      <c r="O164" s="33" t="n">
        <f>3661</f>
        <v>3661.0</v>
      </c>
      <c r="P164" s="34" t="s">
        <v>90</v>
      </c>
      <c r="Q164" s="33" t="n">
        <f>3782</f>
        <v>3782.0</v>
      </c>
      <c r="R164" s="34" t="s">
        <v>51</v>
      </c>
      <c r="S164" s="35" t="n">
        <f>3739.41</f>
        <v>3739.41</v>
      </c>
      <c r="T164" s="32" t="n">
        <f>505595</f>
        <v>505595.0</v>
      </c>
      <c r="U164" s="32" t="n">
        <f>257526</f>
        <v>257526.0</v>
      </c>
      <c r="V164" s="32" t="n">
        <f>1895364417</f>
        <v>1.895364417E9</v>
      </c>
      <c r="W164" s="32" t="n">
        <f>964887517</f>
        <v>9.64887517E8</v>
      </c>
      <c r="X164" s="36" t="n">
        <f>22</f>
        <v>22.0</v>
      </c>
    </row>
    <row r="165">
      <c r="A165" s="27" t="s">
        <v>42</v>
      </c>
      <c r="B165" s="27" t="s">
        <v>542</v>
      </c>
      <c r="C165" s="27" t="s">
        <v>543</v>
      </c>
      <c r="D165" s="27" t="s">
        <v>544</v>
      </c>
      <c r="E165" s="28" t="s">
        <v>46</v>
      </c>
      <c r="F165" s="29" t="s">
        <v>46</v>
      </c>
      <c r="G165" s="30" t="s">
        <v>46</v>
      </c>
      <c r="H165" s="31"/>
      <c r="I165" s="31" t="s">
        <v>47</v>
      </c>
      <c r="J165" s="32" t="n">
        <v>10.0</v>
      </c>
      <c r="K165" s="33" t="n">
        <f>390.9</f>
        <v>390.9</v>
      </c>
      <c r="L165" s="34" t="s">
        <v>48</v>
      </c>
      <c r="M165" s="33" t="n">
        <f>395.1</f>
        <v>395.1</v>
      </c>
      <c r="N165" s="34" t="s">
        <v>162</v>
      </c>
      <c r="O165" s="33" t="n">
        <f>366.5</f>
        <v>366.5</v>
      </c>
      <c r="P165" s="34" t="s">
        <v>63</v>
      </c>
      <c r="Q165" s="33" t="n">
        <f>384.1</f>
        <v>384.1</v>
      </c>
      <c r="R165" s="34" t="s">
        <v>51</v>
      </c>
      <c r="S165" s="35" t="n">
        <f>384.3</f>
        <v>384.3</v>
      </c>
      <c r="T165" s="32" t="n">
        <f>9530940</f>
        <v>9530940.0</v>
      </c>
      <c r="U165" s="32" t="n">
        <f>135730</f>
        <v>135730.0</v>
      </c>
      <c r="V165" s="32" t="n">
        <f>3659445258</f>
        <v>3.659445258E9</v>
      </c>
      <c r="W165" s="32" t="n">
        <f>52155522</f>
        <v>5.2155522E7</v>
      </c>
      <c r="X165" s="36" t="n">
        <f>22</f>
        <v>22.0</v>
      </c>
    </row>
    <row r="166">
      <c r="A166" s="27" t="s">
        <v>42</v>
      </c>
      <c r="B166" s="27" t="s">
        <v>545</v>
      </c>
      <c r="C166" s="27" t="s">
        <v>546</v>
      </c>
      <c r="D166" s="27" t="s">
        <v>547</v>
      </c>
      <c r="E166" s="28" t="s">
        <v>46</v>
      </c>
      <c r="F166" s="29" t="s">
        <v>46</v>
      </c>
      <c r="G166" s="30" t="s">
        <v>46</v>
      </c>
      <c r="H166" s="31"/>
      <c r="I166" s="31" t="s">
        <v>47</v>
      </c>
      <c r="J166" s="32" t="n">
        <v>1.0</v>
      </c>
      <c r="K166" s="33" t="n">
        <f>2548</f>
        <v>2548.0</v>
      </c>
      <c r="L166" s="34" t="s">
        <v>48</v>
      </c>
      <c r="M166" s="33" t="n">
        <f>2681</f>
        <v>2681.0</v>
      </c>
      <c r="N166" s="34" t="s">
        <v>49</v>
      </c>
      <c r="O166" s="33" t="n">
        <f>2462</f>
        <v>2462.0</v>
      </c>
      <c r="P166" s="34" t="s">
        <v>90</v>
      </c>
      <c r="Q166" s="33" t="n">
        <f>2568</f>
        <v>2568.0</v>
      </c>
      <c r="R166" s="34" t="s">
        <v>51</v>
      </c>
      <c r="S166" s="35" t="n">
        <f>2537.18</f>
        <v>2537.18</v>
      </c>
      <c r="T166" s="32" t="n">
        <f>11046</f>
        <v>11046.0</v>
      </c>
      <c r="U166" s="32" t="str">
        <f>"－"</f>
        <v>－</v>
      </c>
      <c r="V166" s="32" t="n">
        <f>28174100</f>
        <v>2.81741E7</v>
      </c>
      <c r="W166" s="32" t="str">
        <f>"－"</f>
        <v>－</v>
      </c>
      <c r="X166" s="36" t="n">
        <f>22</f>
        <v>22.0</v>
      </c>
    </row>
    <row r="167">
      <c r="A167" s="27" t="s">
        <v>42</v>
      </c>
      <c r="B167" s="27" t="s">
        <v>548</v>
      </c>
      <c r="C167" s="27" t="s">
        <v>549</v>
      </c>
      <c r="D167" s="27" t="s">
        <v>550</v>
      </c>
      <c r="E167" s="28" t="s">
        <v>46</v>
      </c>
      <c r="F167" s="29" t="s">
        <v>46</v>
      </c>
      <c r="G167" s="30" t="s">
        <v>46</v>
      </c>
      <c r="H167" s="31"/>
      <c r="I167" s="31" t="s">
        <v>47</v>
      </c>
      <c r="J167" s="32" t="n">
        <v>1.0</v>
      </c>
      <c r="K167" s="33" t="n">
        <f>1505</f>
        <v>1505.0</v>
      </c>
      <c r="L167" s="34" t="s">
        <v>48</v>
      </c>
      <c r="M167" s="33" t="n">
        <f>1523</f>
        <v>1523.0</v>
      </c>
      <c r="N167" s="34" t="s">
        <v>128</v>
      </c>
      <c r="O167" s="33" t="n">
        <f>1430</f>
        <v>1430.0</v>
      </c>
      <c r="P167" s="34" t="s">
        <v>67</v>
      </c>
      <c r="Q167" s="33" t="n">
        <f>1503</f>
        <v>1503.0</v>
      </c>
      <c r="R167" s="34" t="s">
        <v>51</v>
      </c>
      <c r="S167" s="35" t="n">
        <f>1493</f>
        <v>1493.0</v>
      </c>
      <c r="T167" s="32" t="n">
        <f>618388</f>
        <v>618388.0</v>
      </c>
      <c r="U167" s="32" t="str">
        <f>"－"</f>
        <v>－</v>
      </c>
      <c r="V167" s="32" t="n">
        <f>922710072</f>
        <v>9.22710072E8</v>
      </c>
      <c r="W167" s="32" t="str">
        <f>"－"</f>
        <v>－</v>
      </c>
      <c r="X167" s="36" t="n">
        <f>22</f>
        <v>22.0</v>
      </c>
    </row>
    <row r="168">
      <c r="A168" s="27" t="s">
        <v>42</v>
      </c>
      <c r="B168" s="27" t="s">
        <v>551</v>
      </c>
      <c r="C168" s="27" t="s">
        <v>552</v>
      </c>
      <c r="D168" s="27" t="s">
        <v>553</v>
      </c>
      <c r="E168" s="28" t="s">
        <v>46</v>
      </c>
      <c r="F168" s="29" t="s">
        <v>46</v>
      </c>
      <c r="G168" s="30" t="s">
        <v>46</v>
      </c>
      <c r="H168" s="31"/>
      <c r="I168" s="31" t="s">
        <v>47</v>
      </c>
      <c r="J168" s="32" t="n">
        <v>10.0</v>
      </c>
      <c r="K168" s="33" t="n">
        <f>268.8</f>
        <v>268.8</v>
      </c>
      <c r="L168" s="34" t="s">
        <v>48</v>
      </c>
      <c r="M168" s="33" t="n">
        <f>268.9</f>
        <v>268.9</v>
      </c>
      <c r="N168" s="34" t="s">
        <v>48</v>
      </c>
      <c r="O168" s="33" t="n">
        <f>261.1</f>
        <v>261.1</v>
      </c>
      <c r="P168" s="34" t="s">
        <v>55</v>
      </c>
      <c r="Q168" s="33" t="n">
        <f>263.2</f>
        <v>263.2</v>
      </c>
      <c r="R168" s="34" t="s">
        <v>51</v>
      </c>
      <c r="S168" s="35" t="n">
        <f>263.74</f>
        <v>263.74</v>
      </c>
      <c r="T168" s="32" t="n">
        <f>4945480</f>
        <v>4945480.0</v>
      </c>
      <c r="U168" s="32" t="n">
        <f>20</f>
        <v>20.0</v>
      </c>
      <c r="V168" s="32" t="n">
        <f>1304774934</f>
        <v>1.304774934E9</v>
      </c>
      <c r="W168" s="32" t="n">
        <f>5254</f>
        <v>5254.0</v>
      </c>
      <c r="X168" s="36" t="n">
        <f>22</f>
        <v>22.0</v>
      </c>
    </row>
    <row r="169">
      <c r="A169" s="27" t="s">
        <v>42</v>
      </c>
      <c r="B169" s="27" t="s">
        <v>554</v>
      </c>
      <c r="C169" s="27" t="s">
        <v>555</v>
      </c>
      <c r="D169" s="27" t="s">
        <v>556</v>
      </c>
      <c r="E169" s="28" t="s">
        <v>46</v>
      </c>
      <c r="F169" s="29" t="s">
        <v>46</v>
      </c>
      <c r="G169" s="30" t="s">
        <v>46</v>
      </c>
      <c r="H169" s="31"/>
      <c r="I169" s="31" t="s">
        <v>47</v>
      </c>
      <c r="J169" s="32" t="n">
        <v>10.0</v>
      </c>
      <c r="K169" s="33" t="n">
        <f>302.4</f>
        <v>302.4</v>
      </c>
      <c r="L169" s="34" t="s">
        <v>48</v>
      </c>
      <c r="M169" s="33" t="n">
        <f>302.4</f>
        <v>302.4</v>
      </c>
      <c r="N169" s="34" t="s">
        <v>48</v>
      </c>
      <c r="O169" s="33" t="n">
        <f>291</f>
        <v>291.0</v>
      </c>
      <c r="P169" s="34" t="s">
        <v>63</v>
      </c>
      <c r="Q169" s="33" t="n">
        <f>296.4</f>
        <v>296.4</v>
      </c>
      <c r="R169" s="34" t="s">
        <v>51</v>
      </c>
      <c r="S169" s="35" t="n">
        <f>296.06</f>
        <v>296.06</v>
      </c>
      <c r="T169" s="32" t="n">
        <f>7735970</f>
        <v>7735970.0</v>
      </c>
      <c r="U169" s="32" t="str">
        <f>"－"</f>
        <v>－</v>
      </c>
      <c r="V169" s="32" t="n">
        <f>2273355941</f>
        <v>2.273355941E9</v>
      </c>
      <c r="W169" s="32" t="str">
        <f>"－"</f>
        <v>－</v>
      </c>
      <c r="X169" s="36" t="n">
        <f>22</f>
        <v>22.0</v>
      </c>
    </row>
    <row r="170">
      <c r="A170" s="27" t="s">
        <v>42</v>
      </c>
      <c r="B170" s="27" t="s">
        <v>557</v>
      </c>
      <c r="C170" s="27" t="s">
        <v>558</v>
      </c>
      <c r="D170" s="27" t="s">
        <v>559</v>
      </c>
      <c r="E170" s="28" t="s">
        <v>46</v>
      </c>
      <c r="F170" s="29" t="s">
        <v>46</v>
      </c>
      <c r="G170" s="30" t="s">
        <v>46</v>
      </c>
      <c r="H170" s="31"/>
      <c r="I170" s="31" t="s">
        <v>47</v>
      </c>
      <c r="J170" s="32" t="n">
        <v>10.0</v>
      </c>
      <c r="K170" s="33" t="n">
        <f>534.6</f>
        <v>534.6</v>
      </c>
      <c r="L170" s="34" t="s">
        <v>48</v>
      </c>
      <c r="M170" s="33" t="n">
        <f>534.6</f>
        <v>534.6</v>
      </c>
      <c r="N170" s="34" t="s">
        <v>48</v>
      </c>
      <c r="O170" s="33" t="n">
        <f>520.5</f>
        <v>520.5</v>
      </c>
      <c r="P170" s="34" t="s">
        <v>162</v>
      </c>
      <c r="Q170" s="33" t="n">
        <f>526</f>
        <v>526.0</v>
      </c>
      <c r="R170" s="34" t="s">
        <v>49</v>
      </c>
      <c r="S170" s="35" t="n">
        <f>524.51</f>
        <v>524.51</v>
      </c>
      <c r="T170" s="32" t="n">
        <f>1157730</f>
        <v>1157730.0</v>
      </c>
      <c r="U170" s="32" t="n">
        <f>1146700</f>
        <v>1146700.0</v>
      </c>
      <c r="V170" s="32" t="n">
        <f>605729211</f>
        <v>6.05729211E8</v>
      </c>
      <c r="W170" s="32" t="n">
        <f>599930456</f>
        <v>5.99930456E8</v>
      </c>
      <c r="X170" s="36" t="n">
        <f>11</f>
        <v>11.0</v>
      </c>
    </row>
    <row r="171">
      <c r="A171" s="27" t="s">
        <v>42</v>
      </c>
      <c r="B171" s="27" t="s">
        <v>560</v>
      </c>
      <c r="C171" s="27" t="s">
        <v>561</v>
      </c>
      <c r="D171" s="27" t="s">
        <v>562</v>
      </c>
      <c r="E171" s="28" t="s">
        <v>46</v>
      </c>
      <c r="F171" s="29" t="s">
        <v>46</v>
      </c>
      <c r="G171" s="30" t="s">
        <v>46</v>
      </c>
      <c r="H171" s="31"/>
      <c r="I171" s="31" t="s">
        <v>47</v>
      </c>
      <c r="J171" s="32" t="n">
        <v>10.0</v>
      </c>
      <c r="K171" s="33" t="n">
        <f>524.8</f>
        <v>524.8</v>
      </c>
      <c r="L171" s="34" t="s">
        <v>48</v>
      </c>
      <c r="M171" s="33" t="n">
        <f>524.8</f>
        <v>524.8</v>
      </c>
      <c r="N171" s="34" t="s">
        <v>48</v>
      </c>
      <c r="O171" s="33" t="n">
        <f>504.6</f>
        <v>504.6</v>
      </c>
      <c r="P171" s="34" t="s">
        <v>200</v>
      </c>
      <c r="Q171" s="33" t="n">
        <f>512.5</f>
        <v>512.5</v>
      </c>
      <c r="R171" s="34" t="s">
        <v>51</v>
      </c>
      <c r="S171" s="35" t="n">
        <f>510.99</f>
        <v>510.99</v>
      </c>
      <c r="T171" s="32" t="n">
        <f>115290</f>
        <v>115290.0</v>
      </c>
      <c r="U171" s="32" t="str">
        <f>"－"</f>
        <v>－</v>
      </c>
      <c r="V171" s="32" t="n">
        <f>59043626</f>
        <v>5.9043626E7</v>
      </c>
      <c r="W171" s="32" t="str">
        <f>"－"</f>
        <v>－</v>
      </c>
      <c r="X171" s="36" t="n">
        <f>22</f>
        <v>22.0</v>
      </c>
    </row>
    <row r="172">
      <c r="A172" s="27" t="s">
        <v>42</v>
      </c>
      <c r="B172" s="27" t="s">
        <v>563</v>
      </c>
      <c r="C172" s="27" t="s">
        <v>564</v>
      </c>
      <c r="D172" s="27" t="s">
        <v>565</v>
      </c>
      <c r="E172" s="28" t="s">
        <v>46</v>
      </c>
      <c r="F172" s="29" t="s">
        <v>46</v>
      </c>
      <c r="G172" s="30" t="s">
        <v>46</v>
      </c>
      <c r="H172" s="31"/>
      <c r="I172" s="31" t="s">
        <v>47</v>
      </c>
      <c r="J172" s="32" t="n">
        <v>10.0</v>
      </c>
      <c r="K172" s="33" t="n">
        <f>478.2</f>
        <v>478.2</v>
      </c>
      <c r="L172" s="34" t="s">
        <v>48</v>
      </c>
      <c r="M172" s="33" t="n">
        <f>478.2</f>
        <v>478.2</v>
      </c>
      <c r="N172" s="34" t="s">
        <v>48</v>
      </c>
      <c r="O172" s="33" t="n">
        <f>464.4</f>
        <v>464.4</v>
      </c>
      <c r="P172" s="34" t="s">
        <v>59</v>
      </c>
      <c r="Q172" s="33" t="n">
        <f>469.6</f>
        <v>469.6</v>
      </c>
      <c r="R172" s="34" t="s">
        <v>51</v>
      </c>
      <c r="S172" s="35" t="n">
        <f>469</f>
        <v>469.0</v>
      </c>
      <c r="T172" s="32" t="n">
        <f>2201200</f>
        <v>2201200.0</v>
      </c>
      <c r="U172" s="32" t="n">
        <f>2150000</f>
        <v>2150000.0</v>
      </c>
      <c r="V172" s="32" t="n">
        <f>1029565633</f>
        <v>1.029565633E9</v>
      </c>
      <c r="W172" s="32" t="n">
        <f>1005670885</f>
        <v>1.005670885E9</v>
      </c>
      <c r="X172" s="36" t="n">
        <f>22</f>
        <v>22.0</v>
      </c>
    </row>
    <row r="173">
      <c r="A173" s="27" t="s">
        <v>42</v>
      </c>
      <c r="B173" s="27" t="s">
        <v>566</v>
      </c>
      <c r="C173" s="27" t="s">
        <v>567</v>
      </c>
      <c r="D173" s="27" t="s">
        <v>568</v>
      </c>
      <c r="E173" s="28" t="s">
        <v>46</v>
      </c>
      <c r="F173" s="29" t="s">
        <v>46</v>
      </c>
      <c r="G173" s="30" t="s">
        <v>46</v>
      </c>
      <c r="H173" s="31"/>
      <c r="I173" s="31" t="s">
        <v>47</v>
      </c>
      <c r="J173" s="32" t="n">
        <v>1.0</v>
      </c>
      <c r="K173" s="33" t="n">
        <f>1036</f>
        <v>1036.0</v>
      </c>
      <c r="L173" s="34" t="s">
        <v>48</v>
      </c>
      <c r="M173" s="33" t="n">
        <f>1036</f>
        <v>1036.0</v>
      </c>
      <c r="N173" s="34" t="s">
        <v>48</v>
      </c>
      <c r="O173" s="33" t="n">
        <f>977</f>
        <v>977.0</v>
      </c>
      <c r="P173" s="34" t="s">
        <v>63</v>
      </c>
      <c r="Q173" s="33" t="n">
        <f>1003</f>
        <v>1003.0</v>
      </c>
      <c r="R173" s="34" t="s">
        <v>51</v>
      </c>
      <c r="S173" s="35" t="n">
        <f>1004.32</f>
        <v>1004.32</v>
      </c>
      <c r="T173" s="32" t="n">
        <f>422173</f>
        <v>422173.0</v>
      </c>
      <c r="U173" s="32" t="n">
        <f>304</f>
        <v>304.0</v>
      </c>
      <c r="V173" s="32" t="n">
        <f>425001931</f>
        <v>4.25001931E8</v>
      </c>
      <c r="W173" s="32" t="n">
        <f>305383</f>
        <v>305383.0</v>
      </c>
      <c r="X173" s="36" t="n">
        <f>22</f>
        <v>22.0</v>
      </c>
    </row>
    <row r="174">
      <c r="A174" s="27" t="s">
        <v>42</v>
      </c>
      <c r="B174" s="27" t="s">
        <v>569</v>
      </c>
      <c r="C174" s="27" t="s">
        <v>570</v>
      </c>
      <c r="D174" s="27" t="s">
        <v>571</v>
      </c>
      <c r="E174" s="28" t="s">
        <v>46</v>
      </c>
      <c r="F174" s="29" t="s">
        <v>46</v>
      </c>
      <c r="G174" s="30" t="s">
        <v>46</v>
      </c>
      <c r="H174" s="31"/>
      <c r="I174" s="31" t="s">
        <v>47</v>
      </c>
      <c r="J174" s="32" t="n">
        <v>1.0</v>
      </c>
      <c r="K174" s="33" t="n">
        <f>2277</f>
        <v>2277.0</v>
      </c>
      <c r="L174" s="34" t="s">
        <v>48</v>
      </c>
      <c r="M174" s="33" t="n">
        <f>2428</f>
        <v>2428.0</v>
      </c>
      <c r="N174" s="34" t="s">
        <v>82</v>
      </c>
      <c r="O174" s="33" t="n">
        <f>2190</f>
        <v>2190.0</v>
      </c>
      <c r="P174" s="34" t="s">
        <v>67</v>
      </c>
      <c r="Q174" s="33" t="n">
        <f>2375</f>
        <v>2375.0</v>
      </c>
      <c r="R174" s="34" t="s">
        <v>51</v>
      </c>
      <c r="S174" s="35" t="n">
        <f>2311.55</f>
        <v>2311.55</v>
      </c>
      <c r="T174" s="32" t="n">
        <f>5239902</f>
        <v>5239902.0</v>
      </c>
      <c r="U174" s="32" t="n">
        <f>80681</f>
        <v>80681.0</v>
      </c>
      <c r="V174" s="32" t="n">
        <f>12119273715</f>
        <v>1.2119273715E10</v>
      </c>
      <c r="W174" s="32" t="n">
        <f>187971988</f>
        <v>1.87971988E8</v>
      </c>
      <c r="X174" s="36" t="n">
        <f>22</f>
        <v>22.0</v>
      </c>
    </row>
    <row r="175">
      <c r="A175" s="27" t="s">
        <v>42</v>
      </c>
      <c r="B175" s="27" t="s">
        <v>572</v>
      </c>
      <c r="C175" s="27" t="s">
        <v>573</v>
      </c>
      <c r="D175" s="27" t="s">
        <v>574</v>
      </c>
      <c r="E175" s="28" t="s">
        <v>46</v>
      </c>
      <c r="F175" s="29" t="s">
        <v>46</v>
      </c>
      <c r="G175" s="30" t="s">
        <v>46</v>
      </c>
      <c r="H175" s="31"/>
      <c r="I175" s="31" t="s">
        <v>47</v>
      </c>
      <c r="J175" s="32" t="n">
        <v>10.0</v>
      </c>
      <c r="K175" s="33" t="n">
        <f>720</f>
        <v>720.0</v>
      </c>
      <c r="L175" s="34" t="s">
        <v>48</v>
      </c>
      <c r="M175" s="33" t="n">
        <f>771</f>
        <v>771.0</v>
      </c>
      <c r="N175" s="34" t="s">
        <v>51</v>
      </c>
      <c r="O175" s="33" t="n">
        <f>709</f>
        <v>709.0</v>
      </c>
      <c r="P175" s="34" t="s">
        <v>86</v>
      </c>
      <c r="Q175" s="33" t="n">
        <f>771</f>
        <v>771.0</v>
      </c>
      <c r="R175" s="34" t="s">
        <v>51</v>
      </c>
      <c r="S175" s="35" t="n">
        <f>730.49</f>
        <v>730.49</v>
      </c>
      <c r="T175" s="32" t="n">
        <f>492610</f>
        <v>492610.0</v>
      </c>
      <c r="U175" s="32" t="n">
        <f>150</f>
        <v>150.0</v>
      </c>
      <c r="V175" s="32" t="n">
        <f>355979016</f>
        <v>3.55979016E8</v>
      </c>
      <c r="W175" s="32" t="n">
        <f>110135</f>
        <v>110135.0</v>
      </c>
      <c r="X175" s="36" t="n">
        <f>22</f>
        <v>22.0</v>
      </c>
    </row>
    <row r="176">
      <c r="A176" s="27" t="s">
        <v>42</v>
      </c>
      <c r="B176" s="27" t="s">
        <v>575</v>
      </c>
      <c r="C176" s="27" t="s">
        <v>576</v>
      </c>
      <c r="D176" s="27" t="s">
        <v>577</v>
      </c>
      <c r="E176" s="28" t="s">
        <v>46</v>
      </c>
      <c r="F176" s="29" t="s">
        <v>46</v>
      </c>
      <c r="G176" s="30" t="s">
        <v>46</v>
      </c>
      <c r="H176" s="31"/>
      <c r="I176" s="31" t="s">
        <v>47</v>
      </c>
      <c r="J176" s="32" t="n">
        <v>10.0</v>
      </c>
      <c r="K176" s="33" t="n">
        <f>231.6</f>
        <v>231.6</v>
      </c>
      <c r="L176" s="34" t="s">
        <v>48</v>
      </c>
      <c r="M176" s="33" t="n">
        <f>234.2</f>
        <v>234.2</v>
      </c>
      <c r="N176" s="34" t="s">
        <v>59</v>
      </c>
      <c r="O176" s="33" t="n">
        <f>229.3</f>
        <v>229.3</v>
      </c>
      <c r="P176" s="34" t="s">
        <v>86</v>
      </c>
      <c r="Q176" s="33" t="n">
        <f>231.8</f>
        <v>231.8</v>
      </c>
      <c r="R176" s="34" t="s">
        <v>51</v>
      </c>
      <c r="S176" s="35" t="n">
        <f>231.31</f>
        <v>231.31</v>
      </c>
      <c r="T176" s="32" t="n">
        <f>26037630</f>
        <v>2.603763E7</v>
      </c>
      <c r="U176" s="32" t="n">
        <f>23887000</f>
        <v>2.3887E7</v>
      </c>
      <c r="V176" s="32" t="n">
        <f>6034979270</f>
        <v>6.03497927E9</v>
      </c>
      <c r="W176" s="32" t="n">
        <f>5537344535</f>
        <v>5.537344535E9</v>
      </c>
      <c r="X176" s="36" t="n">
        <f>22</f>
        <v>22.0</v>
      </c>
    </row>
    <row r="177">
      <c r="A177" s="27" t="s">
        <v>42</v>
      </c>
      <c r="B177" s="27" t="s">
        <v>578</v>
      </c>
      <c r="C177" s="27" t="s">
        <v>579</v>
      </c>
      <c r="D177" s="27" t="s">
        <v>580</v>
      </c>
      <c r="E177" s="28" t="s">
        <v>46</v>
      </c>
      <c r="F177" s="29" t="s">
        <v>46</v>
      </c>
      <c r="G177" s="30" t="s">
        <v>46</v>
      </c>
      <c r="H177" s="31"/>
      <c r="I177" s="31" t="s">
        <v>47</v>
      </c>
      <c r="J177" s="32" t="n">
        <v>10.0</v>
      </c>
      <c r="K177" s="33" t="n">
        <f>259.8</f>
        <v>259.8</v>
      </c>
      <c r="L177" s="34" t="s">
        <v>48</v>
      </c>
      <c r="M177" s="33" t="n">
        <f>259.8</f>
        <v>259.8</v>
      </c>
      <c r="N177" s="34" t="s">
        <v>48</v>
      </c>
      <c r="O177" s="33" t="n">
        <f>252.3</f>
        <v>252.3</v>
      </c>
      <c r="P177" s="34" t="s">
        <v>63</v>
      </c>
      <c r="Q177" s="33" t="n">
        <f>258.2</f>
        <v>258.2</v>
      </c>
      <c r="R177" s="34" t="s">
        <v>51</v>
      </c>
      <c r="S177" s="35" t="n">
        <f>256.39</f>
        <v>256.39</v>
      </c>
      <c r="T177" s="32" t="n">
        <f>7936710</f>
        <v>7936710.0</v>
      </c>
      <c r="U177" s="32" t="str">
        <f>"－"</f>
        <v>－</v>
      </c>
      <c r="V177" s="32" t="n">
        <f>2034004618</f>
        <v>2.034004618E9</v>
      </c>
      <c r="W177" s="32" t="str">
        <f>"－"</f>
        <v>－</v>
      </c>
      <c r="X177" s="36" t="n">
        <f>22</f>
        <v>22.0</v>
      </c>
    </row>
    <row r="178">
      <c r="A178" s="27" t="s">
        <v>42</v>
      </c>
      <c r="B178" s="27" t="s">
        <v>581</v>
      </c>
      <c r="C178" s="27" t="s">
        <v>582</v>
      </c>
      <c r="D178" s="27" t="s">
        <v>583</v>
      </c>
      <c r="E178" s="28" t="s">
        <v>46</v>
      </c>
      <c r="F178" s="29" t="s">
        <v>46</v>
      </c>
      <c r="G178" s="30" t="s">
        <v>46</v>
      </c>
      <c r="H178" s="31"/>
      <c r="I178" s="31" t="s">
        <v>47</v>
      </c>
      <c r="J178" s="32" t="n">
        <v>10.0</v>
      </c>
      <c r="K178" s="33" t="n">
        <f>278.2</f>
        <v>278.2</v>
      </c>
      <c r="L178" s="34" t="s">
        <v>48</v>
      </c>
      <c r="M178" s="33" t="n">
        <f>282.3</f>
        <v>282.3</v>
      </c>
      <c r="N178" s="34" t="s">
        <v>82</v>
      </c>
      <c r="O178" s="33" t="n">
        <f>274.5</f>
        <v>274.5</v>
      </c>
      <c r="P178" s="34" t="s">
        <v>63</v>
      </c>
      <c r="Q178" s="33" t="n">
        <f>280.4</f>
        <v>280.4</v>
      </c>
      <c r="R178" s="34" t="s">
        <v>51</v>
      </c>
      <c r="S178" s="35" t="n">
        <f>277.75</f>
        <v>277.75</v>
      </c>
      <c r="T178" s="32" t="n">
        <f>7381610</f>
        <v>7381610.0</v>
      </c>
      <c r="U178" s="32" t="n">
        <f>4634170</f>
        <v>4634170.0</v>
      </c>
      <c r="V178" s="32" t="n">
        <f>2052066087</f>
        <v>2.052066087E9</v>
      </c>
      <c r="W178" s="32" t="n">
        <f>1289684016</f>
        <v>1.289684016E9</v>
      </c>
      <c r="X178" s="36" t="n">
        <f>22</f>
        <v>22.0</v>
      </c>
    </row>
    <row r="179">
      <c r="A179" s="27" t="s">
        <v>42</v>
      </c>
      <c r="B179" s="27" t="s">
        <v>584</v>
      </c>
      <c r="C179" s="27" t="s">
        <v>585</v>
      </c>
      <c r="D179" s="27" t="s">
        <v>586</v>
      </c>
      <c r="E179" s="28" t="s">
        <v>46</v>
      </c>
      <c r="F179" s="29" t="s">
        <v>46</v>
      </c>
      <c r="G179" s="30" t="s">
        <v>46</v>
      </c>
      <c r="H179" s="31"/>
      <c r="I179" s="31" t="s">
        <v>47</v>
      </c>
      <c r="J179" s="32" t="n">
        <v>1.0</v>
      </c>
      <c r="K179" s="33" t="n">
        <f>2156</f>
        <v>2156.0</v>
      </c>
      <c r="L179" s="34" t="s">
        <v>48</v>
      </c>
      <c r="M179" s="33" t="n">
        <f>2190</f>
        <v>2190.0</v>
      </c>
      <c r="N179" s="34" t="s">
        <v>59</v>
      </c>
      <c r="O179" s="33" t="n">
        <f>2142</f>
        <v>2142.0</v>
      </c>
      <c r="P179" s="34" t="s">
        <v>63</v>
      </c>
      <c r="Q179" s="33" t="n">
        <f>2172</f>
        <v>2172.0</v>
      </c>
      <c r="R179" s="34" t="s">
        <v>51</v>
      </c>
      <c r="S179" s="35" t="n">
        <f>2162.82</f>
        <v>2162.82</v>
      </c>
      <c r="T179" s="32" t="n">
        <f>755424</f>
        <v>755424.0</v>
      </c>
      <c r="U179" s="32" t="n">
        <f>650002</f>
        <v>650002.0</v>
      </c>
      <c r="V179" s="32" t="n">
        <f>1636651598</f>
        <v>1.636651598E9</v>
      </c>
      <c r="W179" s="32" t="n">
        <f>1408503434</f>
        <v>1.408503434E9</v>
      </c>
      <c r="X179" s="36" t="n">
        <f>22</f>
        <v>22.0</v>
      </c>
    </row>
    <row r="180">
      <c r="A180" s="27" t="s">
        <v>42</v>
      </c>
      <c r="B180" s="27" t="s">
        <v>587</v>
      </c>
      <c r="C180" s="27" t="s">
        <v>588</v>
      </c>
      <c r="D180" s="27" t="s">
        <v>589</v>
      </c>
      <c r="E180" s="28" t="s">
        <v>46</v>
      </c>
      <c r="F180" s="29" t="s">
        <v>46</v>
      </c>
      <c r="G180" s="30" t="s">
        <v>46</v>
      </c>
      <c r="H180" s="31"/>
      <c r="I180" s="31" t="s">
        <v>47</v>
      </c>
      <c r="J180" s="32" t="n">
        <v>1.0</v>
      </c>
      <c r="K180" s="33" t="n">
        <f>1881</f>
        <v>1881.0</v>
      </c>
      <c r="L180" s="34" t="s">
        <v>48</v>
      </c>
      <c r="M180" s="33" t="n">
        <f>1892</f>
        <v>1892.0</v>
      </c>
      <c r="N180" s="34" t="s">
        <v>289</v>
      </c>
      <c r="O180" s="33" t="n">
        <f>1854</f>
        <v>1854.0</v>
      </c>
      <c r="P180" s="34" t="s">
        <v>128</v>
      </c>
      <c r="Q180" s="33" t="n">
        <f>1864</f>
        <v>1864.0</v>
      </c>
      <c r="R180" s="34" t="s">
        <v>51</v>
      </c>
      <c r="S180" s="35" t="n">
        <f>1862.18</f>
        <v>1862.18</v>
      </c>
      <c r="T180" s="32" t="n">
        <f>962223</f>
        <v>962223.0</v>
      </c>
      <c r="U180" s="32" t="n">
        <f>2</f>
        <v>2.0</v>
      </c>
      <c r="V180" s="32" t="n">
        <f>1792785839</f>
        <v>1.792785839E9</v>
      </c>
      <c r="W180" s="32" t="n">
        <f>3722</f>
        <v>3722.0</v>
      </c>
      <c r="X180" s="36" t="n">
        <f>22</f>
        <v>22.0</v>
      </c>
    </row>
    <row r="181">
      <c r="A181" s="27" t="s">
        <v>42</v>
      </c>
      <c r="B181" s="27" t="s">
        <v>590</v>
      </c>
      <c r="C181" s="27" t="s">
        <v>591</v>
      </c>
      <c r="D181" s="27" t="s">
        <v>592</v>
      </c>
      <c r="E181" s="28" t="s">
        <v>46</v>
      </c>
      <c r="F181" s="29" t="s">
        <v>46</v>
      </c>
      <c r="G181" s="30" t="s">
        <v>46</v>
      </c>
      <c r="H181" s="31"/>
      <c r="I181" s="31" t="s">
        <v>47</v>
      </c>
      <c r="J181" s="32" t="n">
        <v>1.0</v>
      </c>
      <c r="K181" s="33" t="n">
        <f>1285</f>
        <v>1285.0</v>
      </c>
      <c r="L181" s="34" t="s">
        <v>48</v>
      </c>
      <c r="M181" s="33" t="n">
        <f>1310</f>
        <v>1310.0</v>
      </c>
      <c r="N181" s="34" t="s">
        <v>200</v>
      </c>
      <c r="O181" s="33" t="n">
        <f>1261</f>
        <v>1261.0</v>
      </c>
      <c r="P181" s="34" t="s">
        <v>67</v>
      </c>
      <c r="Q181" s="33" t="n">
        <f>1289</f>
        <v>1289.0</v>
      </c>
      <c r="R181" s="34" t="s">
        <v>51</v>
      </c>
      <c r="S181" s="35" t="n">
        <f>1287.77</f>
        <v>1287.77</v>
      </c>
      <c r="T181" s="32" t="n">
        <f>977145</f>
        <v>977145.0</v>
      </c>
      <c r="U181" s="32" t="n">
        <f>6371</f>
        <v>6371.0</v>
      </c>
      <c r="V181" s="32" t="n">
        <f>1256941986</f>
        <v>1.256941986E9</v>
      </c>
      <c r="W181" s="32" t="n">
        <f>8187837</f>
        <v>8187837.0</v>
      </c>
      <c r="X181" s="36" t="n">
        <f>22</f>
        <v>22.0</v>
      </c>
    </row>
    <row r="182">
      <c r="A182" s="27" t="s">
        <v>42</v>
      </c>
      <c r="B182" s="27" t="s">
        <v>593</v>
      </c>
      <c r="C182" s="27" t="s">
        <v>594</v>
      </c>
      <c r="D182" s="27" t="s">
        <v>595</v>
      </c>
      <c r="E182" s="28" t="s">
        <v>46</v>
      </c>
      <c r="F182" s="29" t="s">
        <v>46</v>
      </c>
      <c r="G182" s="30" t="s">
        <v>46</v>
      </c>
      <c r="H182" s="31"/>
      <c r="I182" s="31" t="s">
        <v>47</v>
      </c>
      <c r="J182" s="32" t="n">
        <v>1.0</v>
      </c>
      <c r="K182" s="33" t="n">
        <f>1161</f>
        <v>1161.0</v>
      </c>
      <c r="L182" s="34" t="s">
        <v>48</v>
      </c>
      <c r="M182" s="33" t="n">
        <f>1161</f>
        <v>1161.0</v>
      </c>
      <c r="N182" s="34" t="s">
        <v>48</v>
      </c>
      <c r="O182" s="33" t="n">
        <f>1118</f>
        <v>1118.0</v>
      </c>
      <c r="P182" s="34" t="s">
        <v>63</v>
      </c>
      <c r="Q182" s="33" t="n">
        <f>1133</f>
        <v>1133.0</v>
      </c>
      <c r="R182" s="34" t="s">
        <v>51</v>
      </c>
      <c r="S182" s="35" t="n">
        <f>1132.77</f>
        <v>1132.77</v>
      </c>
      <c r="T182" s="32" t="n">
        <f>95865</f>
        <v>95865.0</v>
      </c>
      <c r="U182" s="32" t="str">
        <f>"－"</f>
        <v>－</v>
      </c>
      <c r="V182" s="32" t="n">
        <f>107832940</f>
        <v>1.0783294E8</v>
      </c>
      <c r="W182" s="32" t="str">
        <f>"－"</f>
        <v>－</v>
      </c>
      <c r="X182" s="36" t="n">
        <f>22</f>
        <v>22.0</v>
      </c>
    </row>
    <row r="183">
      <c r="A183" s="27" t="s">
        <v>42</v>
      </c>
      <c r="B183" s="27" t="s">
        <v>596</v>
      </c>
      <c r="C183" s="27" t="s">
        <v>597</v>
      </c>
      <c r="D183" s="27" t="s">
        <v>598</v>
      </c>
      <c r="E183" s="28" t="s">
        <v>46</v>
      </c>
      <c r="F183" s="29" t="s">
        <v>46</v>
      </c>
      <c r="G183" s="30" t="s">
        <v>46</v>
      </c>
      <c r="H183" s="31"/>
      <c r="I183" s="31" t="s">
        <v>47</v>
      </c>
      <c r="J183" s="32" t="n">
        <v>1.0</v>
      </c>
      <c r="K183" s="33" t="n">
        <f>1014</f>
        <v>1014.0</v>
      </c>
      <c r="L183" s="34" t="s">
        <v>48</v>
      </c>
      <c r="M183" s="33" t="n">
        <f>1042</f>
        <v>1042.0</v>
      </c>
      <c r="N183" s="34" t="s">
        <v>210</v>
      </c>
      <c r="O183" s="33" t="n">
        <f>1009</f>
        <v>1009.0</v>
      </c>
      <c r="P183" s="34" t="s">
        <v>86</v>
      </c>
      <c r="Q183" s="33" t="n">
        <f>1032</f>
        <v>1032.0</v>
      </c>
      <c r="R183" s="34" t="s">
        <v>51</v>
      </c>
      <c r="S183" s="35" t="n">
        <f>1021.77</f>
        <v>1021.77</v>
      </c>
      <c r="T183" s="32" t="n">
        <f>111556</f>
        <v>111556.0</v>
      </c>
      <c r="U183" s="32" t="str">
        <f>"－"</f>
        <v>－</v>
      </c>
      <c r="V183" s="32" t="n">
        <f>114327369</f>
        <v>1.14327369E8</v>
      </c>
      <c r="W183" s="32" t="str">
        <f>"－"</f>
        <v>－</v>
      </c>
      <c r="X183" s="36" t="n">
        <f>22</f>
        <v>22.0</v>
      </c>
    </row>
    <row r="184">
      <c r="A184" s="27" t="s">
        <v>42</v>
      </c>
      <c r="B184" s="27" t="s">
        <v>599</v>
      </c>
      <c r="C184" s="27" t="s">
        <v>600</v>
      </c>
      <c r="D184" s="27" t="s">
        <v>601</v>
      </c>
      <c r="E184" s="28" t="s">
        <v>46</v>
      </c>
      <c r="F184" s="29" t="s">
        <v>46</v>
      </c>
      <c r="G184" s="30" t="s">
        <v>46</v>
      </c>
      <c r="H184" s="31"/>
      <c r="I184" s="31" t="s">
        <v>47</v>
      </c>
      <c r="J184" s="32" t="n">
        <v>10.0</v>
      </c>
      <c r="K184" s="33" t="n">
        <f>207.8</f>
        <v>207.8</v>
      </c>
      <c r="L184" s="34" t="s">
        <v>48</v>
      </c>
      <c r="M184" s="33" t="n">
        <f>208.7</f>
        <v>208.7</v>
      </c>
      <c r="N184" s="34" t="s">
        <v>48</v>
      </c>
      <c r="O184" s="33" t="n">
        <f>198</f>
        <v>198.0</v>
      </c>
      <c r="P184" s="34" t="s">
        <v>63</v>
      </c>
      <c r="Q184" s="33" t="n">
        <f>202.2</f>
        <v>202.2</v>
      </c>
      <c r="R184" s="34" t="s">
        <v>51</v>
      </c>
      <c r="S184" s="35" t="n">
        <f>202.21</f>
        <v>202.21</v>
      </c>
      <c r="T184" s="32" t="n">
        <f>6572430</f>
        <v>6572430.0</v>
      </c>
      <c r="U184" s="32" t="n">
        <f>67780</f>
        <v>67780.0</v>
      </c>
      <c r="V184" s="32" t="n">
        <f>1329965875</f>
        <v>1.329965875E9</v>
      </c>
      <c r="W184" s="32" t="n">
        <f>13336684</f>
        <v>1.3336684E7</v>
      </c>
      <c r="X184" s="36" t="n">
        <f>22</f>
        <v>22.0</v>
      </c>
    </row>
    <row r="185">
      <c r="A185" s="27" t="s">
        <v>42</v>
      </c>
      <c r="B185" s="27" t="s">
        <v>602</v>
      </c>
      <c r="C185" s="27" t="s">
        <v>603</v>
      </c>
      <c r="D185" s="27" t="s">
        <v>604</v>
      </c>
      <c r="E185" s="28" t="s">
        <v>46</v>
      </c>
      <c r="F185" s="29" t="s">
        <v>46</v>
      </c>
      <c r="G185" s="30" t="s">
        <v>46</v>
      </c>
      <c r="H185" s="31"/>
      <c r="I185" s="31" t="s">
        <v>418</v>
      </c>
      <c r="J185" s="32" t="n">
        <v>1.0</v>
      </c>
      <c r="K185" s="33" t="n">
        <f>8580</f>
        <v>8580.0</v>
      </c>
      <c r="L185" s="34" t="s">
        <v>48</v>
      </c>
      <c r="M185" s="33" t="n">
        <f>8745</f>
        <v>8745.0</v>
      </c>
      <c r="N185" s="34" t="s">
        <v>181</v>
      </c>
      <c r="O185" s="33" t="n">
        <f>7919</f>
        <v>7919.0</v>
      </c>
      <c r="P185" s="34" t="s">
        <v>200</v>
      </c>
      <c r="Q185" s="33" t="n">
        <f>8480</f>
        <v>8480.0</v>
      </c>
      <c r="R185" s="34" t="s">
        <v>51</v>
      </c>
      <c r="S185" s="35" t="n">
        <f>8385.68</f>
        <v>8385.68</v>
      </c>
      <c r="T185" s="32" t="n">
        <f>17746</f>
        <v>17746.0</v>
      </c>
      <c r="U185" s="32" t="str">
        <f>"－"</f>
        <v>－</v>
      </c>
      <c r="V185" s="32" t="n">
        <f>148720382</f>
        <v>1.48720382E8</v>
      </c>
      <c r="W185" s="32" t="str">
        <f>"－"</f>
        <v>－</v>
      </c>
      <c r="X185" s="36" t="n">
        <f>22</f>
        <v>22.0</v>
      </c>
    </row>
    <row r="186">
      <c r="A186" s="27" t="s">
        <v>42</v>
      </c>
      <c r="B186" s="27" t="s">
        <v>605</v>
      </c>
      <c r="C186" s="27" t="s">
        <v>606</v>
      </c>
      <c r="D186" s="27" t="s">
        <v>607</v>
      </c>
      <c r="E186" s="28" t="s">
        <v>46</v>
      </c>
      <c r="F186" s="29" t="s">
        <v>46</v>
      </c>
      <c r="G186" s="30" t="s">
        <v>46</v>
      </c>
      <c r="H186" s="31"/>
      <c r="I186" s="31" t="s">
        <v>418</v>
      </c>
      <c r="J186" s="32" t="n">
        <v>1.0</v>
      </c>
      <c r="K186" s="33" t="n">
        <f>6064</f>
        <v>6064.0</v>
      </c>
      <c r="L186" s="34" t="s">
        <v>48</v>
      </c>
      <c r="M186" s="33" t="n">
        <f>6205</f>
        <v>6205.0</v>
      </c>
      <c r="N186" s="34" t="s">
        <v>200</v>
      </c>
      <c r="O186" s="33" t="n">
        <f>5900</f>
        <v>5900.0</v>
      </c>
      <c r="P186" s="34" t="s">
        <v>48</v>
      </c>
      <c r="Q186" s="33" t="n">
        <f>6005</f>
        <v>6005.0</v>
      </c>
      <c r="R186" s="34" t="s">
        <v>51</v>
      </c>
      <c r="S186" s="35" t="n">
        <f>6018.14</f>
        <v>6018.14</v>
      </c>
      <c r="T186" s="32" t="n">
        <f>3779</f>
        <v>3779.0</v>
      </c>
      <c r="U186" s="32" t="str">
        <f>"－"</f>
        <v>－</v>
      </c>
      <c r="V186" s="32" t="n">
        <f>22737719</f>
        <v>2.2737719E7</v>
      </c>
      <c r="W186" s="32" t="str">
        <f>"－"</f>
        <v>－</v>
      </c>
      <c r="X186" s="36" t="n">
        <f>22</f>
        <v>22.0</v>
      </c>
    </row>
    <row r="187">
      <c r="A187" s="27" t="s">
        <v>42</v>
      </c>
      <c r="B187" s="27" t="s">
        <v>608</v>
      </c>
      <c r="C187" s="27" t="s">
        <v>609</v>
      </c>
      <c r="D187" s="27" t="s">
        <v>610</v>
      </c>
      <c r="E187" s="28" t="s">
        <v>46</v>
      </c>
      <c r="F187" s="29" t="s">
        <v>46</v>
      </c>
      <c r="G187" s="30" t="s">
        <v>46</v>
      </c>
      <c r="H187" s="31"/>
      <c r="I187" s="31" t="s">
        <v>418</v>
      </c>
      <c r="J187" s="32" t="n">
        <v>1.0</v>
      </c>
      <c r="K187" s="33" t="n">
        <f>26160</f>
        <v>26160.0</v>
      </c>
      <c r="L187" s="34" t="s">
        <v>48</v>
      </c>
      <c r="M187" s="33" t="n">
        <f>32670</f>
        <v>32670.0</v>
      </c>
      <c r="N187" s="34" t="s">
        <v>51</v>
      </c>
      <c r="O187" s="33" t="n">
        <f>25505</f>
        <v>25505.0</v>
      </c>
      <c r="P187" s="34" t="s">
        <v>48</v>
      </c>
      <c r="Q187" s="33" t="n">
        <f>32280</f>
        <v>32280.0</v>
      </c>
      <c r="R187" s="34" t="s">
        <v>51</v>
      </c>
      <c r="S187" s="35" t="n">
        <f>28503.18</f>
        <v>28503.18</v>
      </c>
      <c r="T187" s="32" t="n">
        <f>4108</f>
        <v>4108.0</v>
      </c>
      <c r="U187" s="32" t="str">
        <f>"－"</f>
        <v>－</v>
      </c>
      <c r="V187" s="32" t="n">
        <f>117306710</f>
        <v>1.1730671E8</v>
      </c>
      <c r="W187" s="32" t="str">
        <f>"－"</f>
        <v>－</v>
      </c>
      <c r="X187" s="36" t="n">
        <f>22</f>
        <v>22.0</v>
      </c>
    </row>
    <row r="188">
      <c r="A188" s="27" t="s">
        <v>42</v>
      </c>
      <c r="B188" s="27" t="s">
        <v>611</v>
      </c>
      <c r="C188" s="27" t="s">
        <v>612</v>
      </c>
      <c r="D188" s="27" t="s">
        <v>613</v>
      </c>
      <c r="E188" s="28" t="s">
        <v>46</v>
      </c>
      <c r="F188" s="29" t="s">
        <v>46</v>
      </c>
      <c r="G188" s="30" t="s">
        <v>46</v>
      </c>
      <c r="H188" s="31"/>
      <c r="I188" s="31" t="s">
        <v>418</v>
      </c>
      <c r="J188" s="32" t="n">
        <v>1.0</v>
      </c>
      <c r="K188" s="33" t="n">
        <f>4523</f>
        <v>4523.0</v>
      </c>
      <c r="L188" s="34" t="s">
        <v>48</v>
      </c>
      <c r="M188" s="33" t="n">
        <f>4634</f>
        <v>4634.0</v>
      </c>
      <c r="N188" s="34" t="s">
        <v>48</v>
      </c>
      <c r="O188" s="33" t="n">
        <f>4255</f>
        <v>4255.0</v>
      </c>
      <c r="P188" s="34" t="s">
        <v>289</v>
      </c>
      <c r="Q188" s="33" t="n">
        <f>4255</f>
        <v>4255.0</v>
      </c>
      <c r="R188" s="34" t="s">
        <v>51</v>
      </c>
      <c r="S188" s="35" t="n">
        <f>4371.14</f>
        <v>4371.14</v>
      </c>
      <c r="T188" s="32" t="n">
        <f>8815</f>
        <v>8815.0</v>
      </c>
      <c r="U188" s="32" t="str">
        <f>"－"</f>
        <v>－</v>
      </c>
      <c r="V188" s="32" t="n">
        <f>38644132</f>
        <v>3.8644132E7</v>
      </c>
      <c r="W188" s="32" t="str">
        <f>"－"</f>
        <v>－</v>
      </c>
      <c r="X188" s="36" t="n">
        <f>22</f>
        <v>22.0</v>
      </c>
    </row>
    <row r="189">
      <c r="A189" s="27" t="s">
        <v>42</v>
      </c>
      <c r="B189" s="27" t="s">
        <v>614</v>
      </c>
      <c r="C189" s="27" t="s">
        <v>615</v>
      </c>
      <c r="D189" s="27" t="s">
        <v>616</v>
      </c>
      <c r="E189" s="28" t="s">
        <v>46</v>
      </c>
      <c r="F189" s="29" t="s">
        <v>46</v>
      </c>
      <c r="G189" s="30" t="s">
        <v>46</v>
      </c>
      <c r="H189" s="31"/>
      <c r="I189" s="31" t="s">
        <v>418</v>
      </c>
      <c r="J189" s="32" t="n">
        <v>1.0</v>
      </c>
      <c r="K189" s="33" t="n">
        <f>171550</f>
        <v>171550.0</v>
      </c>
      <c r="L189" s="34" t="s">
        <v>48</v>
      </c>
      <c r="M189" s="33" t="n">
        <f>197900</f>
        <v>197900.0</v>
      </c>
      <c r="N189" s="34" t="s">
        <v>82</v>
      </c>
      <c r="O189" s="33" t="n">
        <f>166050</f>
        <v>166050.0</v>
      </c>
      <c r="P189" s="34" t="s">
        <v>90</v>
      </c>
      <c r="Q189" s="33" t="n">
        <f>186100</f>
        <v>186100.0</v>
      </c>
      <c r="R189" s="34" t="s">
        <v>51</v>
      </c>
      <c r="S189" s="35" t="n">
        <f>178743.18</f>
        <v>178743.18</v>
      </c>
      <c r="T189" s="32" t="n">
        <f>301915</f>
        <v>301915.0</v>
      </c>
      <c r="U189" s="32" t="str">
        <f>"－"</f>
        <v>－</v>
      </c>
      <c r="V189" s="32" t="n">
        <f>54753703450</f>
        <v>5.475370345E10</v>
      </c>
      <c r="W189" s="32" t="str">
        <f>"－"</f>
        <v>－</v>
      </c>
      <c r="X189" s="36" t="n">
        <f>22</f>
        <v>22.0</v>
      </c>
    </row>
    <row r="190">
      <c r="A190" s="27" t="s">
        <v>42</v>
      </c>
      <c r="B190" s="27" t="s">
        <v>617</v>
      </c>
      <c r="C190" s="27" t="s">
        <v>618</v>
      </c>
      <c r="D190" s="27" t="s">
        <v>619</v>
      </c>
      <c r="E190" s="28" t="s">
        <v>46</v>
      </c>
      <c r="F190" s="29" t="s">
        <v>46</v>
      </c>
      <c r="G190" s="30" t="s">
        <v>46</v>
      </c>
      <c r="H190" s="31"/>
      <c r="I190" s="31" t="s">
        <v>418</v>
      </c>
      <c r="J190" s="32" t="n">
        <v>1.0</v>
      </c>
      <c r="K190" s="33" t="n">
        <f>1460</f>
        <v>1460.0</v>
      </c>
      <c r="L190" s="34" t="s">
        <v>48</v>
      </c>
      <c r="M190" s="33" t="n">
        <f>1479</f>
        <v>1479.0</v>
      </c>
      <c r="N190" s="34" t="s">
        <v>162</v>
      </c>
      <c r="O190" s="33" t="n">
        <f>1346</f>
        <v>1346.0</v>
      </c>
      <c r="P190" s="34" t="s">
        <v>49</v>
      </c>
      <c r="Q190" s="33" t="n">
        <f>1399</f>
        <v>1399.0</v>
      </c>
      <c r="R190" s="34" t="s">
        <v>51</v>
      </c>
      <c r="S190" s="35" t="n">
        <f>1422.77</f>
        <v>1422.77</v>
      </c>
      <c r="T190" s="32" t="n">
        <f>105567</f>
        <v>105567.0</v>
      </c>
      <c r="U190" s="32" t="str">
        <f>"－"</f>
        <v>－</v>
      </c>
      <c r="V190" s="32" t="n">
        <f>149447018</f>
        <v>1.49447018E8</v>
      </c>
      <c r="W190" s="32" t="str">
        <f>"－"</f>
        <v>－</v>
      </c>
      <c r="X190" s="36" t="n">
        <f>22</f>
        <v>22.0</v>
      </c>
    </row>
    <row r="191">
      <c r="A191" s="27" t="s">
        <v>42</v>
      </c>
      <c r="B191" s="27" t="s">
        <v>620</v>
      </c>
      <c r="C191" s="27" t="s">
        <v>621</v>
      </c>
      <c r="D191" s="27" t="s">
        <v>622</v>
      </c>
      <c r="E191" s="28" t="s">
        <v>46</v>
      </c>
      <c r="F191" s="29" t="s">
        <v>46</v>
      </c>
      <c r="G191" s="30" t="s">
        <v>46</v>
      </c>
      <c r="H191" s="31"/>
      <c r="I191" s="31" t="s">
        <v>418</v>
      </c>
      <c r="J191" s="32" t="n">
        <v>1.0</v>
      </c>
      <c r="K191" s="33" t="n">
        <f>1486</f>
        <v>1486.0</v>
      </c>
      <c r="L191" s="34" t="s">
        <v>48</v>
      </c>
      <c r="M191" s="33" t="n">
        <f>1508</f>
        <v>1508.0</v>
      </c>
      <c r="N191" s="34" t="s">
        <v>48</v>
      </c>
      <c r="O191" s="33" t="n">
        <f>1317</f>
        <v>1317.0</v>
      </c>
      <c r="P191" s="34" t="s">
        <v>63</v>
      </c>
      <c r="Q191" s="33" t="n">
        <f>1397</f>
        <v>1397.0</v>
      </c>
      <c r="R191" s="34" t="s">
        <v>51</v>
      </c>
      <c r="S191" s="35" t="n">
        <f>1420.82</f>
        <v>1420.82</v>
      </c>
      <c r="T191" s="32" t="n">
        <f>5275410</f>
        <v>5275410.0</v>
      </c>
      <c r="U191" s="32" t="n">
        <f>1358</f>
        <v>1358.0</v>
      </c>
      <c r="V191" s="32" t="n">
        <f>7412132763</f>
        <v>7.412132763E9</v>
      </c>
      <c r="W191" s="32" t="n">
        <f>1926988</f>
        <v>1926988.0</v>
      </c>
      <c r="X191" s="36" t="n">
        <f>22</f>
        <v>22.0</v>
      </c>
    </row>
    <row r="192">
      <c r="A192" s="27" t="s">
        <v>42</v>
      </c>
      <c r="B192" s="27" t="s">
        <v>623</v>
      </c>
      <c r="C192" s="27" t="s">
        <v>624</v>
      </c>
      <c r="D192" s="27" t="s">
        <v>625</v>
      </c>
      <c r="E192" s="28" t="s">
        <v>46</v>
      </c>
      <c r="F192" s="29" t="s">
        <v>46</v>
      </c>
      <c r="G192" s="30" t="s">
        <v>46</v>
      </c>
      <c r="H192" s="31"/>
      <c r="I192" s="31" t="s">
        <v>418</v>
      </c>
      <c r="J192" s="32" t="n">
        <v>1.0</v>
      </c>
      <c r="K192" s="33" t="n">
        <f>886</f>
        <v>886.0</v>
      </c>
      <c r="L192" s="34" t="s">
        <v>48</v>
      </c>
      <c r="M192" s="33" t="n">
        <f>942</f>
        <v>942.0</v>
      </c>
      <c r="N192" s="34" t="s">
        <v>63</v>
      </c>
      <c r="O192" s="33" t="n">
        <f>880</f>
        <v>880.0</v>
      </c>
      <c r="P192" s="34" t="s">
        <v>162</v>
      </c>
      <c r="Q192" s="33" t="n">
        <f>906</f>
        <v>906.0</v>
      </c>
      <c r="R192" s="34" t="s">
        <v>51</v>
      </c>
      <c r="S192" s="35" t="n">
        <f>902.18</f>
        <v>902.18</v>
      </c>
      <c r="T192" s="32" t="n">
        <f>564061</f>
        <v>564061.0</v>
      </c>
      <c r="U192" s="32" t="n">
        <f>20040</f>
        <v>20040.0</v>
      </c>
      <c r="V192" s="32" t="n">
        <f>512586756</f>
        <v>5.12586756E8</v>
      </c>
      <c r="W192" s="32" t="n">
        <f>18073080</f>
        <v>1.807308E7</v>
      </c>
      <c r="X192" s="36" t="n">
        <f>22</f>
        <v>22.0</v>
      </c>
    </row>
    <row r="193">
      <c r="A193" s="27" t="s">
        <v>42</v>
      </c>
      <c r="B193" s="27" t="s">
        <v>626</v>
      </c>
      <c r="C193" s="27" t="s">
        <v>627</v>
      </c>
      <c r="D193" s="27" t="s">
        <v>628</v>
      </c>
      <c r="E193" s="28" t="s">
        <v>46</v>
      </c>
      <c r="F193" s="29" t="s">
        <v>46</v>
      </c>
      <c r="G193" s="30" t="s">
        <v>46</v>
      </c>
      <c r="H193" s="31"/>
      <c r="I193" s="31" t="s">
        <v>418</v>
      </c>
      <c r="J193" s="32" t="n">
        <v>1.0</v>
      </c>
      <c r="K193" s="33" t="n">
        <f>34030</f>
        <v>34030.0</v>
      </c>
      <c r="L193" s="34" t="s">
        <v>48</v>
      </c>
      <c r="M193" s="33" t="n">
        <f>35640</f>
        <v>35640.0</v>
      </c>
      <c r="N193" s="34" t="s">
        <v>75</v>
      </c>
      <c r="O193" s="33" t="n">
        <f>33410</f>
        <v>33410.0</v>
      </c>
      <c r="P193" s="34" t="s">
        <v>181</v>
      </c>
      <c r="Q193" s="33" t="n">
        <f>34890</f>
        <v>34890.0</v>
      </c>
      <c r="R193" s="34" t="s">
        <v>51</v>
      </c>
      <c r="S193" s="35" t="n">
        <f>34590.45</f>
        <v>34590.45</v>
      </c>
      <c r="T193" s="32" t="n">
        <f>17614</f>
        <v>17614.0</v>
      </c>
      <c r="U193" s="32" t="str">
        <f>"－"</f>
        <v>－</v>
      </c>
      <c r="V193" s="32" t="n">
        <f>611863280</f>
        <v>6.1186328E8</v>
      </c>
      <c r="W193" s="32" t="str">
        <f>"－"</f>
        <v>－</v>
      </c>
      <c r="X193" s="36" t="n">
        <f>22</f>
        <v>22.0</v>
      </c>
    </row>
    <row r="194">
      <c r="A194" s="27" t="s">
        <v>42</v>
      </c>
      <c r="B194" s="27" t="s">
        <v>629</v>
      </c>
      <c r="C194" s="27" t="s">
        <v>630</v>
      </c>
      <c r="D194" s="27" t="s">
        <v>631</v>
      </c>
      <c r="E194" s="28" t="s">
        <v>46</v>
      </c>
      <c r="F194" s="29" t="s">
        <v>46</v>
      </c>
      <c r="G194" s="30" t="s">
        <v>46</v>
      </c>
      <c r="H194" s="31"/>
      <c r="I194" s="31" t="s">
        <v>418</v>
      </c>
      <c r="J194" s="32" t="n">
        <v>1.0</v>
      </c>
      <c r="K194" s="33" t="n">
        <f>2139</f>
        <v>2139.0</v>
      </c>
      <c r="L194" s="34" t="s">
        <v>48</v>
      </c>
      <c r="M194" s="33" t="n">
        <f>2163</f>
        <v>2163.0</v>
      </c>
      <c r="N194" s="34" t="s">
        <v>181</v>
      </c>
      <c r="O194" s="33" t="n">
        <f>2088</f>
        <v>2088.0</v>
      </c>
      <c r="P194" s="34" t="s">
        <v>49</v>
      </c>
      <c r="Q194" s="33" t="n">
        <f>2105</f>
        <v>2105.0</v>
      </c>
      <c r="R194" s="34" t="s">
        <v>51</v>
      </c>
      <c r="S194" s="35" t="n">
        <f>2119.77</f>
        <v>2119.77</v>
      </c>
      <c r="T194" s="32" t="n">
        <f>145488</f>
        <v>145488.0</v>
      </c>
      <c r="U194" s="32" t="str">
        <f>"－"</f>
        <v>－</v>
      </c>
      <c r="V194" s="32" t="n">
        <f>307625422</f>
        <v>3.07625422E8</v>
      </c>
      <c r="W194" s="32" t="str">
        <f>"－"</f>
        <v>－</v>
      </c>
      <c r="X194" s="36" t="n">
        <f>22</f>
        <v>22.0</v>
      </c>
    </row>
    <row r="195">
      <c r="A195" s="27" t="s">
        <v>42</v>
      </c>
      <c r="B195" s="27" t="s">
        <v>632</v>
      </c>
      <c r="C195" s="27" t="s">
        <v>633</v>
      </c>
      <c r="D195" s="27" t="s">
        <v>634</v>
      </c>
      <c r="E195" s="28" t="s">
        <v>46</v>
      </c>
      <c r="F195" s="29" t="s">
        <v>46</v>
      </c>
      <c r="G195" s="30" t="s">
        <v>46</v>
      </c>
      <c r="H195" s="31"/>
      <c r="I195" s="31" t="s">
        <v>418</v>
      </c>
      <c r="J195" s="32" t="n">
        <v>1.0</v>
      </c>
      <c r="K195" s="33" t="n">
        <f>7380</f>
        <v>7380.0</v>
      </c>
      <c r="L195" s="34" t="s">
        <v>48</v>
      </c>
      <c r="M195" s="33" t="n">
        <f>7400</f>
        <v>7400.0</v>
      </c>
      <c r="N195" s="34" t="s">
        <v>48</v>
      </c>
      <c r="O195" s="33" t="n">
        <f>6710</f>
        <v>6710.0</v>
      </c>
      <c r="P195" s="34" t="s">
        <v>67</v>
      </c>
      <c r="Q195" s="33" t="n">
        <f>7090</f>
        <v>7090.0</v>
      </c>
      <c r="R195" s="34" t="s">
        <v>51</v>
      </c>
      <c r="S195" s="35" t="n">
        <f>6980.41</f>
        <v>6980.41</v>
      </c>
      <c r="T195" s="32" t="n">
        <f>37905</f>
        <v>37905.0</v>
      </c>
      <c r="U195" s="32" t="n">
        <f>1220</f>
        <v>1220.0</v>
      </c>
      <c r="V195" s="32" t="n">
        <f>266061276</f>
        <v>2.66061276E8</v>
      </c>
      <c r="W195" s="32" t="n">
        <f>8195730</f>
        <v>8195730.0</v>
      </c>
      <c r="X195" s="36" t="n">
        <f>22</f>
        <v>22.0</v>
      </c>
    </row>
    <row r="196">
      <c r="A196" s="27" t="s">
        <v>42</v>
      </c>
      <c r="B196" s="27" t="s">
        <v>635</v>
      </c>
      <c r="C196" s="27" t="s">
        <v>636</v>
      </c>
      <c r="D196" s="27" t="s">
        <v>637</v>
      </c>
      <c r="E196" s="28" t="s">
        <v>46</v>
      </c>
      <c r="F196" s="29" t="s">
        <v>46</v>
      </c>
      <c r="G196" s="30" t="s">
        <v>46</v>
      </c>
      <c r="H196" s="31"/>
      <c r="I196" s="31" t="s">
        <v>418</v>
      </c>
      <c r="J196" s="32" t="n">
        <v>1.0</v>
      </c>
      <c r="K196" s="33" t="n">
        <f>25095</f>
        <v>25095.0</v>
      </c>
      <c r="L196" s="34" t="s">
        <v>48</v>
      </c>
      <c r="M196" s="33" t="n">
        <f>25930</f>
        <v>25930.0</v>
      </c>
      <c r="N196" s="34" t="s">
        <v>49</v>
      </c>
      <c r="O196" s="33" t="n">
        <f>24320</f>
        <v>24320.0</v>
      </c>
      <c r="P196" s="34" t="s">
        <v>181</v>
      </c>
      <c r="Q196" s="33" t="n">
        <f>25800</f>
        <v>25800.0</v>
      </c>
      <c r="R196" s="34" t="s">
        <v>51</v>
      </c>
      <c r="S196" s="35" t="n">
        <f>25170.71</f>
        <v>25170.71</v>
      </c>
      <c r="T196" s="32" t="n">
        <f>651</f>
        <v>651.0</v>
      </c>
      <c r="U196" s="32" t="str">
        <f>"－"</f>
        <v>－</v>
      </c>
      <c r="V196" s="32" t="n">
        <f>16373395</f>
        <v>1.6373395E7</v>
      </c>
      <c r="W196" s="32" t="str">
        <f>"－"</f>
        <v>－</v>
      </c>
      <c r="X196" s="36" t="n">
        <f>21</f>
        <v>21.0</v>
      </c>
    </row>
    <row r="197">
      <c r="A197" s="27" t="s">
        <v>42</v>
      </c>
      <c r="B197" s="27" t="s">
        <v>638</v>
      </c>
      <c r="C197" s="27" t="s">
        <v>639</v>
      </c>
      <c r="D197" s="27" t="s">
        <v>640</v>
      </c>
      <c r="E197" s="28" t="s">
        <v>46</v>
      </c>
      <c r="F197" s="29" t="s">
        <v>46</v>
      </c>
      <c r="G197" s="30" t="s">
        <v>46</v>
      </c>
      <c r="H197" s="31"/>
      <c r="I197" s="31" t="s">
        <v>418</v>
      </c>
      <c r="J197" s="32" t="n">
        <v>1.0</v>
      </c>
      <c r="K197" s="33" t="n">
        <f>31480</f>
        <v>31480.0</v>
      </c>
      <c r="L197" s="34" t="s">
        <v>48</v>
      </c>
      <c r="M197" s="33" t="n">
        <f>32020</f>
        <v>32020.0</v>
      </c>
      <c r="N197" s="34" t="s">
        <v>51</v>
      </c>
      <c r="O197" s="33" t="n">
        <f>30800</f>
        <v>30800.0</v>
      </c>
      <c r="P197" s="34" t="s">
        <v>128</v>
      </c>
      <c r="Q197" s="33" t="n">
        <f>31740</f>
        <v>31740.0</v>
      </c>
      <c r="R197" s="34" t="s">
        <v>51</v>
      </c>
      <c r="S197" s="35" t="n">
        <f>31256.36</f>
        <v>31256.36</v>
      </c>
      <c r="T197" s="32" t="n">
        <f>5868</f>
        <v>5868.0</v>
      </c>
      <c r="U197" s="32" t="str">
        <f>"－"</f>
        <v>－</v>
      </c>
      <c r="V197" s="32" t="n">
        <f>183374790</f>
        <v>1.8337479E8</v>
      </c>
      <c r="W197" s="32" t="str">
        <f>"－"</f>
        <v>－</v>
      </c>
      <c r="X197" s="36" t="n">
        <f>22</f>
        <v>22.0</v>
      </c>
    </row>
    <row r="198">
      <c r="A198" s="27" t="s">
        <v>42</v>
      </c>
      <c r="B198" s="27" t="s">
        <v>641</v>
      </c>
      <c r="C198" s="27" t="s">
        <v>642</v>
      </c>
      <c r="D198" s="27" t="s">
        <v>643</v>
      </c>
      <c r="E198" s="28" t="s">
        <v>46</v>
      </c>
      <c r="F198" s="29" t="s">
        <v>46</v>
      </c>
      <c r="G198" s="30" t="s">
        <v>46</v>
      </c>
      <c r="H198" s="31"/>
      <c r="I198" s="31" t="s">
        <v>418</v>
      </c>
      <c r="J198" s="32" t="n">
        <v>1.0</v>
      </c>
      <c r="K198" s="33" t="n">
        <f>19645</f>
        <v>19645.0</v>
      </c>
      <c r="L198" s="34" t="s">
        <v>48</v>
      </c>
      <c r="M198" s="33" t="n">
        <f>20475</f>
        <v>20475.0</v>
      </c>
      <c r="N198" s="34" t="s">
        <v>59</v>
      </c>
      <c r="O198" s="33" t="n">
        <f>19350</f>
        <v>19350.0</v>
      </c>
      <c r="P198" s="34" t="s">
        <v>181</v>
      </c>
      <c r="Q198" s="33" t="n">
        <f>19810</f>
        <v>19810.0</v>
      </c>
      <c r="R198" s="34" t="s">
        <v>49</v>
      </c>
      <c r="S198" s="35" t="n">
        <f>19727</f>
        <v>19727.0</v>
      </c>
      <c r="T198" s="32" t="n">
        <f>300</f>
        <v>300.0</v>
      </c>
      <c r="U198" s="32" t="str">
        <f>"－"</f>
        <v>－</v>
      </c>
      <c r="V198" s="32" t="n">
        <f>5867715</f>
        <v>5867715.0</v>
      </c>
      <c r="W198" s="32" t="str">
        <f>"－"</f>
        <v>－</v>
      </c>
      <c r="X198" s="36" t="n">
        <f>10</f>
        <v>10.0</v>
      </c>
    </row>
    <row r="199">
      <c r="A199" s="27" t="s">
        <v>42</v>
      </c>
      <c r="B199" s="27" t="s">
        <v>644</v>
      </c>
      <c r="C199" s="27" t="s">
        <v>645</v>
      </c>
      <c r="D199" s="27" t="s">
        <v>646</v>
      </c>
      <c r="E199" s="28" t="s">
        <v>46</v>
      </c>
      <c r="F199" s="29" t="s">
        <v>46</v>
      </c>
      <c r="G199" s="30" t="s">
        <v>46</v>
      </c>
      <c r="H199" s="31"/>
      <c r="I199" s="31" t="s">
        <v>418</v>
      </c>
      <c r="J199" s="32" t="n">
        <v>1.0</v>
      </c>
      <c r="K199" s="33" t="n">
        <f>33340</f>
        <v>33340.0</v>
      </c>
      <c r="L199" s="34" t="s">
        <v>48</v>
      </c>
      <c r="M199" s="33" t="n">
        <f>33480</f>
        <v>33480.0</v>
      </c>
      <c r="N199" s="34" t="s">
        <v>48</v>
      </c>
      <c r="O199" s="33" t="n">
        <f>30680</f>
        <v>30680.0</v>
      </c>
      <c r="P199" s="34" t="s">
        <v>63</v>
      </c>
      <c r="Q199" s="33" t="n">
        <f>31800</f>
        <v>31800.0</v>
      </c>
      <c r="R199" s="34" t="s">
        <v>51</v>
      </c>
      <c r="S199" s="35" t="n">
        <f>32049.55</f>
        <v>32049.55</v>
      </c>
      <c r="T199" s="32" t="n">
        <f>52264</f>
        <v>52264.0</v>
      </c>
      <c r="U199" s="32" t="str">
        <f>"－"</f>
        <v>－</v>
      </c>
      <c r="V199" s="32" t="n">
        <f>1674808900</f>
        <v>1.6748089E9</v>
      </c>
      <c r="W199" s="32" t="str">
        <f>"－"</f>
        <v>－</v>
      </c>
      <c r="X199" s="36" t="n">
        <f>22</f>
        <v>22.0</v>
      </c>
    </row>
    <row r="200">
      <c r="A200" s="27" t="s">
        <v>42</v>
      </c>
      <c r="B200" s="27" t="s">
        <v>647</v>
      </c>
      <c r="C200" s="27" t="s">
        <v>648</v>
      </c>
      <c r="D200" s="27" t="s">
        <v>649</v>
      </c>
      <c r="E200" s="28" t="s">
        <v>46</v>
      </c>
      <c r="F200" s="29" t="s">
        <v>46</v>
      </c>
      <c r="G200" s="30" t="s">
        <v>46</v>
      </c>
      <c r="H200" s="31"/>
      <c r="I200" s="31" t="s">
        <v>418</v>
      </c>
      <c r="J200" s="32" t="n">
        <v>1.0</v>
      </c>
      <c r="K200" s="33" t="n">
        <f>3293</f>
        <v>3293.0</v>
      </c>
      <c r="L200" s="34" t="s">
        <v>48</v>
      </c>
      <c r="M200" s="33" t="n">
        <f>3336</f>
        <v>3336.0</v>
      </c>
      <c r="N200" s="34" t="s">
        <v>59</v>
      </c>
      <c r="O200" s="33" t="n">
        <f>3266</f>
        <v>3266.0</v>
      </c>
      <c r="P200" s="34" t="s">
        <v>289</v>
      </c>
      <c r="Q200" s="33" t="n">
        <f>3290</f>
        <v>3290.0</v>
      </c>
      <c r="R200" s="34" t="s">
        <v>51</v>
      </c>
      <c r="S200" s="35" t="n">
        <f>3301.29</f>
        <v>3301.29</v>
      </c>
      <c r="T200" s="32" t="n">
        <f>1624</f>
        <v>1624.0</v>
      </c>
      <c r="U200" s="32" t="str">
        <f>"－"</f>
        <v>－</v>
      </c>
      <c r="V200" s="32" t="n">
        <f>5327184</f>
        <v>5327184.0</v>
      </c>
      <c r="W200" s="32" t="str">
        <f>"－"</f>
        <v>－</v>
      </c>
      <c r="X200" s="36" t="n">
        <f>21</f>
        <v>21.0</v>
      </c>
    </row>
    <row r="201">
      <c r="A201" s="27" t="s">
        <v>42</v>
      </c>
      <c r="B201" s="27" t="s">
        <v>650</v>
      </c>
      <c r="C201" s="27" t="s">
        <v>651</v>
      </c>
      <c r="D201" s="27" t="s">
        <v>652</v>
      </c>
      <c r="E201" s="28" t="s">
        <v>46</v>
      </c>
      <c r="F201" s="29" t="s">
        <v>46</v>
      </c>
      <c r="G201" s="30" t="s">
        <v>46</v>
      </c>
      <c r="H201" s="31"/>
      <c r="I201" s="31" t="s">
        <v>418</v>
      </c>
      <c r="J201" s="32" t="n">
        <v>1.0</v>
      </c>
      <c r="K201" s="33" t="n">
        <f>42000</f>
        <v>42000.0</v>
      </c>
      <c r="L201" s="34" t="s">
        <v>50</v>
      </c>
      <c r="M201" s="33" t="n">
        <f>45150</f>
        <v>45150.0</v>
      </c>
      <c r="N201" s="34" t="s">
        <v>82</v>
      </c>
      <c r="O201" s="33" t="n">
        <f>42000</f>
        <v>42000.0</v>
      </c>
      <c r="P201" s="34" t="s">
        <v>50</v>
      </c>
      <c r="Q201" s="33" t="n">
        <f>45150</f>
        <v>45150.0</v>
      </c>
      <c r="R201" s="34" t="s">
        <v>82</v>
      </c>
      <c r="S201" s="35" t="n">
        <f>43874.17</f>
        <v>43874.17</v>
      </c>
      <c r="T201" s="32" t="n">
        <f>840</f>
        <v>840.0</v>
      </c>
      <c r="U201" s="32" t="str">
        <f>"－"</f>
        <v>－</v>
      </c>
      <c r="V201" s="32" t="n">
        <f>36595360</f>
        <v>3.659536E7</v>
      </c>
      <c r="W201" s="32" t="str">
        <f>"－"</f>
        <v>－</v>
      </c>
      <c r="X201" s="36" t="n">
        <f>12</f>
        <v>12.0</v>
      </c>
    </row>
    <row r="202">
      <c r="A202" s="27" t="s">
        <v>42</v>
      </c>
      <c r="B202" s="27" t="s">
        <v>653</v>
      </c>
      <c r="C202" s="27" t="s">
        <v>654</v>
      </c>
      <c r="D202" s="27" t="s">
        <v>655</v>
      </c>
      <c r="E202" s="28" t="s">
        <v>46</v>
      </c>
      <c r="F202" s="29" t="s">
        <v>46</v>
      </c>
      <c r="G202" s="30" t="s">
        <v>46</v>
      </c>
      <c r="H202" s="31"/>
      <c r="I202" s="31" t="s">
        <v>418</v>
      </c>
      <c r="J202" s="32" t="n">
        <v>1.0</v>
      </c>
      <c r="K202" s="33" t="n">
        <f>26540</f>
        <v>26540.0</v>
      </c>
      <c r="L202" s="34" t="s">
        <v>50</v>
      </c>
      <c r="M202" s="33" t="n">
        <f>27735</f>
        <v>27735.0</v>
      </c>
      <c r="N202" s="34" t="s">
        <v>55</v>
      </c>
      <c r="O202" s="33" t="n">
        <f>26540</f>
        <v>26540.0</v>
      </c>
      <c r="P202" s="34" t="s">
        <v>50</v>
      </c>
      <c r="Q202" s="33" t="n">
        <f>27125</f>
        <v>27125.0</v>
      </c>
      <c r="R202" s="34" t="s">
        <v>82</v>
      </c>
      <c r="S202" s="35" t="n">
        <f>26949.38</f>
        <v>26949.38</v>
      </c>
      <c r="T202" s="32" t="n">
        <f>45</f>
        <v>45.0</v>
      </c>
      <c r="U202" s="32" t="str">
        <f>"－"</f>
        <v>－</v>
      </c>
      <c r="V202" s="32" t="n">
        <f>1213550</f>
        <v>1213550.0</v>
      </c>
      <c r="W202" s="32" t="str">
        <f>"－"</f>
        <v>－</v>
      </c>
      <c r="X202" s="36" t="n">
        <f>8</f>
        <v>8.0</v>
      </c>
    </row>
    <row r="203">
      <c r="A203" s="27" t="s">
        <v>42</v>
      </c>
      <c r="B203" s="27" t="s">
        <v>656</v>
      </c>
      <c r="C203" s="27" t="s">
        <v>657</v>
      </c>
      <c r="D203" s="27" t="s">
        <v>658</v>
      </c>
      <c r="E203" s="28" t="s">
        <v>46</v>
      </c>
      <c r="F203" s="29" t="s">
        <v>46</v>
      </c>
      <c r="G203" s="30" t="s">
        <v>46</v>
      </c>
      <c r="H203" s="31"/>
      <c r="I203" s="31" t="s">
        <v>418</v>
      </c>
      <c r="J203" s="32" t="n">
        <v>1.0</v>
      </c>
      <c r="K203" s="33" t="n">
        <f>48500</f>
        <v>48500.0</v>
      </c>
      <c r="L203" s="34" t="s">
        <v>48</v>
      </c>
      <c r="M203" s="33" t="n">
        <f>51110</f>
        <v>51110.0</v>
      </c>
      <c r="N203" s="34" t="s">
        <v>49</v>
      </c>
      <c r="O203" s="33" t="n">
        <f>47760</f>
        <v>47760.0</v>
      </c>
      <c r="P203" s="34" t="s">
        <v>90</v>
      </c>
      <c r="Q203" s="33" t="n">
        <f>50920</f>
        <v>50920.0</v>
      </c>
      <c r="R203" s="34" t="s">
        <v>82</v>
      </c>
      <c r="S203" s="35" t="n">
        <f>49673.13</f>
        <v>49673.13</v>
      </c>
      <c r="T203" s="32" t="n">
        <f>1405</f>
        <v>1405.0</v>
      </c>
      <c r="U203" s="32" t="str">
        <f>"－"</f>
        <v>－</v>
      </c>
      <c r="V203" s="32" t="n">
        <f>69763100</f>
        <v>6.97631E7</v>
      </c>
      <c r="W203" s="32" t="str">
        <f>"－"</f>
        <v>－</v>
      </c>
      <c r="X203" s="36" t="n">
        <f>16</f>
        <v>16.0</v>
      </c>
    </row>
    <row r="204">
      <c r="A204" s="27" t="s">
        <v>42</v>
      </c>
      <c r="B204" s="27" t="s">
        <v>659</v>
      </c>
      <c r="C204" s="27" t="s">
        <v>660</v>
      </c>
      <c r="D204" s="27" t="s">
        <v>661</v>
      </c>
      <c r="E204" s="28" t="s">
        <v>46</v>
      </c>
      <c r="F204" s="29" t="s">
        <v>46</v>
      </c>
      <c r="G204" s="30" t="s">
        <v>46</v>
      </c>
      <c r="H204" s="31"/>
      <c r="I204" s="31" t="s">
        <v>418</v>
      </c>
      <c r="J204" s="32" t="n">
        <v>1.0</v>
      </c>
      <c r="K204" s="33" t="n">
        <f>26090</f>
        <v>26090.0</v>
      </c>
      <c r="L204" s="34" t="s">
        <v>51</v>
      </c>
      <c r="M204" s="33" t="n">
        <f>26090</f>
        <v>26090.0</v>
      </c>
      <c r="N204" s="34" t="s">
        <v>51</v>
      </c>
      <c r="O204" s="33" t="n">
        <f>25610</f>
        <v>25610.0</v>
      </c>
      <c r="P204" s="34" t="s">
        <v>51</v>
      </c>
      <c r="Q204" s="33" t="n">
        <f>25610</f>
        <v>25610.0</v>
      </c>
      <c r="R204" s="34" t="s">
        <v>51</v>
      </c>
      <c r="S204" s="35" t="n">
        <f>25610</f>
        <v>25610.0</v>
      </c>
      <c r="T204" s="32" t="n">
        <f>18</f>
        <v>18.0</v>
      </c>
      <c r="U204" s="32" t="str">
        <f>"－"</f>
        <v>－</v>
      </c>
      <c r="V204" s="32" t="n">
        <f>465430</f>
        <v>465430.0</v>
      </c>
      <c r="W204" s="32" t="str">
        <f>"－"</f>
        <v>－</v>
      </c>
      <c r="X204" s="36" t="n">
        <f>1</f>
        <v>1.0</v>
      </c>
    </row>
    <row r="205">
      <c r="A205" s="27" t="s">
        <v>42</v>
      </c>
      <c r="B205" s="27" t="s">
        <v>662</v>
      </c>
      <c r="C205" s="27" t="s">
        <v>663</v>
      </c>
      <c r="D205" s="27" t="s">
        <v>664</v>
      </c>
      <c r="E205" s="28" t="s">
        <v>46</v>
      </c>
      <c r="F205" s="29" t="s">
        <v>46</v>
      </c>
      <c r="G205" s="30" t="s">
        <v>46</v>
      </c>
      <c r="H205" s="31"/>
      <c r="I205" s="31" t="s">
        <v>418</v>
      </c>
      <c r="J205" s="32" t="n">
        <v>1.0</v>
      </c>
      <c r="K205" s="33" t="n">
        <f>25050</f>
        <v>25050.0</v>
      </c>
      <c r="L205" s="34" t="s">
        <v>48</v>
      </c>
      <c r="M205" s="33" t="n">
        <f>26370</f>
        <v>26370.0</v>
      </c>
      <c r="N205" s="34" t="s">
        <v>82</v>
      </c>
      <c r="O205" s="33" t="n">
        <f>24865</f>
        <v>24865.0</v>
      </c>
      <c r="P205" s="34" t="s">
        <v>181</v>
      </c>
      <c r="Q205" s="33" t="n">
        <f>25800</f>
        <v>25800.0</v>
      </c>
      <c r="R205" s="34" t="s">
        <v>51</v>
      </c>
      <c r="S205" s="35" t="n">
        <f>25439.41</f>
        <v>25439.41</v>
      </c>
      <c r="T205" s="32" t="n">
        <f>370</f>
        <v>370.0</v>
      </c>
      <c r="U205" s="32" t="str">
        <f>"－"</f>
        <v>－</v>
      </c>
      <c r="V205" s="32" t="n">
        <f>9403055</f>
        <v>9403055.0</v>
      </c>
      <c r="W205" s="32" t="str">
        <f>"－"</f>
        <v>－</v>
      </c>
      <c r="X205" s="36" t="n">
        <f>17</f>
        <v>17.0</v>
      </c>
    </row>
    <row r="206">
      <c r="A206" s="27" t="s">
        <v>42</v>
      </c>
      <c r="B206" s="27" t="s">
        <v>665</v>
      </c>
      <c r="C206" s="27" t="s">
        <v>666</v>
      </c>
      <c r="D206" s="27" t="s">
        <v>667</v>
      </c>
      <c r="E206" s="28" t="s">
        <v>46</v>
      </c>
      <c r="F206" s="29" t="s">
        <v>46</v>
      </c>
      <c r="G206" s="30" t="s">
        <v>46</v>
      </c>
      <c r="H206" s="31"/>
      <c r="I206" s="31" t="s">
        <v>418</v>
      </c>
      <c r="J206" s="32" t="n">
        <v>1.0</v>
      </c>
      <c r="K206" s="33" t="n">
        <f>31780</f>
        <v>31780.0</v>
      </c>
      <c r="L206" s="34" t="s">
        <v>48</v>
      </c>
      <c r="M206" s="33" t="n">
        <f>31780</f>
        <v>31780.0</v>
      </c>
      <c r="N206" s="34" t="s">
        <v>48</v>
      </c>
      <c r="O206" s="33" t="n">
        <f>31780</f>
        <v>31780.0</v>
      </c>
      <c r="P206" s="34" t="s">
        <v>48</v>
      </c>
      <c r="Q206" s="33" t="n">
        <f>31780</f>
        <v>31780.0</v>
      </c>
      <c r="R206" s="34" t="s">
        <v>48</v>
      </c>
      <c r="S206" s="35" t="n">
        <f>31780</f>
        <v>31780.0</v>
      </c>
      <c r="T206" s="32" t="n">
        <f>1000</f>
        <v>1000.0</v>
      </c>
      <c r="U206" s="32" t="str">
        <f>"－"</f>
        <v>－</v>
      </c>
      <c r="V206" s="32" t="n">
        <f>31780000</f>
        <v>3.178E7</v>
      </c>
      <c r="W206" s="32" t="str">
        <f>"－"</f>
        <v>－</v>
      </c>
      <c r="X206" s="36" t="n">
        <f>1</f>
        <v>1.0</v>
      </c>
    </row>
    <row r="207">
      <c r="A207" s="27" t="s">
        <v>42</v>
      </c>
      <c r="B207" s="27" t="s">
        <v>668</v>
      </c>
      <c r="C207" s="27" t="s">
        <v>669</v>
      </c>
      <c r="D207" s="27" t="s">
        <v>670</v>
      </c>
      <c r="E207" s="28" t="s">
        <v>46</v>
      </c>
      <c r="F207" s="29" t="s">
        <v>46</v>
      </c>
      <c r="G207" s="30" t="s">
        <v>46</v>
      </c>
      <c r="H207" s="31"/>
      <c r="I207" s="31" t="s">
        <v>418</v>
      </c>
      <c r="J207" s="32" t="n">
        <v>1.0</v>
      </c>
      <c r="K207" s="33" t="n">
        <f>20575</f>
        <v>20575.0</v>
      </c>
      <c r="L207" s="34" t="s">
        <v>362</v>
      </c>
      <c r="M207" s="33" t="n">
        <f>20575</f>
        <v>20575.0</v>
      </c>
      <c r="N207" s="34" t="s">
        <v>362</v>
      </c>
      <c r="O207" s="33" t="n">
        <f>20575</f>
        <v>20575.0</v>
      </c>
      <c r="P207" s="34" t="s">
        <v>362</v>
      </c>
      <c r="Q207" s="33" t="n">
        <f>20575</f>
        <v>20575.0</v>
      </c>
      <c r="R207" s="34" t="s">
        <v>362</v>
      </c>
      <c r="S207" s="35" t="n">
        <f>20575</f>
        <v>20575.0</v>
      </c>
      <c r="T207" s="32" t="n">
        <f>1</f>
        <v>1.0</v>
      </c>
      <c r="U207" s="32" t="str">
        <f>"－"</f>
        <v>－</v>
      </c>
      <c r="V207" s="32" t="n">
        <f>20575</f>
        <v>20575.0</v>
      </c>
      <c r="W207" s="32" t="str">
        <f>"－"</f>
        <v>－</v>
      </c>
      <c r="X207" s="36" t="n">
        <f>1</f>
        <v>1.0</v>
      </c>
    </row>
    <row r="208">
      <c r="A208" s="27" t="s">
        <v>42</v>
      </c>
      <c r="B208" s="27" t="s">
        <v>671</v>
      </c>
      <c r="C208" s="27" t="s">
        <v>672</v>
      </c>
      <c r="D208" s="27" t="s">
        <v>673</v>
      </c>
      <c r="E208" s="28" t="s">
        <v>46</v>
      </c>
      <c r="F208" s="29" t="s">
        <v>46</v>
      </c>
      <c r="G208" s="30" t="s">
        <v>46</v>
      </c>
      <c r="H208" s="31"/>
      <c r="I208" s="31" t="s">
        <v>418</v>
      </c>
      <c r="J208" s="32" t="n">
        <v>1.0</v>
      </c>
      <c r="K208" s="33" t="n">
        <f>14105</f>
        <v>14105.0</v>
      </c>
      <c r="L208" s="34" t="s">
        <v>50</v>
      </c>
      <c r="M208" s="33" t="n">
        <f>14715</f>
        <v>14715.0</v>
      </c>
      <c r="N208" s="34" t="s">
        <v>289</v>
      </c>
      <c r="O208" s="33" t="n">
        <f>14105</f>
        <v>14105.0</v>
      </c>
      <c r="P208" s="34" t="s">
        <v>50</v>
      </c>
      <c r="Q208" s="33" t="n">
        <f>14460</f>
        <v>14460.0</v>
      </c>
      <c r="R208" s="34" t="s">
        <v>51</v>
      </c>
      <c r="S208" s="35" t="n">
        <f>14413.46</f>
        <v>14413.46</v>
      </c>
      <c r="T208" s="32" t="n">
        <f>971</f>
        <v>971.0</v>
      </c>
      <c r="U208" s="32" t="str">
        <f>"－"</f>
        <v>－</v>
      </c>
      <c r="V208" s="32" t="n">
        <f>14015970</f>
        <v>1.401597E7</v>
      </c>
      <c r="W208" s="32" t="str">
        <f>"－"</f>
        <v>－</v>
      </c>
      <c r="X208" s="36" t="n">
        <f>13</f>
        <v>13.0</v>
      </c>
    </row>
    <row r="209">
      <c r="A209" s="27" t="s">
        <v>42</v>
      </c>
      <c r="B209" s="27" t="s">
        <v>674</v>
      </c>
      <c r="C209" s="27" t="s">
        <v>675</v>
      </c>
      <c r="D209" s="27" t="s">
        <v>676</v>
      </c>
      <c r="E209" s="28" t="s">
        <v>46</v>
      </c>
      <c r="F209" s="29" t="s">
        <v>46</v>
      </c>
      <c r="G209" s="30" t="s">
        <v>46</v>
      </c>
      <c r="H209" s="31"/>
      <c r="I209" s="31" t="s">
        <v>418</v>
      </c>
      <c r="J209" s="32" t="n">
        <v>1.0</v>
      </c>
      <c r="K209" s="33" t="n">
        <f>18005</f>
        <v>18005.0</v>
      </c>
      <c r="L209" s="34" t="s">
        <v>181</v>
      </c>
      <c r="M209" s="33" t="n">
        <f>18380</f>
        <v>18380.0</v>
      </c>
      <c r="N209" s="34" t="s">
        <v>75</v>
      </c>
      <c r="O209" s="33" t="n">
        <f>17980</f>
        <v>17980.0</v>
      </c>
      <c r="P209" s="34" t="s">
        <v>63</v>
      </c>
      <c r="Q209" s="33" t="n">
        <f>18100</f>
        <v>18100.0</v>
      </c>
      <c r="R209" s="34" t="s">
        <v>82</v>
      </c>
      <c r="S209" s="35" t="n">
        <f>18148.67</f>
        <v>18148.67</v>
      </c>
      <c r="T209" s="32" t="n">
        <f>7823</f>
        <v>7823.0</v>
      </c>
      <c r="U209" s="32" t="str">
        <f>"－"</f>
        <v>－</v>
      </c>
      <c r="V209" s="32" t="n">
        <f>141713425</f>
        <v>1.41713425E8</v>
      </c>
      <c r="W209" s="32" t="str">
        <f>"－"</f>
        <v>－</v>
      </c>
      <c r="X209" s="36" t="n">
        <f>15</f>
        <v>15.0</v>
      </c>
    </row>
    <row r="210">
      <c r="A210" s="27" t="s">
        <v>42</v>
      </c>
      <c r="B210" s="27" t="s">
        <v>677</v>
      </c>
      <c r="C210" s="27" t="s">
        <v>678</v>
      </c>
      <c r="D210" s="27" t="s">
        <v>679</v>
      </c>
      <c r="E210" s="28" t="s">
        <v>46</v>
      </c>
      <c r="F210" s="29" t="s">
        <v>46</v>
      </c>
      <c r="G210" s="30" t="s">
        <v>46</v>
      </c>
      <c r="H210" s="31"/>
      <c r="I210" s="31" t="s">
        <v>418</v>
      </c>
      <c r="J210" s="32" t="n">
        <v>1.0</v>
      </c>
      <c r="K210" s="33" t="n">
        <f>16530</f>
        <v>16530.0</v>
      </c>
      <c r="L210" s="34" t="s">
        <v>48</v>
      </c>
      <c r="M210" s="33" t="n">
        <f>16670</f>
        <v>16670.0</v>
      </c>
      <c r="N210" s="34" t="s">
        <v>82</v>
      </c>
      <c r="O210" s="33" t="n">
        <f>15935</f>
        <v>15935.0</v>
      </c>
      <c r="P210" s="34" t="s">
        <v>50</v>
      </c>
      <c r="Q210" s="33" t="n">
        <f>16450</f>
        <v>16450.0</v>
      </c>
      <c r="R210" s="34" t="s">
        <v>51</v>
      </c>
      <c r="S210" s="35" t="n">
        <f>16335.83</f>
        <v>16335.83</v>
      </c>
      <c r="T210" s="32" t="n">
        <f>4776</f>
        <v>4776.0</v>
      </c>
      <c r="U210" s="32" t="str">
        <f>"－"</f>
        <v>－</v>
      </c>
      <c r="V210" s="32" t="n">
        <f>77261520</f>
        <v>7.726152E7</v>
      </c>
      <c r="W210" s="32" t="str">
        <f>"－"</f>
        <v>－</v>
      </c>
      <c r="X210" s="36" t="n">
        <f>12</f>
        <v>12.0</v>
      </c>
    </row>
    <row r="211">
      <c r="A211" s="27" t="s">
        <v>42</v>
      </c>
      <c r="B211" s="27" t="s">
        <v>680</v>
      </c>
      <c r="C211" s="27" t="s">
        <v>681</v>
      </c>
      <c r="D211" s="27" t="s">
        <v>682</v>
      </c>
      <c r="E211" s="28" t="s">
        <v>46</v>
      </c>
      <c r="F211" s="29" t="s">
        <v>46</v>
      </c>
      <c r="G211" s="30" t="s">
        <v>46</v>
      </c>
      <c r="H211" s="31"/>
      <c r="I211" s="31" t="s">
        <v>418</v>
      </c>
      <c r="J211" s="32" t="n">
        <v>1.0</v>
      </c>
      <c r="K211" s="33" t="n">
        <f>15130</f>
        <v>15130.0</v>
      </c>
      <c r="L211" s="34" t="s">
        <v>63</v>
      </c>
      <c r="M211" s="33" t="n">
        <f>15130</f>
        <v>15130.0</v>
      </c>
      <c r="N211" s="34" t="s">
        <v>63</v>
      </c>
      <c r="O211" s="33" t="n">
        <f>15130</f>
        <v>15130.0</v>
      </c>
      <c r="P211" s="34" t="s">
        <v>63</v>
      </c>
      <c r="Q211" s="33" t="n">
        <f>15130</f>
        <v>15130.0</v>
      </c>
      <c r="R211" s="34" t="s">
        <v>63</v>
      </c>
      <c r="S211" s="35" t="n">
        <f>15130</f>
        <v>15130.0</v>
      </c>
      <c r="T211" s="32" t="n">
        <f>1</f>
        <v>1.0</v>
      </c>
      <c r="U211" s="32" t="str">
        <f>"－"</f>
        <v>－</v>
      </c>
      <c r="V211" s="32" t="n">
        <f>15130</f>
        <v>15130.0</v>
      </c>
      <c r="W211" s="32" t="str">
        <f>"－"</f>
        <v>－</v>
      </c>
      <c r="X211" s="36" t="n">
        <f>1</f>
        <v>1.0</v>
      </c>
    </row>
    <row r="212">
      <c r="A212" s="27" t="s">
        <v>42</v>
      </c>
      <c r="B212" s="27" t="s">
        <v>683</v>
      </c>
      <c r="C212" s="27" t="s">
        <v>684</v>
      </c>
      <c r="D212" s="27" t="s">
        <v>685</v>
      </c>
      <c r="E212" s="28" t="s">
        <v>46</v>
      </c>
      <c r="F212" s="29" t="s">
        <v>46</v>
      </c>
      <c r="G212" s="30" t="s">
        <v>46</v>
      </c>
      <c r="H212" s="31"/>
      <c r="I212" s="31" t="s">
        <v>47</v>
      </c>
      <c r="J212" s="32" t="n">
        <v>1.0</v>
      </c>
      <c r="K212" s="33" t="n">
        <f>1546</f>
        <v>1546.0</v>
      </c>
      <c r="L212" s="34" t="s">
        <v>48</v>
      </c>
      <c r="M212" s="33" t="n">
        <f>1618</f>
        <v>1618.0</v>
      </c>
      <c r="N212" s="34" t="s">
        <v>59</v>
      </c>
      <c r="O212" s="33" t="n">
        <f>1521</f>
        <v>1521.0</v>
      </c>
      <c r="P212" s="34" t="s">
        <v>90</v>
      </c>
      <c r="Q212" s="33" t="n">
        <f>1596</f>
        <v>1596.0</v>
      </c>
      <c r="R212" s="34" t="s">
        <v>51</v>
      </c>
      <c r="S212" s="35" t="n">
        <f>1568.14</f>
        <v>1568.14</v>
      </c>
      <c r="T212" s="32" t="n">
        <f>1140605</f>
        <v>1140605.0</v>
      </c>
      <c r="U212" s="32" t="n">
        <f>24</f>
        <v>24.0</v>
      </c>
      <c r="V212" s="32" t="n">
        <f>1781683769</f>
        <v>1.781683769E9</v>
      </c>
      <c r="W212" s="32" t="n">
        <f>36850</f>
        <v>36850.0</v>
      </c>
      <c r="X212" s="36" t="n">
        <f>22</f>
        <v>22.0</v>
      </c>
    </row>
    <row r="213">
      <c r="A213" s="27" t="s">
        <v>42</v>
      </c>
      <c r="B213" s="27" t="s">
        <v>686</v>
      </c>
      <c r="C213" s="27" t="s">
        <v>687</v>
      </c>
      <c r="D213" s="27" t="s">
        <v>688</v>
      </c>
      <c r="E213" s="28" t="s">
        <v>46</v>
      </c>
      <c r="F213" s="29" t="s">
        <v>46</v>
      </c>
      <c r="G213" s="30" t="s">
        <v>46</v>
      </c>
      <c r="H213" s="31"/>
      <c r="I213" s="31" t="s">
        <v>47</v>
      </c>
      <c r="J213" s="32" t="n">
        <v>1.0</v>
      </c>
      <c r="K213" s="33" t="n">
        <f>1670</f>
        <v>1670.0</v>
      </c>
      <c r="L213" s="34" t="s">
        <v>48</v>
      </c>
      <c r="M213" s="33" t="n">
        <f>1771</f>
        <v>1771.0</v>
      </c>
      <c r="N213" s="34" t="s">
        <v>82</v>
      </c>
      <c r="O213" s="33" t="n">
        <f>1600</f>
        <v>1600.0</v>
      </c>
      <c r="P213" s="34" t="s">
        <v>50</v>
      </c>
      <c r="Q213" s="33" t="n">
        <f>1691</f>
        <v>1691.0</v>
      </c>
      <c r="R213" s="34" t="s">
        <v>51</v>
      </c>
      <c r="S213" s="35" t="n">
        <f>1674.23</f>
        <v>1674.23</v>
      </c>
      <c r="T213" s="32" t="n">
        <f>56671</f>
        <v>56671.0</v>
      </c>
      <c r="U213" s="32" t="str">
        <f>"－"</f>
        <v>－</v>
      </c>
      <c r="V213" s="32" t="n">
        <f>94798581</f>
        <v>9.4798581E7</v>
      </c>
      <c r="W213" s="32" t="str">
        <f>"－"</f>
        <v>－</v>
      </c>
      <c r="X213" s="36" t="n">
        <f>22</f>
        <v>22.0</v>
      </c>
    </row>
    <row r="214">
      <c r="A214" s="27" t="s">
        <v>42</v>
      </c>
      <c r="B214" s="27" t="s">
        <v>689</v>
      </c>
      <c r="C214" s="27" t="s">
        <v>690</v>
      </c>
      <c r="D214" s="27" t="s">
        <v>691</v>
      </c>
      <c r="E214" s="28" t="s">
        <v>46</v>
      </c>
      <c r="F214" s="29" t="s">
        <v>46</v>
      </c>
      <c r="G214" s="30" t="s">
        <v>46</v>
      </c>
      <c r="H214" s="31"/>
      <c r="I214" s="31" t="s">
        <v>47</v>
      </c>
      <c r="J214" s="32" t="n">
        <v>1.0</v>
      </c>
      <c r="K214" s="33" t="n">
        <f>1163</f>
        <v>1163.0</v>
      </c>
      <c r="L214" s="34" t="s">
        <v>48</v>
      </c>
      <c r="M214" s="33" t="n">
        <f>1190</f>
        <v>1190.0</v>
      </c>
      <c r="N214" s="34" t="s">
        <v>48</v>
      </c>
      <c r="O214" s="33" t="n">
        <f>1145</f>
        <v>1145.0</v>
      </c>
      <c r="P214" s="34" t="s">
        <v>63</v>
      </c>
      <c r="Q214" s="33" t="n">
        <f>1169</f>
        <v>1169.0</v>
      </c>
      <c r="R214" s="34" t="s">
        <v>51</v>
      </c>
      <c r="S214" s="35" t="n">
        <f>1164.73</f>
        <v>1164.73</v>
      </c>
      <c r="T214" s="32" t="n">
        <f>6309</f>
        <v>6309.0</v>
      </c>
      <c r="U214" s="32" t="str">
        <f>"－"</f>
        <v>－</v>
      </c>
      <c r="V214" s="32" t="n">
        <f>7339496</f>
        <v>7339496.0</v>
      </c>
      <c r="W214" s="32" t="str">
        <f>"－"</f>
        <v>－</v>
      </c>
      <c r="X214" s="36" t="n">
        <f>22</f>
        <v>22.0</v>
      </c>
    </row>
    <row r="215">
      <c r="A215" s="27" t="s">
        <v>42</v>
      </c>
      <c r="B215" s="27" t="s">
        <v>692</v>
      </c>
      <c r="C215" s="27" t="s">
        <v>693</v>
      </c>
      <c r="D215" s="27" t="s">
        <v>694</v>
      </c>
      <c r="E215" s="28" t="s">
        <v>46</v>
      </c>
      <c r="F215" s="29" t="s">
        <v>46</v>
      </c>
      <c r="G215" s="30" t="s">
        <v>46</v>
      </c>
      <c r="H215" s="31"/>
      <c r="I215" s="31" t="s">
        <v>47</v>
      </c>
      <c r="J215" s="32" t="n">
        <v>1.0</v>
      </c>
      <c r="K215" s="33" t="n">
        <f>2784</f>
        <v>2784.0</v>
      </c>
      <c r="L215" s="34" t="s">
        <v>48</v>
      </c>
      <c r="M215" s="33" t="n">
        <f>2912</f>
        <v>2912.0</v>
      </c>
      <c r="N215" s="34" t="s">
        <v>82</v>
      </c>
      <c r="O215" s="33" t="n">
        <f>2749</f>
        <v>2749.0</v>
      </c>
      <c r="P215" s="34" t="s">
        <v>181</v>
      </c>
      <c r="Q215" s="33" t="n">
        <f>2849</f>
        <v>2849.0</v>
      </c>
      <c r="R215" s="34" t="s">
        <v>51</v>
      </c>
      <c r="S215" s="35" t="n">
        <f>2814.73</f>
        <v>2814.73</v>
      </c>
      <c r="T215" s="32" t="n">
        <f>58054</f>
        <v>58054.0</v>
      </c>
      <c r="U215" s="32" t="str">
        <f>"－"</f>
        <v>－</v>
      </c>
      <c r="V215" s="32" t="n">
        <f>163338586</f>
        <v>1.63338586E8</v>
      </c>
      <c r="W215" s="32" t="str">
        <f>"－"</f>
        <v>－</v>
      </c>
      <c r="X215" s="36" t="n">
        <f>22</f>
        <v>22.0</v>
      </c>
    </row>
    <row r="216">
      <c r="A216" s="27" t="s">
        <v>42</v>
      </c>
      <c r="B216" s="27" t="s">
        <v>695</v>
      </c>
      <c r="C216" s="27" t="s">
        <v>696</v>
      </c>
      <c r="D216" s="27" t="s">
        <v>697</v>
      </c>
      <c r="E216" s="28" t="s">
        <v>46</v>
      </c>
      <c r="F216" s="29" t="s">
        <v>46</v>
      </c>
      <c r="G216" s="30" t="s">
        <v>46</v>
      </c>
      <c r="H216" s="31"/>
      <c r="I216" s="31" t="s">
        <v>47</v>
      </c>
      <c r="J216" s="32" t="n">
        <v>1.0</v>
      </c>
      <c r="K216" s="33" t="n">
        <f>2975</f>
        <v>2975.0</v>
      </c>
      <c r="L216" s="34" t="s">
        <v>48</v>
      </c>
      <c r="M216" s="33" t="n">
        <f>3085</f>
        <v>3085.0</v>
      </c>
      <c r="N216" s="34" t="s">
        <v>59</v>
      </c>
      <c r="O216" s="33" t="n">
        <f>2925</f>
        <v>2925.0</v>
      </c>
      <c r="P216" s="34" t="s">
        <v>48</v>
      </c>
      <c r="Q216" s="33" t="n">
        <f>3037</f>
        <v>3037.0</v>
      </c>
      <c r="R216" s="34" t="s">
        <v>51</v>
      </c>
      <c r="S216" s="35" t="n">
        <f>2998.82</f>
        <v>2998.82</v>
      </c>
      <c r="T216" s="32" t="n">
        <f>252783</f>
        <v>252783.0</v>
      </c>
      <c r="U216" s="32" t="n">
        <f>74000</f>
        <v>74000.0</v>
      </c>
      <c r="V216" s="32" t="n">
        <f>759402916</f>
        <v>7.59402916E8</v>
      </c>
      <c r="W216" s="32" t="n">
        <f>222303400</f>
        <v>2.223034E8</v>
      </c>
      <c r="X216" s="36" t="n">
        <f>22</f>
        <v>22.0</v>
      </c>
    </row>
    <row r="217">
      <c r="A217" s="27" t="s">
        <v>42</v>
      </c>
      <c r="B217" s="27" t="s">
        <v>698</v>
      </c>
      <c r="C217" s="27" t="s">
        <v>699</v>
      </c>
      <c r="D217" s="27" t="s">
        <v>700</v>
      </c>
      <c r="E217" s="28" t="s">
        <v>46</v>
      </c>
      <c r="F217" s="29" t="s">
        <v>46</v>
      </c>
      <c r="G217" s="30" t="s">
        <v>46</v>
      </c>
      <c r="H217" s="31"/>
      <c r="I217" s="31" t="s">
        <v>47</v>
      </c>
      <c r="J217" s="32" t="n">
        <v>10.0</v>
      </c>
      <c r="K217" s="33" t="n">
        <f>670.9</f>
        <v>670.9</v>
      </c>
      <c r="L217" s="34" t="s">
        <v>48</v>
      </c>
      <c r="M217" s="33" t="n">
        <f>696.3</f>
        <v>696.3</v>
      </c>
      <c r="N217" s="34" t="s">
        <v>82</v>
      </c>
      <c r="O217" s="33" t="n">
        <f>654.2</f>
        <v>654.2</v>
      </c>
      <c r="P217" s="34" t="s">
        <v>50</v>
      </c>
      <c r="Q217" s="33" t="n">
        <f>691.9</f>
        <v>691.9</v>
      </c>
      <c r="R217" s="34" t="s">
        <v>51</v>
      </c>
      <c r="S217" s="35" t="n">
        <f>676.37</f>
        <v>676.37</v>
      </c>
      <c r="T217" s="32" t="n">
        <f>1078110</f>
        <v>1078110.0</v>
      </c>
      <c r="U217" s="32" t="n">
        <f>615710</f>
        <v>615710.0</v>
      </c>
      <c r="V217" s="32" t="n">
        <f>737219374</f>
        <v>7.37219374E8</v>
      </c>
      <c r="W217" s="32" t="n">
        <f>422451370</f>
        <v>4.2245137E8</v>
      </c>
      <c r="X217" s="36" t="n">
        <f>22</f>
        <v>22.0</v>
      </c>
    </row>
    <row r="218">
      <c r="A218" s="27" t="s">
        <v>42</v>
      </c>
      <c r="B218" s="27" t="s">
        <v>701</v>
      </c>
      <c r="C218" s="27" t="s">
        <v>702</v>
      </c>
      <c r="D218" s="27" t="s">
        <v>703</v>
      </c>
      <c r="E218" s="28" t="s">
        <v>46</v>
      </c>
      <c r="F218" s="29" t="s">
        <v>46</v>
      </c>
      <c r="G218" s="30" t="s">
        <v>46</v>
      </c>
      <c r="H218" s="31"/>
      <c r="I218" s="31" t="s">
        <v>47</v>
      </c>
      <c r="J218" s="32" t="n">
        <v>10.0</v>
      </c>
      <c r="K218" s="33" t="n">
        <f>2791.5</f>
        <v>2791.5</v>
      </c>
      <c r="L218" s="34" t="s">
        <v>48</v>
      </c>
      <c r="M218" s="33" t="n">
        <f>2851</f>
        <v>2851.0</v>
      </c>
      <c r="N218" s="34" t="s">
        <v>82</v>
      </c>
      <c r="O218" s="33" t="n">
        <f>2744</f>
        <v>2744.0</v>
      </c>
      <c r="P218" s="34" t="s">
        <v>67</v>
      </c>
      <c r="Q218" s="33" t="n">
        <f>2817</f>
        <v>2817.0</v>
      </c>
      <c r="R218" s="34" t="s">
        <v>51</v>
      </c>
      <c r="S218" s="35" t="n">
        <f>2797.03</f>
        <v>2797.03</v>
      </c>
      <c r="T218" s="32" t="n">
        <f>114370</f>
        <v>114370.0</v>
      </c>
      <c r="U218" s="32" t="str">
        <f>"－"</f>
        <v>－</v>
      </c>
      <c r="V218" s="32" t="n">
        <f>318492725</f>
        <v>3.18492725E8</v>
      </c>
      <c r="W218" s="32" t="str">
        <f>"－"</f>
        <v>－</v>
      </c>
      <c r="X218" s="36" t="n">
        <f>16</f>
        <v>16.0</v>
      </c>
    </row>
    <row r="219">
      <c r="A219" s="27" t="s">
        <v>42</v>
      </c>
      <c r="B219" s="27" t="s">
        <v>704</v>
      </c>
      <c r="C219" s="27" t="s">
        <v>705</v>
      </c>
      <c r="D219" s="27" t="s">
        <v>706</v>
      </c>
      <c r="E219" s="28" t="s">
        <v>46</v>
      </c>
      <c r="F219" s="29" t="s">
        <v>46</v>
      </c>
      <c r="G219" s="30" t="s">
        <v>46</v>
      </c>
      <c r="H219" s="31"/>
      <c r="I219" s="31" t="s">
        <v>47</v>
      </c>
      <c r="J219" s="32" t="n">
        <v>10.0</v>
      </c>
      <c r="K219" s="33" t="n">
        <f>3039</f>
        <v>3039.0</v>
      </c>
      <c r="L219" s="34" t="s">
        <v>48</v>
      </c>
      <c r="M219" s="33" t="n">
        <f>3105</f>
        <v>3105.0</v>
      </c>
      <c r="N219" s="34" t="s">
        <v>75</v>
      </c>
      <c r="O219" s="33" t="n">
        <f>2966</f>
        <v>2966.0</v>
      </c>
      <c r="P219" s="34" t="s">
        <v>67</v>
      </c>
      <c r="Q219" s="33" t="n">
        <f>3052</f>
        <v>3052.0</v>
      </c>
      <c r="R219" s="34" t="s">
        <v>51</v>
      </c>
      <c r="S219" s="35" t="n">
        <f>3051.93</f>
        <v>3051.93</v>
      </c>
      <c r="T219" s="32" t="n">
        <f>109040</f>
        <v>109040.0</v>
      </c>
      <c r="U219" s="32" t="str">
        <f>"－"</f>
        <v>－</v>
      </c>
      <c r="V219" s="32" t="n">
        <f>335109970</f>
        <v>3.3510997E8</v>
      </c>
      <c r="W219" s="32" t="str">
        <f>"－"</f>
        <v>－</v>
      </c>
      <c r="X219" s="36" t="n">
        <f>14</f>
        <v>14.0</v>
      </c>
    </row>
    <row r="220">
      <c r="A220" s="27" t="s">
        <v>42</v>
      </c>
      <c r="B220" s="27" t="s">
        <v>707</v>
      </c>
      <c r="C220" s="27" t="s">
        <v>708</v>
      </c>
      <c r="D220" s="27" t="s">
        <v>709</v>
      </c>
      <c r="E220" s="28" t="s">
        <v>46</v>
      </c>
      <c r="F220" s="29" t="s">
        <v>46</v>
      </c>
      <c r="G220" s="30" t="s">
        <v>46</v>
      </c>
      <c r="H220" s="31"/>
      <c r="I220" s="31" t="s">
        <v>47</v>
      </c>
      <c r="J220" s="32" t="n">
        <v>10.0</v>
      </c>
      <c r="K220" s="33" t="n">
        <f>2446</f>
        <v>2446.0</v>
      </c>
      <c r="L220" s="34" t="s">
        <v>48</v>
      </c>
      <c r="M220" s="33" t="n">
        <f>2509.5</f>
        <v>2509.5</v>
      </c>
      <c r="N220" s="34" t="s">
        <v>55</v>
      </c>
      <c r="O220" s="33" t="n">
        <f>2426</f>
        <v>2426.0</v>
      </c>
      <c r="P220" s="34" t="s">
        <v>181</v>
      </c>
      <c r="Q220" s="33" t="n">
        <f>2483</f>
        <v>2483.0</v>
      </c>
      <c r="R220" s="34" t="s">
        <v>51</v>
      </c>
      <c r="S220" s="35" t="n">
        <f>2465.44</f>
        <v>2465.44</v>
      </c>
      <c r="T220" s="32" t="n">
        <f>186680</f>
        <v>186680.0</v>
      </c>
      <c r="U220" s="32" t="str">
        <f>"－"</f>
        <v>－</v>
      </c>
      <c r="V220" s="32" t="n">
        <f>459672350</f>
        <v>4.5967235E8</v>
      </c>
      <c r="W220" s="32" t="str">
        <f>"－"</f>
        <v>－</v>
      </c>
      <c r="X220" s="36" t="n">
        <f>16</f>
        <v>16.0</v>
      </c>
    </row>
    <row r="221">
      <c r="A221" s="27" t="s">
        <v>42</v>
      </c>
      <c r="B221" s="27" t="s">
        <v>710</v>
      </c>
      <c r="C221" s="27" t="s">
        <v>711</v>
      </c>
      <c r="D221" s="27" t="s">
        <v>712</v>
      </c>
      <c r="E221" s="28" t="s">
        <v>46</v>
      </c>
      <c r="F221" s="29" t="s">
        <v>46</v>
      </c>
      <c r="G221" s="30" t="s">
        <v>46</v>
      </c>
      <c r="H221" s="31"/>
      <c r="I221" s="31" t="s">
        <v>47</v>
      </c>
      <c r="J221" s="32" t="n">
        <v>10.0</v>
      </c>
      <c r="K221" s="33" t="n">
        <f>2730</f>
        <v>2730.0</v>
      </c>
      <c r="L221" s="34" t="s">
        <v>48</v>
      </c>
      <c r="M221" s="33" t="n">
        <f>2750</f>
        <v>2750.0</v>
      </c>
      <c r="N221" s="34" t="s">
        <v>55</v>
      </c>
      <c r="O221" s="33" t="n">
        <f>2655.5</f>
        <v>2655.5</v>
      </c>
      <c r="P221" s="34" t="s">
        <v>181</v>
      </c>
      <c r="Q221" s="33" t="n">
        <f>2739.5</f>
        <v>2739.5</v>
      </c>
      <c r="R221" s="34" t="s">
        <v>51</v>
      </c>
      <c r="S221" s="35" t="n">
        <f>2713.35</f>
        <v>2713.35</v>
      </c>
      <c r="T221" s="32" t="n">
        <f>19670</f>
        <v>19670.0</v>
      </c>
      <c r="U221" s="32" t="str">
        <f>"－"</f>
        <v>－</v>
      </c>
      <c r="V221" s="32" t="n">
        <f>53410420</f>
        <v>5.341042E7</v>
      </c>
      <c r="W221" s="32" t="str">
        <f>"－"</f>
        <v>－</v>
      </c>
      <c r="X221" s="36" t="n">
        <f>20</f>
        <v>20.0</v>
      </c>
    </row>
    <row r="222">
      <c r="A222" s="27" t="s">
        <v>42</v>
      </c>
      <c r="B222" s="27" t="s">
        <v>713</v>
      </c>
      <c r="C222" s="27" t="s">
        <v>714</v>
      </c>
      <c r="D222" s="27" t="s">
        <v>715</v>
      </c>
      <c r="E222" s="28" t="s">
        <v>46</v>
      </c>
      <c r="F222" s="29" t="s">
        <v>46</v>
      </c>
      <c r="G222" s="30" t="s">
        <v>46</v>
      </c>
      <c r="H222" s="31"/>
      <c r="I222" s="31" t="s">
        <v>47</v>
      </c>
      <c r="J222" s="32" t="n">
        <v>10.0</v>
      </c>
      <c r="K222" s="33" t="n">
        <f>4575</f>
        <v>4575.0</v>
      </c>
      <c r="L222" s="34" t="s">
        <v>48</v>
      </c>
      <c r="M222" s="33" t="n">
        <f>4575</f>
        <v>4575.0</v>
      </c>
      <c r="N222" s="34" t="s">
        <v>48</v>
      </c>
      <c r="O222" s="33" t="n">
        <f>4522</f>
        <v>4522.0</v>
      </c>
      <c r="P222" s="34" t="s">
        <v>128</v>
      </c>
      <c r="Q222" s="33" t="n">
        <f>4547</f>
        <v>4547.0</v>
      </c>
      <c r="R222" s="34" t="s">
        <v>51</v>
      </c>
      <c r="S222" s="35" t="n">
        <f>4537.42</f>
        <v>4537.42</v>
      </c>
      <c r="T222" s="32" t="n">
        <f>245780</f>
        <v>245780.0</v>
      </c>
      <c r="U222" s="32" t="str">
        <f>"－"</f>
        <v>－</v>
      </c>
      <c r="V222" s="32" t="n">
        <f>1114406610</f>
        <v>1.11440661E9</v>
      </c>
      <c r="W222" s="32" t="str">
        <f>"－"</f>
        <v>－</v>
      </c>
      <c r="X222" s="36" t="n">
        <f>19</f>
        <v>19.0</v>
      </c>
    </row>
    <row r="223">
      <c r="A223" s="27" t="s">
        <v>42</v>
      </c>
      <c r="B223" s="27" t="s">
        <v>716</v>
      </c>
      <c r="C223" s="27" t="s">
        <v>717</v>
      </c>
      <c r="D223" s="27" t="s">
        <v>718</v>
      </c>
      <c r="E223" s="28" t="s">
        <v>46</v>
      </c>
      <c r="F223" s="29" t="s">
        <v>46</v>
      </c>
      <c r="G223" s="30" t="s">
        <v>46</v>
      </c>
      <c r="H223" s="31"/>
      <c r="I223" s="31" t="s">
        <v>47</v>
      </c>
      <c r="J223" s="32" t="n">
        <v>10.0</v>
      </c>
      <c r="K223" s="33" t="n">
        <f>4682</f>
        <v>4682.0</v>
      </c>
      <c r="L223" s="34" t="s">
        <v>181</v>
      </c>
      <c r="M223" s="33" t="n">
        <f>4750</f>
        <v>4750.0</v>
      </c>
      <c r="N223" s="34" t="s">
        <v>82</v>
      </c>
      <c r="O223" s="33" t="n">
        <f>4610</f>
        <v>4610.0</v>
      </c>
      <c r="P223" s="34" t="s">
        <v>59</v>
      </c>
      <c r="Q223" s="33" t="n">
        <f>4651</f>
        <v>4651.0</v>
      </c>
      <c r="R223" s="34" t="s">
        <v>51</v>
      </c>
      <c r="S223" s="35" t="n">
        <f>4652.91</f>
        <v>4652.91</v>
      </c>
      <c r="T223" s="32" t="n">
        <f>480</f>
        <v>480.0</v>
      </c>
      <c r="U223" s="32" t="str">
        <f>"－"</f>
        <v>－</v>
      </c>
      <c r="V223" s="32" t="n">
        <f>2230060</f>
        <v>2230060.0</v>
      </c>
      <c r="W223" s="32" t="str">
        <f>"－"</f>
        <v>－</v>
      </c>
      <c r="X223" s="36" t="n">
        <f>11</f>
        <v>11.0</v>
      </c>
    </row>
    <row r="224">
      <c r="A224" s="27" t="s">
        <v>42</v>
      </c>
      <c r="B224" s="27" t="s">
        <v>719</v>
      </c>
      <c r="C224" s="27" t="s">
        <v>720</v>
      </c>
      <c r="D224" s="27" t="s">
        <v>721</v>
      </c>
      <c r="E224" s="28" t="s">
        <v>46</v>
      </c>
      <c r="F224" s="29" t="s">
        <v>46</v>
      </c>
      <c r="G224" s="30" t="s">
        <v>46</v>
      </c>
      <c r="H224" s="31"/>
      <c r="I224" s="31" t="s">
        <v>47</v>
      </c>
      <c r="J224" s="32" t="n">
        <v>10.0</v>
      </c>
      <c r="K224" s="33" t="n">
        <f>4765</f>
        <v>4765.0</v>
      </c>
      <c r="L224" s="34" t="s">
        <v>48</v>
      </c>
      <c r="M224" s="33" t="n">
        <f>4765</f>
        <v>4765.0</v>
      </c>
      <c r="N224" s="34" t="s">
        <v>48</v>
      </c>
      <c r="O224" s="33" t="n">
        <f>4692</f>
        <v>4692.0</v>
      </c>
      <c r="P224" s="34" t="s">
        <v>59</v>
      </c>
      <c r="Q224" s="33" t="n">
        <f>4726</f>
        <v>4726.0</v>
      </c>
      <c r="R224" s="34" t="s">
        <v>51</v>
      </c>
      <c r="S224" s="35" t="n">
        <f>4717.57</f>
        <v>4717.57</v>
      </c>
      <c r="T224" s="32" t="n">
        <f>111860</f>
        <v>111860.0</v>
      </c>
      <c r="U224" s="32" t="n">
        <f>106240</f>
        <v>106240.0</v>
      </c>
      <c r="V224" s="32" t="n">
        <f>526448478</f>
        <v>5.26448478E8</v>
      </c>
      <c r="W224" s="32" t="n">
        <f>499986688</f>
        <v>4.99986688E8</v>
      </c>
      <c r="X224" s="36" t="n">
        <f>14</f>
        <v>14.0</v>
      </c>
    </row>
    <row r="225">
      <c r="A225" s="27" t="s">
        <v>42</v>
      </c>
      <c r="B225" s="27" t="s">
        <v>722</v>
      </c>
      <c r="C225" s="27" t="s">
        <v>723</v>
      </c>
      <c r="D225" s="27" t="s">
        <v>724</v>
      </c>
      <c r="E225" s="28" t="s">
        <v>46</v>
      </c>
      <c r="F225" s="29" t="s">
        <v>46</v>
      </c>
      <c r="G225" s="30" t="s">
        <v>46</v>
      </c>
      <c r="H225" s="31"/>
      <c r="I225" s="31" t="s">
        <v>47</v>
      </c>
      <c r="J225" s="32" t="n">
        <v>1.0</v>
      </c>
      <c r="K225" s="33" t="n">
        <f>5167</f>
        <v>5167.0</v>
      </c>
      <c r="L225" s="34" t="s">
        <v>48</v>
      </c>
      <c r="M225" s="33" t="n">
        <f>5239</f>
        <v>5239.0</v>
      </c>
      <c r="N225" s="34" t="s">
        <v>210</v>
      </c>
      <c r="O225" s="33" t="n">
        <f>5130</f>
        <v>5130.0</v>
      </c>
      <c r="P225" s="34" t="s">
        <v>86</v>
      </c>
      <c r="Q225" s="33" t="n">
        <f>5192</f>
        <v>5192.0</v>
      </c>
      <c r="R225" s="34" t="s">
        <v>51</v>
      </c>
      <c r="S225" s="35" t="n">
        <f>5171.45</f>
        <v>5171.45</v>
      </c>
      <c r="T225" s="32" t="n">
        <f>626122</f>
        <v>626122.0</v>
      </c>
      <c r="U225" s="32" t="n">
        <f>600010</f>
        <v>600010.0</v>
      </c>
      <c r="V225" s="32" t="n">
        <f>3252442686</f>
        <v>3.252442686E9</v>
      </c>
      <c r="W225" s="32" t="n">
        <f>3117379890</f>
        <v>3.11737989E9</v>
      </c>
      <c r="X225" s="36" t="n">
        <f>22</f>
        <v>22.0</v>
      </c>
    </row>
    <row r="226">
      <c r="A226" s="27" t="s">
        <v>42</v>
      </c>
      <c r="B226" s="27" t="s">
        <v>725</v>
      </c>
      <c r="C226" s="27" t="s">
        <v>726</v>
      </c>
      <c r="D226" s="27" t="s">
        <v>727</v>
      </c>
      <c r="E226" s="28" t="s">
        <v>46</v>
      </c>
      <c r="F226" s="29" t="s">
        <v>46</v>
      </c>
      <c r="G226" s="30" t="s">
        <v>46</v>
      </c>
      <c r="H226" s="31"/>
      <c r="I226" s="31" t="s">
        <v>47</v>
      </c>
      <c r="J226" s="32" t="n">
        <v>1.0</v>
      </c>
      <c r="K226" s="33" t="n">
        <f>739</f>
        <v>739.0</v>
      </c>
      <c r="L226" s="34" t="s">
        <v>48</v>
      </c>
      <c r="M226" s="33" t="n">
        <f>768</f>
        <v>768.0</v>
      </c>
      <c r="N226" s="34" t="s">
        <v>106</v>
      </c>
      <c r="O226" s="33" t="n">
        <f>731</f>
        <v>731.0</v>
      </c>
      <c r="P226" s="34" t="s">
        <v>49</v>
      </c>
      <c r="Q226" s="33" t="n">
        <f>734</f>
        <v>734.0</v>
      </c>
      <c r="R226" s="34" t="s">
        <v>51</v>
      </c>
      <c r="S226" s="35" t="n">
        <f>747.95</f>
        <v>747.95</v>
      </c>
      <c r="T226" s="32" t="n">
        <f>1150887</f>
        <v>1150887.0</v>
      </c>
      <c r="U226" s="32" t="str">
        <f>"－"</f>
        <v>－</v>
      </c>
      <c r="V226" s="32" t="n">
        <f>854966688</f>
        <v>8.54966688E8</v>
      </c>
      <c r="W226" s="32" t="str">
        <f>"－"</f>
        <v>－</v>
      </c>
      <c r="X226" s="36" t="n">
        <f>22</f>
        <v>22.0</v>
      </c>
    </row>
    <row r="227">
      <c r="A227" s="27" t="s">
        <v>42</v>
      </c>
      <c r="B227" s="27" t="s">
        <v>728</v>
      </c>
      <c r="C227" s="27" t="s">
        <v>729</v>
      </c>
      <c r="D227" s="27" t="s">
        <v>730</v>
      </c>
      <c r="E227" s="28" t="s">
        <v>46</v>
      </c>
      <c r="F227" s="29" t="s">
        <v>46</v>
      </c>
      <c r="G227" s="30" t="s">
        <v>46</v>
      </c>
      <c r="H227" s="31"/>
      <c r="I227" s="31" t="s">
        <v>47</v>
      </c>
      <c r="J227" s="32" t="n">
        <v>1.0</v>
      </c>
      <c r="K227" s="33" t="n">
        <f>1110</f>
        <v>1110.0</v>
      </c>
      <c r="L227" s="34" t="s">
        <v>48</v>
      </c>
      <c r="M227" s="33" t="n">
        <f>1115</f>
        <v>1115.0</v>
      </c>
      <c r="N227" s="34" t="s">
        <v>55</v>
      </c>
      <c r="O227" s="33" t="n">
        <f>1076</f>
        <v>1076.0</v>
      </c>
      <c r="P227" s="34" t="s">
        <v>128</v>
      </c>
      <c r="Q227" s="33" t="n">
        <f>1103</f>
        <v>1103.0</v>
      </c>
      <c r="R227" s="34" t="s">
        <v>51</v>
      </c>
      <c r="S227" s="35" t="n">
        <f>1096.45</f>
        <v>1096.45</v>
      </c>
      <c r="T227" s="32" t="n">
        <f>60664</f>
        <v>60664.0</v>
      </c>
      <c r="U227" s="32" t="str">
        <f>"－"</f>
        <v>－</v>
      </c>
      <c r="V227" s="32" t="n">
        <f>66217648</f>
        <v>6.6217648E7</v>
      </c>
      <c r="W227" s="32" t="str">
        <f>"－"</f>
        <v>－</v>
      </c>
      <c r="X227" s="36" t="n">
        <f>22</f>
        <v>22.0</v>
      </c>
    </row>
    <row r="228">
      <c r="A228" s="27" t="s">
        <v>42</v>
      </c>
      <c r="B228" s="27" t="s">
        <v>731</v>
      </c>
      <c r="C228" s="27" t="s">
        <v>732</v>
      </c>
      <c r="D228" s="27" t="s">
        <v>733</v>
      </c>
      <c r="E228" s="28" t="s">
        <v>46</v>
      </c>
      <c r="F228" s="29" t="s">
        <v>46</v>
      </c>
      <c r="G228" s="30" t="s">
        <v>46</v>
      </c>
      <c r="H228" s="31"/>
      <c r="I228" s="31" t="s">
        <v>47</v>
      </c>
      <c r="J228" s="32" t="n">
        <v>1.0</v>
      </c>
      <c r="K228" s="33" t="n">
        <f>1192</f>
        <v>1192.0</v>
      </c>
      <c r="L228" s="34" t="s">
        <v>48</v>
      </c>
      <c r="M228" s="33" t="n">
        <f>1192</f>
        <v>1192.0</v>
      </c>
      <c r="N228" s="34" t="s">
        <v>48</v>
      </c>
      <c r="O228" s="33" t="n">
        <f>1127</f>
        <v>1127.0</v>
      </c>
      <c r="P228" s="34" t="s">
        <v>106</v>
      </c>
      <c r="Q228" s="33" t="n">
        <f>1164</f>
        <v>1164.0</v>
      </c>
      <c r="R228" s="34" t="s">
        <v>51</v>
      </c>
      <c r="S228" s="35" t="n">
        <f>1154.14</f>
        <v>1154.14</v>
      </c>
      <c r="T228" s="32" t="n">
        <f>397992</f>
        <v>397992.0</v>
      </c>
      <c r="U228" s="32" t="str">
        <f>"－"</f>
        <v>－</v>
      </c>
      <c r="V228" s="32" t="n">
        <f>460078752</f>
        <v>4.60078752E8</v>
      </c>
      <c r="W228" s="32" t="str">
        <f>"－"</f>
        <v>－</v>
      </c>
      <c r="X228" s="36" t="n">
        <f>22</f>
        <v>22.0</v>
      </c>
    </row>
    <row r="229">
      <c r="A229" s="27" t="s">
        <v>42</v>
      </c>
      <c r="B229" s="27" t="s">
        <v>734</v>
      </c>
      <c r="C229" s="27" t="s">
        <v>735</v>
      </c>
      <c r="D229" s="27" t="s">
        <v>736</v>
      </c>
      <c r="E229" s="28" t="s">
        <v>46</v>
      </c>
      <c r="F229" s="29" t="s">
        <v>46</v>
      </c>
      <c r="G229" s="30" t="s">
        <v>46</v>
      </c>
      <c r="H229" s="31"/>
      <c r="I229" s="31" t="s">
        <v>47</v>
      </c>
      <c r="J229" s="32" t="n">
        <v>1.0</v>
      </c>
      <c r="K229" s="33" t="n">
        <f>1070</f>
        <v>1070.0</v>
      </c>
      <c r="L229" s="34" t="s">
        <v>48</v>
      </c>
      <c r="M229" s="33" t="n">
        <f>1102</f>
        <v>1102.0</v>
      </c>
      <c r="N229" s="34" t="s">
        <v>51</v>
      </c>
      <c r="O229" s="33" t="n">
        <f>1031</f>
        <v>1031.0</v>
      </c>
      <c r="P229" s="34" t="s">
        <v>106</v>
      </c>
      <c r="Q229" s="33" t="n">
        <f>1094</f>
        <v>1094.0</v>
      </c>
      <c r="R229" s="34" t="s">
        <v>51</v>
      </c>
      <c r="S229" s="35" t="n">
        <f>1067.77</f>
        <v>1067.77</v>
      </c>
      <c r="T229" s="32" t="n">
        <f>297362</f>
        <v>297362.0</v>
      </c>
      <c r="U229" s="32" t="n">
        <f>110000</f>
        <v>110000.0</v>
      </c>
      <c r="V229" s="32" t="n">
        <f>314731168</f>
        <v>3.14731168E8</v>
      </c>
      <c r="W229" s="32" t="n">
        <f>116238496</f>
        <v>1.16238496E8</v>
      </c>
      <c r="X229" s="36" t="n">
        <f>22</f>
        <v>22.0</v>
      </c>
    </row>
    <row r="230">
      <c r="A230" s="27" t="s">
        <v>42</v>
      </c>
      <c r="B230" s="27" t="s">
        <v>737</v>
      </c>
      <c r="C230" s="27" t="s">
        <v>738</v>
      </c>
      <c r="D230" s="27" t="s">
        <v>739</v>
      </c>
      <c r="E230" s="28" t="s">
        <v>46</v>
      </c>
      <c r="F230" s="29" t="s">
        <v>46</v>
      </c>
      <c r="G230" s="30" t="s">
        <v>46</v>
      </c>
      <c r="H230" s="31"/>
      <c r="I230" s="31" t="s">
        <v>47</v>
      </c>
      <c r="J230" s="32" t="n">
        <v>1.0</v>
      </c>
      <c r="K230" s="33" t="n">
        <f>1136</f>
        <v>1136.0</v>
      </c>
      <c r="L230" s="34" t="s">
        <v>48</v>
      </c>
      <c r="M230" s="33" t="n">
        <f>1141</f>
        <v>1141.0</v>
      </c>
      <c r="N230" s="34" t="s">
        <v>51</v>
      </c>
      <c r="O230" s="33" t="n">
        <f>1096</f>
        <v>1096.0</v>
      </c>
      <c r="P230" s="34" t="s">
        <v>362</v>
      </c>
      <c r="Q230" s="33" t="n">
        <f>1136</f>
        <v>1136.0</v>
      </c>
      <c r="R230" s="34" t="s">
        <v>51</v>
      </c>
      <c r="S230" s="35" t="n">
        <f>1120.68</f>
        <v>1120.68</v>
      </c>
      <c r="T230" s="32" t="n">
        <f>703122</f>
        <v>703122.0</v>
      </c>
      <c r="U230" s="32" t="n">
        <f>500007</f>
        <v>500007.0</v>
      </c>
      <c r="V230" s="32" t="n">
        <f>786051677</f>
        <v>7.86051677E8</v>
      </c>
      <c r="W230" s="32" t="n">
        <f>559940903</f>
        <v>5.59940903E8</v>
      </c>
      <c r="X230" s="36" t="n">
        <f>22</f>
        <v>22.0</v>
      </c>
    </row>
    <row r="231">
      <c r="A231" s="27" t="s">
        <v>42</v>
      </c>
      <c r="B231" s="27" t="s">
        <v>740</v>
      </c>
      <c r="C231" s="27" t="s">
        <v>741</v>
      </c>
      <c r="D231" s="27" t="s">
        <v>742</v>
      </c>
      <c r="E231" s="28" t="s">
        <v>46</v>
      </c>
      <c r="F231" s="29" t="s">
        <v>46</v>
      </c>
      <c r="G231" s="30" t="s">
        <v>46</v>
      </c>
      <c r="H231" s="31"/>
      <c r="I231" s="31" t="s">
        <v>47</v>
      </c>
      <c r="J231" s="32" t="n">
        <v>1.0</v>
      </c>
      <c r="K231" s="33" t="n">
        <f>1799</f>
        <v>1799.0</v>
      </c>
      <c r="L231" s="34" t="s">
        <v>48</v>
      </c>
      <c r="M231" s="33" t="n">
        <f>1799</f>
        <v>1799.0</v>
      </c>
      <c r="N231" s="34" t="s">
        <v>48</v>
      </c>
      <c r="O231" s="33" t="n">
        <f>1714</f>
        <v>1714.0</v>
      </c>
      <c r="P231" s="34" t="s">
        <v>106</v>
      </c>
      <c r="Q231" s="33" t="n">
        <f>1781</f>
        <v>1781.0</v>
      </c>
      <c r="R231" s="34" t="s">
        <v>51</v>
      </c>
      <c r="S231" s="35" t="n">
        <f>1757.5</f>
        <v>1757.5</v>
      </c>
      <c r="T231" s="32" t="n">
        <f>822371</f>
        <v>822371.0</v>
      </c>
      <c r="U231" s="32" t="n">
        <f>430718</f>
        <v>430718.0</v>
      </c>
      <c r="V231" s="32" t="n">
        <f>1440830641</f>
        <v>1.440830641E9</v>
      </c>
      <c r="W231" s="32" t="n">
        <f>752111168</f>
        <v>7.52111168E8</v>
      </c>
      <c r="X231" s="36" t="n">
        <f>22</f>
        <v>22.0</v>
      </c>
    </row>
    <row r="232">
      <c r="A232" s="27" t="s">
        <v>42</v>
      </c>
      <c r="B232" s="27" t="s">
        <v>743</v>
      </c>
      <c r="C232" s="27" t="s">
        <v>744</v>
      </c>
      <c r="D232" s="27" t="s">
        <v>745</v>
      </c>
      <c r="E232" s="28" t="s">
        <v>46</v>
      </c>
      <c r="F232" s="29" t="s">
        <v>46</v>
      </c>
      <c r="G232" s="30" t="s">
        <v>46</v>
      </c>
      <c r="H232" s="31"/>
      <c r="I232" s="31" t="s">
        <v>47</v>
      </c>
      <c r="J232" s="32" t="n">
        <v>10.0</v>
      </c>
      <c r="K232" s="33" t="n">
        <f>206.4</f>
        <v>206.4</v>
      </c>
      <c r="L232" s="34" t="s">
        <v>48</v>
      </c>
      <c r="M232" s="33" t="n">
        <f>225</f>
        <v>225.0</v>
      </c>
      <c r="N232" s="34" t="s">
        <v>82</v>
      </c>
      <c r="O232" s="33" t="n">
        <f>202.8</f>
        <v>202.8</v>
      </c>
      <c r="P232" s="34" t="s">
        <v>67</v>
      </c>
      <c r="Q232" s="33" t="n">
        <f>219.7</f>
        <v>219.7</v>
      </c>
      <c r="R232" s="34" t="s">
        <v>51</v>
      </c>
      <c r="S232" s="35" t="n">
        <f>214.19</f>
        <v>214.19</v>
      </c>
      <c r="T232" s="32" t="n">
        <f>5056370</f>
        <v>5056370.0</v>
      </c>
      <c r="U232" s="32" t="n">
        <f>2125000</f>
        <v>2125000.0</v>
      </c>
      <c r="V232" s="32" t="n">
        <f>1099543214</f>
        <v>1.099543214E9</v>
      </c>
      <c r="W232" s="32" t="n">
        <f>474095600</f>
        <v>4.740956E8</v>
      </c>
      <c r="X232" s="36" t="n">
        <f>22</f>
        <v>22.0</v>
      </c>
    </row>
    <row r="233">
      <c r="A233" s="27" t="s">
        <v>42</v>
      </c>
      <c r="B233" s="27" t="s">
        <v>746</v>
      </c>
      <c r="C233" s="27" t="s">
        <v>747</v>
      </c>
      <c r="D233" s="27" t="s">
        <v>748</v>
      </c>
      <c r="E233" s="28" t="s">
        <v>46</v>
      </c>
      <c r="F233" s="29" t="s">
        <v>46</v>
      </c>
      <c r="G233" s="30" t="s">
        <v>46</v>
      </c>
      <c r="H233" s="31"/>
      <c r="I233" s="31" t="s">
        <v>47</v>
      </c>
      <c r="J233" s="32" t="n">
        <v>10.0</v>
      </c>
      <c r="K233" s="33" t="n">
        <f>585</f>
        <v>585.0</v>
      </c>
      <c r="L233" s="34" t="s">
        <v>48</v>
      </c>
      <c r="M233" s="33" t="n">
        <f>636.1</f>
        <v>636.1</v>
      </c>
      <c r="N233" s="34" t="s">
        <v>49</v>
      </c>
      <c r="O233" s="33" t="n">
        <f>573.9</f>
        <v>573.9</v>
      </c>
      <c r="P233" s="34" t="s">
        <v>48</v>
      </c>
      <c r="Q233" s="33" t="n">
        <f>626.5</f>
        <v>626.5</v>
      </c>
      <c r="R233" s="34" t="s">
        <v>51</v>
      </c>
      <c r="S233" s="35" t="n">
        <f>606.47</f>
        <v>606.47</v>
      </c>
      <c r="T233" s="32" t="n">
        <f>914970</f>
        <v>914970.0</v>
      </c>
      <c r="U233" s="32" t="n">
        <f>605000</f>
        <v>605000.0</v>
      </c>
      <c r="V233" s="32" t="n">
        <f>569777920</f>
        <v>5.6977792E8</v>
      </c>
      <c r="W233" s="32" t="n">
        <f>382026887</f>
        <v>3.82026887E8</v>
      </c>
      <c r="X233" s="36" t="n">
        <f>22</f>
        <v>22.0</v>
      </c>
    </row>
    <row r="234">
      <c r="A234" s="27" t="s">
        <v>42</v>
      </c>
      <c r="B234" s="27" t="s">
        <v>749</v>
      </c>
      <c r="C234" s="27" t="s">
        <v>750</v>
      </c>
      <c r="D234" s="27" t="s">
        <v>751</v>
      </c>
      <c r="E234" s="28" t="s">
        <v>46</v>
      </c>
      <c r="F234" s="29" t="s">
        <v>46</v>
      </c>
      <c r="G234" s="30" t="s">
        <v>46</v>
      </c>
      <c r="H234" s="31"/>
      <c r="I234" s="31" t="s">
        <v>47</v>
      </c>
      <c r="J234" s="32" t="n">
        <v>1.0</v>
      </c>
      <c r="K234" s="33" t="n">
        <f>3270</f>
        <v>3270.0</v>
      </c>
      <c r="L234" s="34" t="s">
        <v>48</v>
      </c>
      <c r="M234" s="33" t="n">
        <f>3347</f>
        <v>3347.0</v>
      </c>
      <c r="N234" s="34" t="s">
        <v>200</v>
      </c>
      <c r="O234" s="33" t="n">
        <f>3219</f>
        <v>3219.0</v>
      </c>
      <c r="P234" s="34" t="s">
        <v>181</v>
      </c>
      <c r="Q234" s="33" t="n">
        <f>3317</f>
        <v>3317.0</v>
      </c>
      <c r="R234" s="34" t="s">
        <v>51</v>
      </c>
      <c r="S234" s="35" t="n">
        <f>3283</f>
        <v>3283.0</v>
      </c>
      <c r="T234" s="32" t="n">
        <f>32531</f>
        <v>32531.0</v>
      </c>
      <c r="U234" s="32" t="n">
        <f>170</f>
        <v>170.0</v>
      </c>
      <c r="V234" s="32" t="n">
        <f>107041548</f>
        <v>1.07041548E8</v>
      </c>
      <c r="W234" s="32" t="n">
        <f>564975</f>
        <v>564975.0</v>
      </c>
      <c r="X234" s="36" t="n">
        <f>22</f>
        <v>22.0</v>
      </c>
    </row>
    <row r="235">
      <c r="A235" s="27" t="s">
        <v>42</v>
      </c>
      <c r="B235" s="27" t="s">
        <v>752</v>
      </c>
      <c r="C235" s="27" t="s">
        <v>753</v>
      </c>
      <c r="D235" s="27" t="s">
        <v>754</v>
      </c>
      <c r="E235" s="28" t="s">
        <v>46</v>
      </c>
      <c r="F235" s="29" t="s">
        <v>46</v>
      </c>
      <c r="G235" s="30" t="s">
        <v>46</v>
      </c>
      <c r="H235" s="31"/>
      <c r="I235" s="31" t="s">
        <v>47</v>
      </c>
      <c r="J235" s="32" t="n">
        <v>1.0</v>
      </c>
      <c r="K235" s="33" t="n">
        <f>1327</f>
        <v>1327.0</v>
      </c>
      <c r="L235" s="34" t="s">
        <v>48</v>
      </c>
      <c r="M235" s="33" t="n">
        <f>1350</f>
        <v>1350.0</v>
      </c>
      <c r="N235" s="34" t="s">
        <v>59</v>
      </c>
      <c r="O235" s="33" t="n">
        <f>1309</f>
        <v>1309.0</v>
      </c>
      <c r="P235" s="34" t="s">
        <v>106</v>
      </c>
      <c r="Q235" s="33" t="n">
        <f>1344</f>
        <v>1344.0</v>
      </c>
      <c r="R235" s="34" t="s">
        <v>51</v>
      </c>
      <c r="S235" s="35" t="n">
        <f>1330.91</f>
        <v>1330.91</v>
      </c>
      <c r="T235" s="32" t="n">
        <f>273487</f>
        <v>273487.0</v>
      </c>
      <c r="U235" s="32" t="str">
        <f>"－"</f>
        <v>－</v>
      </c>
      <c r="V235" s="32" t="n">
        <f>363980835</f>
        <v>3.63980835E8</v>
      </c>
      <c r="W235" s="32" t="str">
        <f>"－"</f>
        <v>－</v>
      </c>
      <c r="X235" s="36" t="n">
        <f>22</f>
        <v>22.0</v>
      </c>
    </row>
    <row r="236">
      <c r="A236" s="27" t="s">
        <v>42</v>
      </c>
      <c r="B236" s="27" t="s">
        <v>755</v>
      </c>
      <c r="C236" s="27" t="s">
        <v>756</v>
      </c>
      <c r="D236" s="27" t="s">
        <v>757</v>
      </c>
      <c r="E236" s="28" t="s">
        <v>46</v>
      </c>
      <c r="F236" s="29" t="s">
        <v>46</v>
      </c>
      <c r="G236" s="30" t="s">
        <v>46</v>
      </c>
      <c r="H236" s="31"/>
      <c r="I236" s="31" t="s">
        <v>47</v>
      </c>
      <c r="J236" s="32" t="n">
        <v>1.0</v>
      </c>
      <c r="K236" s="33" t="n">
        <f>103700</f>
        <v>103700.0</v>
      </c>
      <c r="L236" s="34" t="s">
        <v>48</v>
      </c>
      <c r="M236" s="33" t="n">
        <f>107700</f>
        <v>107700.0</v>
      </c>
      <c r="N236" s="34" t="s">
        <v>75</v>
      </c>
      <c r="O236" s="33" t="n">
        <f>100250</f>
        <v>100250.0</v>
      </c>
      <c r="P236" s="34" t="s">
        <v>67</v>
      </c>
      <c r="Q236" s="33" t="n">
        <f>105600</f>
        <v>105600.0</v>
      </c>
      <c r="R236" s="34" t="s">
        <v>51</v>
      </c>
      <c r="S236" s="35" t="n">
        <f>104429.55</f>
        <v>104429.55</v>
      </c>
      <c r="T236" s="32" t="n">
        <f>23333</f>
        <v>23333.0</v>
      </c>
      <c r="U236" s="32" t="n">
        <f>336</f>
        <v>336.0</v>
      </c>
      <c r="V236" s="32" t="n">
        <f>2437838767</f>
        <v>2.437838767E9</v>
      </c>
      <c r="W236" s="32" t="n">
        <f>35657117</f>
        <v>3.5657117E7</v>
      </c>
      <c r="X236" s="36" t="n">
        <f>22</f>
        <v>22.0</v>
      </c>
    </row>
    <row r="237">
      <c r="A237" s="27" t="s">
        <v>42</v>
      </c>
      <c r="B237" s="27" t="s">
        <v>758</v>
      </c>
      <c r="C237" s="27" t="s">
        <v>759</v>
      </c>
      <c r="D237" s="27" t="s">
        <v>760</v>
      </c>
      <c r="E237" s="28" t="s">
        <v>46</v>
      </c>
      <c r="F237" s="29" t="s">
        <v>46</v>
      </c>
      <c r="G237" s="30" t="s">
        <v>46</v>
      </c>
      <c r="H237" s="31"/>
      <c r="I237" s="31" t="s">
        <v>47</v>
      </c>
      <c r="J237" s="32" t="n">
        <v>1.0</v>
      </c>
      <c r="K237" s="33" t="n">
        <f>5817</f>
        <v>5817.0</v>
      </c>
      <c r="L237" s="34" t="s">
        <v>48</v>
      </c>
      <c r="M237" s="33" t="n">
        <f>5920</f>
        <v>5920.0</v>
      </c>
      <c r="N237" s="34" t="s">
        <v>67</v>
      </c>
      <c r="O237" s="33" t="n">
        <f>5705</f>
        <v>5705.0</v>
      </c>
      <c r="P237" s="34" t="s">
        <v>210</v>
      </c>
      <c r="Q237" s="33" t="n">
        <f>5764</f>
        <v>5764.0</v>
      </c>
      <c r="R237" s="34" t="s">
        <v>51</v>
      </c>
      <c r="S237" s="35" t="n">
        <f>5800.14</f>
        <v>5800.14</v>
      </c>
      <c r="T237" s="32" t="n">
        <f>61019</f>
        <v>61019.0</v>
      </c>
      <c r="U237" s="32" t="n">
        <f>160</f>
        <v>160.0</v>
      </c>
      <c r="V237" s="32" t="n">
        <f>354748381</f>
        <v>3.54748381E8</v>
      </c>
      <c r="W237" s="32" t="n">
        <f>928640</f>
        <v>928640.0</v>
      </c>
      <c r="X237" s="36" t="n">
        <f>22</f>
        <v>22.0</v>
      </c>
    </row>
    <row r="238">
      <c r="A238" s="27" t="s">
        <v>42</v>
      </c>
      <c r="B238" s="27" t="s">
        <v>761</v>
      </c>
      <c r="C238" s="27" t="s">
        <v>762</v>
      </c>
      <c r="D238" s="27" t="s">
        <v>763</v>
      </c>
      <c r="E238" s="28" t="s">
        <v>46</v>
      </c>
      <c r="F238" s="29" t="s">
        <v>46</v>
      </c>
      <c r="G238" s="30" t="s">
        <v>46</v>
      </c>
      <c r="H238" s="31"/>
      <c r="I238" s="31" t="s">
        <v>47</v>
      </c>
      <c r="J238" s="32" t="n">
        <v>1.0</v>
      </c>
      <c r="K238" s="33" t="n">
        <f>22740</f>
        <v>22740.0</v>
      </c>
      <c r="L238" s="34" t="s">
        <v>48</v>
      </c>
      <c r="M238" s="33" t="n">
        <f>23180</f>
        <v>23180.0</v>
      </c>
      <c r="N238" s="34" t="s">
        <v>49</v>
      </c>
      <c r="O238" s="33" t="n">
        <f>21780</f>
        <v>21780.0</v>
      </c>
      <c r="P238" s="34" t="s">
        <v>67</v>
      </c>
      <c r="Q238" s="33" t="n">
        <f>23000</f>
        <v>23000.0</v>
      </c>
      <c r="R238" s="34" t="s">
        <v>51</v>
      </c>
      <c r="S238" s="35" t="n">
        <f>22684.55</f>
        <v>22684.55</v>
      </c>
      <c r="T238" s="32" t="n">
        <f>31902</f>
        <v>31902.0</v>
      </c>
      <c r="U238" s="32" t="n">
        <f>113</f>
        <v>113.0</v>
      </c>
      <c r="V238" s="32" t="n">
        <f>723024136</f>
        <v>7.23024136E8</v>
      </c>
      <c r="W238" s="32" t="n">
        <f>2591416</f>
        <v>2591416.0</v>
      </c>
      <c r="X238" s="36" t="n">
        <f>22</f>
        <v>22.0</v>
      </c>
    </row>
    <row r="239">
      <c r="A239" s="27" t="s">
        <v>42</v>
      </c>
      <c r="B239" s="27" t="s">
        <v>764</v>
      </c>
      <c r="C239" s="27" t="s">
        <v>765</v>
      </c>
      <c r="D239" s="27" t="s">
        <v>766</v>
      </c>
      <c r="E239" s="28" t="s">
        <v>46</v>
      </c>
      <c r="F239" s="29" t="s">
        <v>46</v>
      </c>
      <c r="G239" s="30" t="s">
        <v>46</v>
      </c>
      <c r="H239" s="31"/>
      <c r="I239" s="31" t="s">
        <v>47</v>
      </c>
      <c r="J239" s="32" t="n">
        <v>1.0</v>
      </c>
      <c r="K239" s="33" t="n">
        <f>1419</f>
        <v>1419.0</v>
      </c>
      <c r="L239" s="34" t="s">
        <v>48</v>
      </c>
      <c r="M239" s="33" t="n">
        <f>1452</f>
        <v>1452.0</v>
      </c>
      <c r="N239" s="34" t="s">
        <v>128</v>
      </c>
      <c r="O239" s="33" t="n">
        <f>1367</f>
        <v>1367.0</v>
      </c>
      <c r="P239" s="34" t="s">
        <v>200</v>
      </c>
      <c r="Q239" s="33" t="n">
        <f>1437</f>
        <v>1437.0</v>
      </c>
      <c r="R239" s="34" t="s">
        <v>51</v>
      </c>
      <c r="S239" s="35" t="n">
        <f>1418.36</f>
        <v>1418.36</v>
      </c>
      <c r="T239" s="32" t="n">
        <f>306322</f>
        <v>306322.0</v>
      </c>
      <c r="U239" s="32" t="str">
        <f>"－"</f>
        <v>－</v>
      </c>
      <c r="V239" s="32" t="n">
        <f>431431326</f>
        <v>4.31431326E8</v>
      </c>
      <c r="W239" s="32" t="str">
        <f>"－"</f>
        <v>－</v>
      </c>
      <c r="X239" s="36" t="n">
        <f>22</f>
        <v>22.0</v>
      </c>
    </row>
    <row r="240">
      <c r="A240" s="27" t="s">
        <v>42</v>
      </c>
      <c r="B240" s="27" t="s">
        <v>767</v>
      </c>
      <c r="C240" s="27" t="s">
        <v>768</v>
      </c>
      <c r="D240" s="27" t="s">
        <v>769</v>
      </c>
      <c r="E240" s="28" t="s">
        <v>46</v>
      </c>
      <c r="F240" s="29" t="s">
        <v>46</v>
      </c>
      <c r="G240" s="30" t="s">
        <v>46</v>
      </c>
      <c r="H240" s="31"/>
      <c r="I240" s="31" t="s">
        <v>47</v>
      </c>
      <c r="J240" s="32" t="n">
        <v>1.0</v>
      </c>
      <c r="K240" s="33" t="n">
        <f>5900</f>
        <v>5900.0</v>
      </c>
      <c r="L240" s="34" t="s">
        <v>48</v>
      </c>
      <c r="M240" s="33" t="n">
        <f>5995</f>
        <v>5995.0</v>
      </c>
      <c r="N240" s="34" t="s">
        <v>200</v>
      </c>
      <c r="O240" s="33" t="n">
        <f>5808</f>
        <v>5808.0</v>
      </c>
      <c r="P240" s="34" t="s">
        <v>49</v>
      </c>
      <c r="Q240" s="33" t="n">
        <f>5836</f>
        <v>5836.0</v>
      </c>
      <c r="R240" s="34" t="s">
        <v>51</v>
      </c>
      <c r="S240" s="35" t="n">
        <f>5881.05</f>
        <v>5881.05</v>
      </c>
      <c r="T240" s="32" t="n">
        <f>8387</f>
        <v>8387.0</v>
      </c>
      <c r="U240" s="32" t="str">
        <f>"－"</f>
        <v>－</v>
      </c>
      <c r="V240" s="32" t="n">
        <f>49364084</f>
        <v>4.9364084E7</v>
      </c>
      <c r="W240" s="32" t="str">
        <f>"－"</f>
        <v>－</v>
      </c>
      <c r="X240" s="36" t="n">
        <f>22</f>
        <v>22.0</v>
      </c>
    </row>
    <row r="241">
      <c r="A241" s="27" t="s">
        <v>42</v>
      </c>
      <c r="B241" s="27" t="s">
        <v>770</v>
      </c>
      <c r="C241" s="27" t="s">
        <v>771</v>
      </c>
      <c r="D241" s="27" t="s">
        <v>772</v>
      </c>
      <c r="E241" s="28" t="s">
        <v>46</v>
      </c>
      <c r="F241" s="29" t="s">
        <v>46</v>
      </c>
      <c r="G241" s="30" t="s">
        <v>46</v>
      </c>
      <c r="H241" s="31"/>
      <c r="I241" s="31" t="s">
        <v>47</v>
      </c>
      <c r="J241" s="32" t="n">
        <v>10.0</v>
      </c>
      <c r="K241" s="33" t="n">
        <f>833</f>
        <v>833.0</v>
      </c>
      <c r="L241" s="34" t="s">
        <v>48</v>
      </c>
      <c r="M241" s="33" t="n">
        <f>850</f>
        <v>850.0</v>
      </c>
      <c r="N241" s="34" t="s">
        <v>82</v>
      </c>
      <c r="O241" s="33" t="n">
        <f>814.5</f>
        <v>814.5</v>
      </c>
      <c r="P241" s="34" t="s">
        <v>181</v>
      </c>
      <c r="Q241" s="33" t="n">
        <f>838.9</f>
        <v>838.9</v>
      </c>
      <c r="R241" s="34" t="s">
        <v>51</v>
      </c>
      <c r="S241" s="35" t="n">
        <f>831.33</f>
        <v>831.33</v>
      </c>
      <c r="T241" s="32" t="n">
        <f>1356600</f>
        <v>1356600.0</v>
      </c>
      <c r="U241" s="32" t="n">
        <f>1083060</f>
        <v>1083060.0</v>
      </c>
      <c r="V241" s="32" t="n">
        <f>1140677169</f>
        <v>1.140677169E9</v>
      </c>
      <c r="W241" s="32" t="n">
        <f>912944406</f>
        <v>9.12944406E8</v>
      </c>
      <c r="X241" s="36" t="n">
        <f>22</f>
        <v>22.0</v>
      </c>
    </row>
    <row r="242">
      <c r="A242" s="27" t="s">
        <v>42</v>
      </c>
      <c r="B242" s="27" t="s">
        <v>773</v>
      </c>
      <c r="C242" s="27" t="s">
        <v>774</v>
      </c>
      <c r="D242" s="27" t="s">
        <v>775</v>
      </c>
      <c r="E242" s="28" t="s">
        <v>46</v>
      </c>
      <c r="F242" s="29" t="s">
        <v>46</v>
      </c>
      <c r="G242" s="30" t="s">
        <v>46</v>
      </c>
      <c r="H242" s="31"/>
      <c r="I242" s="31" t="s">
        <v>47</v>
      </c>
      <c r="J242" s="32" t="n">
        <v>10.0</v>
      </c>
      <c r="K242" s="33" t="n">
        <f>633.5</f>
        <v>633.5</v>
      </c>
      <c r="L242" s="34" t="s">
        <v>48</v>
      </c>
      <c r="M242" s="33" t="n">
        <f>645.8</f>
        <v>645.8</v>
      </c>
      <c r="N242" s="34" t="s">
        <v>49</v>
      </c>
      <c r="O242" s="33" t="n">
        <f>619</f>
        <v>619.0</v>
      </c>
      <c r="P242" s="34" t="s">
        <v>181</v>
      </c>
      <c r="Q242" s="33" t="n">
        <f>633.9</f>
        <v>633.9</v>
      </c>
      <c r="R242" s="34" t="s">
        <v>51</v>
      </c>
      <c r="S242" s="35" t="n">
        <f>629.88</f>
        <v>629.88</v>
      </c>
      <c r="T242" s="32" t="n">
        <f>10823510</f>
        <v>1.082351E7</v>
      </c>
      <c r="U242" s="32" t="n">
        <f>10631480</f>
        <v>1.063148E7</v>
      </c>
      <c r="V242" s="32" t="n">
        <f>6795147817</f>
        <v>6.795147817E9</v>
      </c>
      <c r="W242" s="32" t="n">
        <f>6674565206</f>
        <v>6.674565206E9</v>
      </c>
      <c r="X242" s="36" t="n">
        <f>22</f>
        <v>22.0</v>
      </c>
    </row>
    <row r="243">
      <c r="A243" s="27" t="s">
        <v>42</v>
      </c>
      <c r="B243" s="27" t="s">
        <v>776</v>
      </c>
      <c r="C243" s="27" t="s">
        <v>777</v>
      </c>
      <c r="D243" s="27" t="s">
        <v>778</v>
      </c>
      <c r="E243" s="28" t="s">
        <v>46</v>
      </c>
      <c r="F243" s="29" t="s">
        <v>46</v>
      </c>
      <c r="G243" s="30" t="s">
        <v>46</v>
      </c>
      <c r="H243" s="31"/>
      <c r="I243" s="31" t="s">
        <v>47</v>
      </c>
      <c r="J243" s="32" t="n">
        <v>1.0</v>
      </c>
      <c r="K243" s="33" t="n">
        <f>2615</f>
        <v>2615.0</v>
      </c>
      <c r="L243" s="34" t="s">
        <v>48</v>
      </c>
      <c r="M243" s="33" t="n">
        <f>2753</f>
        <v>2753.0</v>
      </c>
      <c r="N243" s="34" t="s">
        <v>362</v>
      </c>
      <c r="O243" s="33" t="n">
        <f>2489</f>
        <v>2489.0</v>
      </c>
      <c r="P243" s="34" t="s">
        <v>200</v>
      </c>
      <c r="Q243" s="33" t="n">
        <f>2660</f>
        <v>2660.0</v>
      </c>
      <c r="R243" s="34" t="s">
        <v>51</v>
      </c>
      <c r="S243" s="35" t="n">
        <f>2648.91</f>
        <v>2648.91</v>
      </c>
      <c r="T243" s="32" t="n">
        <f>3570818</f>
        <v>3570818.0</v>
      </c>
      <c r="U243" s="32" t="n">
        <f>381700</f>
        <v>381700.0</v>
      </c>
      <c r="V243" s="32" t="n">
        <f>9402117821</f>
        <v>9.402117821E9</v>
      </c>
      <c r="W243" s="32" t="n">
        <f>1000707168</f>
        <v>1.000707168E9</v>
      </c>
      <c r="X243" s="36" t="n">
        <f>22</f>
        <v>22.0</v>
      </c>
    </row>
    <row r="244">
      <c r="A244" s="27" t="s">
        <v>42</v>
      </c>
      <c r="B244" s="27" t="s">
        <v>779</v>
      </c>
      <c r="C244" s="27" t="s">
        <v>780</v>
      </c>
      <c r="D244" s="27" t="s">
        <v>781</v>
      </c>
      <c r="E244" s="28" t="s">
        <v>46</v>
      </c>
      <c r="F244" s="29" t="s">
        <v>46</v>
      </c>
      <c r="G244" s="30" t="s">
        <v>46</v>
      </c>
      <c r="H244" s="31"/>
      <c r="I244" s="31" t="s">
        <v>47</v>
      </c>
      <c r="J244" s="32" t="n">
        <v>1.0</v>
      </c>
      <c r="K244" s="33" t="n">
        <f>3122</f>
        <v>3122.0</v>
      </c>
      <c r="L244" s="34" t="s">
        <v>48</v>
      </c>
      <c r="M244" s="33" t="n">
        <f>3196</f>
        <v>3196.0</v>
      </c>
      <c r="N244" s="34" t="s">
        <v>49</v>
      </c>
      <c r="O244" s="33" t="n">
        <f>3006</f>
        <v>3006.0</v>
      </c>
      <c r="P244" s="34" t="s">
        <v>67</v>
      </c>
      <c r="Q244" s="33" t="n">
        <f>3158</f>
        <v>3158.0</v>
      </c>
      <c r="R244" s="34" t="s">
        <v>51</v>
      </c>
      <c r="S244" s="35" t="n">
        <f>3128.95</f>
        <v>3128.95</v>
      </c>
      <c r="T244" s="32" t="n">
        <f>6320868</f>
        <v>6320868.0</v>
      </c>
      <c r="U244" s="32" t="n">
        <f>68630</f>
        <v>68630.0</v>
      </c>
      <c r="V244" s="32" t="n">
        <f>19816125409</f>
        <v>1.9816125409E10</v>
      </c>
      <c r="W244" s="32" t="n">
        <f>211444496</f>
        <v>2.11444496E8</v>
      </c>
      <c r="X244" s="36" t="n">
        <f>22</f>
        <v>22.0</v>
      </c>
    </row>
    <row r="245">
      <c r="A245" s="27" t="s">
        <v>42</v>
      </c>
      <c r="B245" s="27" t="s">
        <v>782</v>
      </c>
      <c r="C245" s="27" t="s">
        <v>783</v>
      </c>
      <c r="D245" s="27" t="s">
        <v>784</v>
      </c>
      <c r="E245" s="28" t="s">
        <v>46</v>
      </c>
      <c r="F245" s="29" t="s">
        <v>46</v>
      </c>
      <c r="G245" s="30" t="s">
        <v>46</v>
      </c>
      <c r="H245" s="31"/>
      <c r="I245" s="31" t="s">
        <v>47</v>
      </c>
      <c r="J245" s="32" t="n">
        <v>10.0</v>
      </c>
      <c r="K245" s="33" t="n">
        <f>739.8</f>
        <v>739.8</v>
      </c>
      <c r="L245" s="34" t="s">
        <v>48</v>
      </c>
      <c r="M245" s="33" t="n">
        <f>739.8</f>
        <v>739.8</v>
      </c>
      <c r="N245" s="34" t="s">
        <v>48</v>
      </c>
      <c r="O245" s="33" t="n">
        <f>718.9</f>
        <v>718.9</v>
      </c>
      <c r="P245" s="34" t="s">
        <v>59</v>
      </c>
      <c r="Q245" s="33" t="n">
        <f>723.7</f>
        <v>723.7</v>
      </c>
      <c r="R245" s="34" t="s">
        <v>51</v>
      </c>
      <c r="S245" s="35" t="n">
        <f>724.63</f>
        <v>724.63</v>
      </c>
      <c r="T245" s="32" t="n">
        <f>6320</f>
        <v>6320.0</v>
      </c>
      <c r="U245" s="32" t="str">
        <f>"－"</f>
        <v>－</v>
      </c>
      <c r="V245" s="32" t="n">
        <f>4570806</f>
        <v>4570806.0</v>
      </c>
      <c r="W245" s="32" t="str">
        <f>"－"</f>
        <v>－</v>
      </c>
      <c r="X245" s="36" t="n">
        <f>21</f>
        <v>21.0</v>
      </c>
    </row>
    <row r="246">
      <c r="A246" s="27" t="s">
        <v>42</v>
      </c>
      <c r="B246" s="27" t="s">
        <v>785</v>
      </c>
      <c r="C246" s="27" t="s">
        <v>786</v>
      </c>
      <c r="D246" s="27" t="s">
        <v>787</v>
      </c>
      <c r="E246" s="28" t="s">
        <v>46</v>
      </c>
      <c r="F246" s="29" t="s">
        <v>46</v>
      </c>
      <c r="G246" s="30" t="s">
        <v>46</v>
      </c>
      <c r="H246" s="31"/>
      <c r="I246" s="31" t="s">
        <v>47</v>
      </c>
      <c r="J246" s="32" t="n">
        <v>10.0</v>
      </c>
      <c r="K246" s="33" t="n">
        <f>740</f>
        <v>740.0</v>
      </c>
      <c r="L246" s="34" t="s">
        <v>48</v>
      </c>
      <c r="M246" s="33" t="n">
        <f>742</f>
        <v>742.0</v>
      </c>
      <c r="N246" s="34" t="s">
        <v>90</v>
      </c>
      <c r="O246" s="33" t="n">
        <f>720.8</f>
        <v>720.8</v>
      </c>
      <c r="P246" s="34" t="s">
        <v>59</v>
      </c>
      <c r="Q246" s="33" t="n">
        <f>726.9</f>
        <v>726.9</v>
      </c>
      <c r="R246" s="34" t="s">
        <v>51</v>
      </c>
      <c r="S246" s="35" t="n">
        <f>727.35</f>
        <v>727.35</v>
      </c>
      <c r="T246" s="32" t="n">
        <f>62280</f>
        <v>62280.0</v>
      </c>
      <c r="U246" s="32" t="str">
        <f>"－"</f>
        <v>－</v>
      </c>
      <c r="V246" s="32" t="n">
        <f>45447627</f>
        <v>4.5447627E7</v>
      </c>
      <c r="W246" s="32" t="str">
        <f>"－"</f>
        <v>－</v>
      </c>
      <c r="X246" s="36" t="n">
        <f>19</f>
        <v>19.0</v>
      </c>
    </row>
    <row r="247">
      <c r="A247" s="27" t="s">
        <v>42</v>
      </c>
      <c r="B247" s="27" t="s">
        <v>788</v>
      </c>
      <c r="C247" s="27" t="s">
        <v>789</v>
      </c>
      <c r="D247" s="27" t="s">
        <v>790</v>
      </c>
      <c r="E247" s="28" t="s">
        <v>46</v>
      </c>
      <c r="F247" s="29" t="s">
        <v>46</v>
      </c>
      <c r="G247" s="30" t="s">
        <v>46</v>
      </c>
      <c r="H247" s="31"/>
      <c r="I247" s="31" t="s">
        <v>47</v>
      </c>
      <c r="J247" s="32" t="n">
        <v>1.0</v>
      </c>
      <c r="K247" s="33" t="n">
        <f>2005</f>
        <v>2005.0</v>
      </c>
      <c r="L247" s="34" t="s">
        <v>48</v>
      </c>
      <c r="M247" s="33" t="n">
        <f>2043</f>
        <v>2043.0</v>
      </c>
      <c r="N247" s="34" t="s">
        <v>82</v>
      </c>
      <c r="O247" s="33" t="n">
        <f>1966</f>
        <v>1966.0</v>
      </c>
      <c r="P247" s="34" t="s">
        <v>67</v>
      </c>
      <c r="Q247" s="33" t="n">
        <f>2025</f>
        <v>2025.0</v>
      </c>
      <c r="R247" s="34" t="s">
        <v>51</v>
      </c>
      <c r="S247" s="35" t="n">
        <f>2008.68</f>
        <v>2008.68</v>
      </c>
      <c r="T247" s="32" t="n">
        <f>360982</f>
        <v>360982.0</v>
      </c>
      <c r="U247" s="32" t="n">
        <f>160</f>
        <v>160.0</v>
      </c>
      <c r="V247" s="32" t="n">
        <f>723838056</f>
        <v>7.23838056E8</v>
      </c>
      <c r="W247" s="32" t="n">
        <f>324723</f>
        <v>324723.0</v>
      </c>
      <c r="X247" s="36" t="n">
        <f>22</f>
        <v>22.0</v>
      </c>
    </row>
    <row r="248">
      <c r="A248" s="27" t="s">
        <v>42</v>
      </c>
      <c r="B248" s="27" t="s">
        <v>791</v>
      </c>
      <c r="C248" s="27" t="s">
        <v>792</v>
      </c>
      <c r="D248" s="27" t="s">
        <v>793</v>
      </c>
      <c r="E248" s="28" t="s">
        <v>46</v>
      </c>
      <c r="F248" s="29" t="s">
        <v>46</v>
      </c>
      <c r="G248" s="30" t="s">
        <v>46</v>
      </c>
      <c r="H248" s="31"/>
      <c r="I248" s="31" t="s">
        <v>47</v>
      </c>
      <c r="J248" s="32" t="n">
        <v>1.0</v>
      </c>
      <c r="K248" s="33" t="n">
        <f>2529</f>
        <v>2529.0</v>
      </c>
      <c r="L248" s="34" t="s">
        <v>48</v>
      </c>
      <c r="M248" s="33" t="n">
        <f>2556</f>
        <v>2556.0</v>
      </c>
      <c r="N248" s="34" t="s">
        <v>49</v>
      </c>
      <c r="O248" s="33" t="n">
        <f>2477</f>
        <v>2477.0</v>
      </c>
      <c r="P248" s="34" t="s">
        <v>67</v>
      </c>
      <c r="Q248" s="33" t="n">
        <f>2542</f>
        <v>2542.0</v>
      </c>
      <c r="R248" s="34" t="s">
        <v>51</v>
      </c>
      <c r="S248" s="35" t="n">
        <f>2525.77</f>
        <v>2525.77</v>
      </c>
      <c r="T248" s="32" t="n">
        <f>512385</f>
        <v>512385.0</v>
      </c>
      <c r="U248" s="32" t="n">
        <f>39510</f>
        <v>39510.0</v>
      </c>
      <c r="V248" s="32" t="n">
        <f>1289591270</f>
        <v>1.28959127E9</v>
      </c>
      <c r="W248" s="32" t="n">
        <f>100142434</f>
        <v>1.00142434E8</v>
      </c>
      <c r="X248" s="36" t="n">
        <f>22</f>
        <v>22.0</v>
      </c>
    </row>
    <row r="249">
      <c r="A249" s="27" t="s">
        <v>42</v>
      </c>
      <c r="B249" s="27" t="s">
        <v>794</v>
      </c>
      <c r="C249" s="27" t="s">
        <v>795</v>
      </c>
      <c r="D249" s="27" t="s">
        <v>796</v>
      </c>
      <c r="E249" s="28" t="s">
        <v>46</v>
      </c>
      <c r="F249" s="29" t="s">
        <v>46</v>
      </c>
      <c r="G249" s="30" t="s">
        <v>46</v>
      </c>
      <c r="H249" s="31"/>
      <c r="I249" s="31" t="s">
        <v>47</v>
      </c>
      <c r="J249" s="32" t="n">
        <v>1.0</v>
      </c>
      <c r="K249" s="33" t="n">
        <f>11700</f>
        <v>11700.0</v>
      </c>
      <c r="L249" s="34" t="s">
        <v>48</v>
      </c>
      <c r="M249" s="33" t="n">
        <f>12220</f>
        <v>12220.0</v>
      </c>
      <c r="N249" s="34" t="s">
        <v>67</v>
      </c>
      <c r="O249" s="33" t="n">
        <f>11430</f>
        <v>11430.0</v>
      </c>
      <c r="P249" s="34" t="s">
        <v>49</v>
      </c>
      <c r="Q249" s="33" t="n">
        <f>11580</f>
        <v>11580.0</v>
      </c>
      <c r="R249" s="34" t="s">
        <v>51</v>
      </c>
      <c r="S249" s="35" t="n">
        <f>11747.05</f>
        <v>11747.05</v>
      </c>
      <c r="T249" s="32" t="n">
        <f>166622</f>
        <v>166622.0</v>
      </c>
      <c r="U249" s="32" t="n">
        <f>531</f>
        <v>531.0</v>
      </c>
      <c r="V249" s="32" t="n">
        <f>1981930621</f>
        <v>1.981930621E9</v>
      </c>
      <c r="W249" s="32" t="n">
        <f>6152271</f>
        <v>6152271.0</v>
      </c>
      <c r="X249" s="36" t="n">
        <f>22</f>
        <v>22.0</v>
      </c>
    </row>
    <row r="250">
      <c r="A250" s="27" t="s">
        <v>42</v>
      </c>
      <c r="B250" s="27" t="s">
        <v>797</v>
      </c>
      <c r="C250" s="27" t="s">
        <v>798</v>
      </c>
      <c r="D250" s="27" t="s">
        <v>799</v>
      </c>
      <c r="E250" s="28" t="s">
        <v>46</v>
      </c>
      <c r="F250" s="29" t="s">
        <v>46</v>
      </c>
      <c r="G250" s="30" t="s">
        <v>46</v>
      </c>
      <c r="H250" s="31"/>
      <c r="I250" s="31" t="s">
        <v>47</v>
      </c>
      <c r="J250" s="32" t="n">
        <v>1.0</v>
      </c>
      <c r="K250" s="33" t="n">
        <f>1660</f>
        <v>1660.0</v>
      </c>
      <c r="L250" s="34" t="s">
        <v>48</v>
      </c>
      <c r="M250" s="33" t="n">
        <f>1749</f>
        <v>1749.0</v>
      </c>
      <c r="N250" s="34" t="s">
        <v>75</v>
      </c>
      <c r="O250" s="33" t="n">
        <f>1500</f>
        <v>1500.0</v>
      </c>
      <c r="P250" s="34" t="s">
        <v>67</v>
      </c>
      <c r="Q250" s="33" t="n">
        <f>1648</f>
        <v>1648.0</v>
      </c>
      <c r="R250" s="34" t="s">
        <v>51</v>
      </c>
      <c r="S250" s="35" t="n">
        <f>1629.68</f>
        <v>1629.68</v>
      </c>
      <c r="T250" s="32" t="n">
        <f>667355</f>
        <v>667355.0</v>
      </c>
      <c r="U250" s="32" t="n">
        <f>194</f>
        <v>194.0</v>
      </c>
      <c r="V250" s="32" t="n">
        <f>1083656860</f>
        <v>1.08365686E9</v>
      </c>
      <c r="W250" s="32" t="n">
        <f>325390</f>
        <v>325390.0</v>
      </c>
      <c r="X250" s="36" t="n">
        <f>22</f>
        <v>22.0</v>
      </c>
    </row>
    <row r="251">
      <c r="A251" s="27" t="s">
        <v>42</v>
      </c>
      <c r="B251" s="27" t="s">
        <v>800</v>
      </c>
      <c r="C251" s="27" t="s">
        <v>801</v>
      </c>
      <c r="D251" s="27" t="s">
        <v>802</v>
      </c>
      <c r="E251" s="28" t="s">
        <v>46</v>
      </c>
      <c r="F251" s="29" t="s">
        <v>46</v>
      </c>
      <c r="G251" s="30" t="s">
        <v>46</v>
      </c>
      <c r="H251" s="31"/>
      <c r="I251" s="31" t="s">
        <v>47</v>
      </c>
      <c r="J251" s="32" t="n">
        <v>10.0</v>
      </c>
      <c r="K251" s="33" t="n">
        <f>301.9</f>
        <v>301.9</v>
      </c>
      <c r="L251" s="34" t="s">
        <v>48</v>
      </c>
      <c r="M251" s="33" t="n">
        <f>320</f>
        <v>320.0</v>
      </c>
      <c r="N251" s="34" t="s">
        <v>51</v>
      </c>
      <c r="O251" s="33" t="n">
        <f>300</f>
        <v>300.0</v>
      </c>
      <c r="P251" s="34" t="s">
        <v>50</v>
      </c>
      <c r="Q251" s="33" t="n">
        <f>310.3</f>
        <v>310.3</v>
      </c>
      <c r="R251" s="34" t="s">
        <v>51</v>
      </c>
      <c r="S251" s="35" t="n">
        <f>307.43</f>
        <v>307.43</v>
      </c>
      <c r="T251" s="32" t="n">
        <f>22860</f>
        <v>22860.0</v>
      </c>
      <c r="U251" s="32" t="str">
        <f>"－"</f>
        <v>－</v>
      </c>
      <c r="V251" s="32" t="n">
        <f>7105068</f>
        <v>7105068.0</v>
      </c>
      <c r="W251" s="32" t="str">
        <f>"－"</f>
        <v>－</v>
      </c>
      <c r="X251" s="36" t="n">
        <f>22</f>
        <v>22.0</v>
      </c>
    </row>
    <row r="252">
      <c r="A252" s="27" t="s">
        <v>42</v>
      </c>
      <c r="B252" s="27" t="s">
        <v>803</v>
      </c>
      <c r="C252" s="27" t="s">
        <v>804</v>
      </c>
      <c r="D252" s="27" t="s">
        <v>805</v>
      </c>
      <c r="E252" s="28" t="s">
        <v>46</v>
      </c>
      <c r="F252" s="29" t="s">
        <v>46</v>
      </c>
      <c r="G252" s="30" t="s">
        <v>46</v>
      </c>
      <c r="H252" s="31"/>
      <c r="I252" s="31" t="s">
        <v>47</v>
      </c>
      <c r="J252" s="32" t="n">
        <v>10.0</v>
      </c>
      <c r="K252" s="33" t="n">
        <f>822.8</f>
        <v>822.8</v>
      </c>
      <c r="L252" s="34" t="s">
        <v>48</v>
      </c>
      <c r="M252" s="33" t="n">
        <f>864.2</f>
        <v>864.2</v>
      </c>
      <c r="N252" s="34" t="s">
        <v>75</v>
      </c>
      <c r="O252" s="33" t="n">
        <f>822.8</f>
        <v>822.8</v>
      </c>
      <c r="P252" s="34" t="s">
        <v>48</v>
      </c>
      <c r="Q252" s="33" t="n">
        <f>844.7</f>
        <v>844.7</v>
      </c>
      <c r="R252" s="34" t="s">
        <v>51</v>
      </c>
      <c r="S252" s="35" t="n">
        <f>838.32</f>
        <v>838.32</v>
      </c>
      <c r="T252" s="32" t="n">
        <f>6731240</f>
        <v>6731240.0</v>
      </c>
      <c r="U252" s="32" t="n">
        <f>720</f>
        <v>720.0</v>
      </c>
      <c r="V252" s="32" t="n">
        <f>5644393951</f>
        <v>5.644393951E9</v>
      </c>
      <c r="W252" s="32" t="n">
        <f>605663</f>
        <v>605663.0</v>
      </c>
      <c r="X252" s="36" t="n">
        <f>22</f>
        <v>22.0</v>
      </c>
    </row>
    <row r="253">
      <c r="A253" s="27" t="s">
        <v>42</v>
      </c>
      <c r="B253" s="27" t="s">
        <v>806</v>
      </c>
      <c r="C253" s="27" t="s">
        <v>807</v>
      </c>
      <c r="D253" s="27" t="s">
        <v>808</v>
      </c>
      <c r="E253" s="28" t="s">
        <v>46</v>
      </c>
      <c r="F253" s="29" t="s">
        <v>46</v>
      </c>
      <c r="G253" s="30" t="s">
        <v>46</v>
      </c>
      <c r="H253" s="31"/>
      <c r="I253" s="31" t="s">
        <v>47</v>
      </c>
      <c r="J253" s="32" t="n">
        <v>1.0</v>
      </c>
      <c r="K253" s="33" t="n">
        <f>1300</f>
        <v>1300.0</v>
      </c>
      <c r="L253" s="34" t="s">
        <v>48</v>
      </c>
      <c r="M253" s="33" t="n">
        <f>1348</f>
        <v>1348.0</v>
      </c>
      <c r="N253" s="34" t="s">
        <v>75</v>
      </c>
      <c r="O253" s="33" t="n">
        <f>1267</f>
        <v>1267.0</v>
      </c>
      <c r="P253" s="34" t="s">
        <v>181</v>
      </c>
      <c r="Q253" s="33" t="n">
        <f>1316</f>
        <v>1316.0</v>
      </c>
      <c r="R253" s="34" t="s">
        <v>51</v>
      </c>
      <c r="S253" s="35" t="n">
        <f>1302.14</f>
        <v>1302.14</v>
      </c>
      <c r="T253" s="32" t="n">
        <f>167860</f>
        <v>167860.0</v>
      </c>
      <c r="U253" s="32" t="str">
        <f>"－"</f>
        <v>－</v>
      </c>
      <c r="V253" s="32" t="n">
        <f>217878438</f>
        <v>2.17878438E8</v>
      </c>
      <c r="W253" s="32" t="str">
        <f>"－"</f>
        <v>－</v>
      </c>
      <c r="X253" s="36" t="n">
        <f>22</f>
        <v>22.0</v>
      </c>
    </row>
    <row r="254">
      <c r="A254" s="27" t="s">
        <v>42</v>
      </c>
      <c r="B254" s="27" t="s">
        <v>809</v>
      </c>
      <c r="C254" s="27" t="s">
        <v>810</v>
      </c>
      <c r="D254" s="27" t="s">
        <v>811</v>
      </c>
      <c r="E254" s="28" t="s">
        <v>46</v>
      </c>
      <c r="F254" s="29" t="s">
        <v>46</v>
      </c>
      <c r="G254" s="30" t="s">
        <v>46</v>
      </c>
      <c r="H254" s="31"/>
      <c r="I254" s="31" t="s">
        <v>47</v>
      </c>
      <c r="J254" s="32" t="n">
        <v>1.0</v>
      </c>
      <c r="K254" s="33" t="n">
        <f>1196</f>
        <v>1196.0</v>
      </c>
      <c r="L254" s="34" t="s">
        <v>48</v>
      </c>
      <c r="M254" s="33" t="n">
        <f>1196</f>
        <v>1196.0</v>
      </c>
      <c r="N254" s="34" t="s">
        <v>48</v>
      </c>
      <c r="O254" s="33" t="n">
        <f>1156</f>
        <v>1156.0</v>
      </c>
      <c r="P254" s="34" t="s">
        <v>369</v>
      </c>
      <c r="Q254" s="33" t="n">
        <f>1168</f>
        <v>1168.0</v>
      </c>
      <c r="R254" s="34" t="s">
        <v>51</v>
      </c>
      <c r="S254" s="35" t="n">
        <f>1170.32</f>
        <v>1170.32</v>
      </c>
      <c r="T254" s="32" t="n">
        <f>268179</f>
        <v>268179.0</v>
      </c>
      <c r="U254" s="32" t="str">
        <f>"－"</f>
        <v>－</v>
      </c>
      <c r="V254" s="32" t="n">
        <f>313419470</f>
        <v>3.1341947E8</v>
      </c>
      <c r="W254" s="32" t="str">
        <f>"－"</f>
        <v>－</v>
      </c>
      <c r="X254" s="36" t="n">
        <f>22</f>
        <v>22.0</v>
      </c>
    </row>
    <row r="255">
      <c r="A255" s="27" t="s">
        <v>42</v>
      </c>
      <c r="B255" s="27" t="s">
        <v>812</v>
      </c>
      <c r="C255" s="27" t="s">
        <v>813</v>
      </c>
      <c r="D255" s="27" t="s">
        <v>814</v>
      </c>
      <c r="E255" s="28" t="s">
        <v>46</v>
      </c>
      <c r="F255" s="29" t="s">
        <v>46</v>
      </c>
      <c r="G255" s="30" t="s">
        <v>46</v>
      </c>
      <c r="H255" s="31"/>
      <c r="I255" s="31" t="s">
        <v>47</v>
      </c>
      <c r="J255" s="32" t="n">
        <v>1.0</v>
      </c>
      <c r="K255" s="33" t="n">
        <f>1165</f>
        <v>1165.0</v>
      </c>
      <c r="L255" s="34" t="s">
        <v>48</v>
      </c>
      <c r="M255" s="33" t="n">
        <f>1280</f>
        <v>1280.0</v>
      </c>
      <c r="N255" s="34" t="s">
        <v>210</v>
      </c>
      <c r="O255" s="33" t="n">
        <f>1132</f>
        <v>1132.0</v>
      </c>
      <c r="P255" s="34" t="s">
        <v>200</v>
      </c>
      <c r="Q255" s="33" t="n">
        <f>1220</f>
        <v>1220.0</v>
      </c>
      <c r="R255" s="34" t="s">
        <v>51</v>
      </c>
      <c r="S255" s="35" t="n">
        <f>1173.32</f>
        <v>1173.32</v>
      </c>
      <c r="T255" s="32" t="n">
        <f>1552316</f>
        <v>1552316.0</v>
      </c>
      <c r="U255" s="32" t="str">
        <f>"－"</f>
        <v>－</v>
      </c>
      <c r="V255" s="32" t="n">
        <f>1814534584</f>
        <v>1.814534584E9</v>
      </c>
      <c r="W255" s="32" t="str">
        <f>"－"</f>
        <v>－</v>
      </c>
      <c r="X255" s="36" t="n">
        <f>22</f>
        <v>22.0</v>
      </c>
    </row>
    <row r="256">
      <c r="A256" s="27" t="s">
        <v>42</v>
      </c>
      <c r="B256" s="27" t="s">
        <v>815</v>
      </c>
      <c r="C256" s="27" t="s">
        <v>816</v>
      </c>
      <c r="D256" s="27" t="s">
        <v>817</v>
      </c>
      <c r="E256" s="28" t="s">
        <v>46</v>
      </c>
      <c r="F256" s="29" t="s">
        <v>46</v>
      </c>
      <c r="G256" s="30" t="s">
        <v>46</v>
      </c>
      <c r="H256" s="31"/>
      <c r="I256" s="31" t="s">
        <v>47</v>
      </c>
      <c r="J256" s="32" t="n">
        <v>10.0</v>
      </c>
      <c r="K256" s="33" t="n">
        <f>214.1</f>
        <v>214.1</v>
      </c>
      <c r="L256" s="34" t="s">
        <v>48</v>
      </c>
      <c r="M256" s="33" t="n">
        <f>214.3</f>
        <v>214.3</v>
      </c>
      <c r="N256" s="34" t="s">
        <v>48</v>
      </c>
      <c r="O256" s="33" t="n">
        <f>207.1</f>
        <v>207.1</v>
      </c>
      <c r="P256" s="34" t="s">
        <v>200</v>
      </c>
      <c r="Q256" s="33" t="n">
        <f>210.9</f>
        <v>210.9</v>
      </c>
      <c r="R256" s="34" t="s">
        <v>51</v>
      </c>
      <c r="S256" s="35" t="n">
        <f>210.19</f>
        <v>210.19</v>
      </c>
      <c r="T256" s="32" t="n">
        <f>5626970</f>
        <v>5626970.0</v>
      </c>
      <c r="U256" s="32" t="n">
        <f>1010330</f>
        <v>1010330.0</v>
      </c>
      <c r="V256" s="32" t="n">
        <f>1183250183</f>
        <v>1.183250183E9</v>
      </c>
      <c r="W256" s="32" t="n">
        <f>212563593</f>
        <v>2.12563593E8</v>
      </c>
      <c r="X256" s="36" t="n">
        <f>22</f>
        <v>22.0</v>
      </c>
    </row>
    <row r="257">
      <c r="A257" s="27" t="s">
        <v>42</v>
      </c>
      <c r="B257" s="27" t="s">
        <v>818</v>
      </c>
      <c r="C257" s="27" t="s">
        <v>819</v>
      </c>
      <c r="D257" s="27" t="s">
        <v>820</v>
      </c>
      <c r="E257" s="28" t="s">
        <v>46</v>
      </c>
      <c r="F257" s="29" t="s">
        <v>46</v>
      </c>
      <c r="G257" s="30" t="s">
        <v>46</v>
      </c>
      <c r="H257" s="31"/>
      <c r="I257" s="31" t="s">
        <v>47</v>
      </c>
      <c r="J257" s="32" t="n">
        <v>10.0</v>
      </c>
      <c r="K257" s="33" t="n">
        <f>224</f>
        <v>224.0</v>
      </c>
      <c r="L257" s="34" t="s">
        <v>48</v>
      </c>
      <c r="M257" s="33" t="n">
        <f>245.9</f>
        <v>245.9</v>
      </c>
      <c r="N257" s="34" t="s">
        <v>49</v>
      </c>
      <c r="O257" s="33" t="n">
        <f>220.3</f>
        <v>220.3</v>
      </c>
      <c r="P257" s="34" t="s">
        <v>200</v>
      </c>
      <c r="Q257" s="33" t="n">
        <f>223.5</f>
        <v>223.5</v>
      </c>
      <c r="R257" s="34" t="s">
        <v>51</v>
      </c>
      <c r="S257" s="35" t="n">
        <f>222.28</f>
        <v>222.28</v>
      </c>
      <c r="T257" s="32" t="n">
        <f>2045740</f>
        <v>2045740.0</v>
      </c>
      <c r="U257" s="32" t="n">
        <f>1950</f>
        <v>1950.0</v>
      </c>
      <c r="V257" s="32" t="n">
        <f>455771795</f>
        <v>4.55771795E8</v>
      </c>
      <c r="W257" s="32" t="n">
        <f>433829</f>
        <v>433829.0</v>
      </c>
      <c r="X257" s="36" t="n">
        <f>22</f>
        <v>22.0</v>
      </c>
    </row>
    <row r="258">
      <c r="A258" s="27" t="s">
        <v>42</v>
      </c>
      <c r="B258" s="27" t="s">
        <v>821</v>
      </c>
      <c r="C258" s="27" t="s">
        <v>822</v>
      </c>
      <c r="D258" s="27" t="s">
        <v>823</v>
      </c>
      <c r="E258" s="28" t="s">
        <v>46</v>
      </c>
      <c r="F258" s="29" t="s">
        <v>46</v>
      </c>
      <c r="G258" s="30" t="s">
        <v>46</v>
      </c>
      <c r="H258" s="31"/>
      <c r="I258" s="31" t="s">
        <v>47</v>
      </c>
      <c r="J258" s="32" t="n">
        <v>10.0</v>
      </c>
      <c r="K258" s="33" t="n">
        <f>227</f>
        <v>227.0</v>
      </c>
      <c r="L258" s="34" t="s">
        <v>48</v>
      </c>
      <c r="M258" s="33" t="n">
        <f>229</f>
        <v>229.0</v>
      </c>
      <c r="N258" s="34" t="s">
        <v>49</v>
      </c>
      <c r="O258" s="33" t="n">
        <f>222.2</f>
        <v>222.2</v>
      </c>
      <c r="P258" s="34" t="s">
        <v>63</v>
      </c>
      <c r="Q258" s="33" t="n">
        <f>225.8</f>
        <v>225.8</v>
      </c>
      <c r="R258" s="34" t="s">
        <v>51</v>
      </c>
      <c r="S258" s="35" t="n">
        <f>224.55</f>
        <v>224.55</v>
      </c>
      <c r="T258" s="32" t="n">
        <f>1372740</f>
        <v>1372740.0</v>
      </c>
      <c r="U258" s="32" t="n">
        <f>900700</f>
        <v>900700.0</v>
      </c>
      <c r="V258" s="32" t="n">
        <f>309027103</f>
        <v>3.09027103E8</v>
      </c>
      <c r="W258" s="32" t="n">
        <f>203104582</f>
        <v>2.03104582E8</v>
      </c>
      <c r="X258" s="36" t="n">
        <f>22</f>
        <v>22.0</v>
      </c>
    </row>
    <row r="259">
      <c r="A259" s="27" t="s">
        <v>42</v>
      </c>
      <c r="B259" s="27" t="s">
        <v>824</v>
      </c>
      <c r="C259" s="27" t="s">
        <v>825</v>
      </c>
      <c r="D259" s="27" t="s">
        <v>826</v>
      </c>
      <c r="E259" s="28" t="s">
        <v>46</v>
      </c>
      <c r="F259" s="29" t="s">
        <v>46</v>
      </c>
      <c r="G259" s="30" t="s">
        <v>46</v>
      </c>
      <c r="H259" s="31"/>
      <c r="I259" s="31" t="s">
        <v>47</v>
      </c>
      <c r="J259" s="32" t="n">
        <v>10.0</v>
      </c>
      <c r="K259" s="33" t="n">
        <f>227</f>
        <v>227.0</v>
      </c>
      <c r="L259" s="34" t="s">
        <v>48</v>
      </c>
      <c r="M259" s="33" t="n">
        <f>229.3</f>
        <v>229.3</v>
      </c>
      <c r="N259" s="34" t="s">
        <v>210</v>
      </c>
      <c r="O259" s="33" t="n">
        <f>224</f>
        <v>224.0</v>
      </c>
      <c r="P259" s="34" t="s">
        <v>200</v>
      </c>
      <c r="Q259" s="33" t="n">
        <f>227.6</f>
        <v>227.6</v>
      </c>
      <c r="R259" s="34" t="s">
        <v>51</v>
      </c>
      <c r="S259" s="35" t="n">
        <f>226.28</f>
        <v>226.28</v>
      </c>
      <c r="T259" s="32" t="n">
        <f>1448290</f>
        <v>1448290.0</v>
      </c>
      <c r="U259" s="32" t="n">
        <f>7560</f>
        <v>7560.0</v>
      </c>
      <c r="V259" s="32" t="n">
        <f>327559859</f>
        <v>3.27559859E8</v>
      </c>
      <c r="W259" s="32" t="n">
        <f>1707003</f>
        <v>1707003.0</v>
      </c>
      <c r="X259" s="36" t="n">
        <f>22</f>
        <v>22.0</v>
      </c>
    </row>
    <row r="260">
      <c r="A260" s="27" t="s">
        <v>42</v>
      </c>
      <c r="B260" s="27" t="s">
        <v>827</v>
      </c>
      <c r="C260" s="27" t="s">
        <v>828</v>
      </c>
      <c r="D260" s="27" t="s">
        <v>829</v>
      </c>
      <c r="E260" s="28" t="s">
        <v>46</v>
      </c>
      <c r="F260" s="29" t="s">
        <v>46</v>
      </c>
      <c r="G260" s="30" t="s">
        <v>46</v>
      </c>
      <c r="H260" s="31"/>
      <c r="I260" s="31" t="s">
        <v>47</v>
      </c>
      <c r="J260" s="32" t="n">
        <v>10.0</v>
      </c>
      <c r="K260" s="33" t="n">
        <f>191.1</f>
        <v>191.1</v>
      </c>
      <c r="L260" s="34" t="s">
        <v>48</v>
      </c>
      <c r="M260" s="33" t="n">
        <f>191.1</f>
        <v>191.1</v>
      </c>
      <c r="N260" s="34" t="s">
        <v>48</v>
      </c>
      <c r="O260" s="33" t="n">
        <f>187.4</f>
        <v>187.4</v>
      </c>
      <c r="P260" s="34" t="s">
        <v>59</v>
      </c>
      <c r="Q260" s="33" t="n">
        <f>189.1</f>
        <v>189.1</v>
      </c>
      <c r="R260" s="34" t="s">
        <v>51</v>
      </c>
      <c r="S260" s="35" t="n">
        <f>188.97</f>
        <v>188.97</v>
      </c>
      <c r="T260" s="32" t="n">
        <f>16020</f>
        <v>16020.0</v>
      </c>
      <c r="U260" s="32" t="n">
        <f>30</f>
        <v>30.0</v>
      </c>
      <c r="V260" s="32" t="n">
        <f>3022358</f>
        <v>3022358.0</v>
      </c>
      <c r="W260" s="32" t="n">
        <f>5658</f>
        <v>5658.0</v>
      </c>
      <c r="X260" s="36" t="n">
        <f>22</f>
        <v>22.0</v>
      </c>
    </row>
    <row r="261">
      <c r="A261" s="27" t="s">
        <v>42</v>
      </c>
      <c r="B261" s="27" t="s">
        <v>830</v>
      </c>
      <c r="C261" s="27" t="s">
        <v>831</v>
      </c>
      <c r="D261" s="27" t="s">
        <v>832</v>
      </c>
      <c r="E261" s="28" t="s">
        <v>46</v>
      </c>
      <c r="F261" s="29" t="s">
        <v>46</v>
      </c>
      <c r="G261" s="30" t="s">
        <v>46</v>
      </c>
      <c r="H261" s="31"/>
      <c r="I261" s="31" t="s">
        <v>47</v>
      </c>
      <c r="J261" s="32" t="n">
        <v>1.0</v>
      </c>
      <c r="K261" s="33" t="n">
        <f>2155</f>
        <v>2155.0</v>
      </c>
      <c r="L261" s="34" t="s">
        <v>48</v>
      </c>
      <c r="M261" s="33" t="n">
        <f>2248</f>
        <v>2248.0</v>
      </c>
      <c r="N261" s="34" t="s">
        <v>162</v>
      </c>
      <c r="O261" s="33" t="n">
        <f>2052</f>
        <v>2052.0</v>
      </c>
      <c r="P261" s="34" t="s">
        <v>63</v>
      </c>
      <c r="Q261" s="33" t="n">
        <f>2105</f>
        <v>2105.0</v>
      </c>
      <c r="R261" s="34" t="s">
        <v>51</v>
      </c>
      <c r="S261" s="35" t="n">
        <f>2106.14</f>
        <v>2106.14</v>
      </c>
      <c r="T261" s="32" t="n">
        <f>564599</f>
        <v>564599.0</v>
      </c>
      <c r="U261" s="32" t="n">
        <f>29078</f>
        <v>29078.0</v>
      </c>
      <c r="V261" s="32" t="n">
        <f>1190891875</f>
        <v>1.190891875E9</v>
      </c>
      <c r="W261" s="32" t="n">
        <f>61205196</f>
        <v>6.1205196E7</v>
      </c>
      <c r="X261" s="36" t="n">
        <f>22</f>
        <v>22.0</v>
      </c>
    </row>
    <row r="262">
      <c r="A262" s="27" t="s">
        <v>42</v>
      </c>
      <c r="B262" s="27" t="s">
        <v>833</v>
      </c>
      <c r="C262" s="27" t="s">
        <v>834</v>
      </c>
      <c r="D262" s="27" t="s">
        <v>835</v>
      </c>
      <c r="E262" s="28" t="s">
        <v>46</v>
      </c>
      <c r="F262" s="29" t="s">
        <v>46</v>
      </c>
      <c r="G262" s="30" t="s">
        <v>46</v>
      </c>
      <c r="H262" s="31"/>
      <c r="I262" s="31" t="s">
        <v>47</v>
      </c>
      <c r="J262" s="32" t="n">
        <v>1.0</v>
      </c>
      <c r="K262" s="33" t="n">
        <f>1335</f>
        <v>1335.0</v>
      </c>
      <c r="L262" s="34" t="s">
        <v>48</v>
      </c>
      <c r="M262" s="33" t="n">
        <f>1339</f>
        <v>1339.0</v>
      </c>
      <c r="N262" s="34" t="s">
        <v>369</v>
      </c>
      <c r="O262" s="33" t="n">
        <f>1286</f>
        <v>1286.0</v>
      </c>
      <c r="P262" s="34" t="s">
        <v>90</v>
      </c>
      <c r="Q262" s="33" t="n">
        <f>1320</f>
        <v>1320.0</v>
      </c>
      <c r="R262" s="34" t="s">
        <v>51</v>
      </c>
      <c r="S262" s="35" t="n">
        <f>1305.32</f>
        <v>1305.32</v>
      </c>
      <c r="T262" s="32" t="n">
        <f>786226</f>
        <v>786226.0</v>
      </c>
      <c r="U262" s="32" t="n">
        <f>764930</f>
        <v>764930.0</v>
      </c>
      <c r="V262" s="32" t="n">
        <f>1023781531</f>
        <v>1.023781531E9</v>
      </c>
      <c r="W262" s="32" t="n">
        <f>995924125</f>
        <v>9.95924125E8</v>
      </c>
      <c r="X262" s="36" t="n">
        <f>22</f>
        <v>22.0</v>
      </c>
    </row>
    <row r="263">
      <c r="A263" s="27" t="s">
        <v>42</v>
      </c>
      <c r="B263" s="27" t="s">
        <v>836</v>
      </c>
      <c r="C263" s="27" t="s">
        <v>837</v>
      </c>
      <c r="D263" s="27" t="s">
        <v>838</v>
      </c>
      <c r="E263" s="28" t="s">
        <v>46</v>
      </c>
      <c r="F263" s="29" t="s">
        <v>46</v>
      </c>
      <c r="G263" s="30" t="s">
        <v>46</v>
      </c>
      <c r="H263" s="31"/>
      <c r="I263" s="31" t="s">
        <v>47</v>
      </c>
      <c r="J263" s="32" t="n">
        <v>1.0</v>
      </c>
      <c r="K263" s="33" t="n">
        <f>1237</f>
        <v>1237.0</v>
      </c>
      <c r="L263" s="34" t="s">
        <v>48</v>
      </c>
      <c r="M263" s="33" t="n">
        <f>1260</f>
        <v>1260.0</v>
      </c>
      <c r="N263" s="34" t="s">
        <v>82</v>
      </c>
      <c r="O263" s="33" t="n">
        <f>1210</f>
        <v>1210.0</v>
      </c>
      <c r="P263" s="34" t="s">
        <v>90</v>
      </c>
      <c r="Q263" s="33" t="n">
        <f>1253</f>
        <v>1253.0</v>
      </c>
      <c r="R263" s="34" t="s">
        <v>51</v>
      </c>
      <c r="S263" s="35" t="n">
        <f>1236.77</f>
        <v>1236.77</v>
      </c>
      <c r="T263" s="32" t="n">
        <f>1277101</f>
        <v>1277101.0</v>
      </c>
      <c r="U263" s="32" t="n">
        <f>785228</f>
        <v>785228.0</v>
      </c>
      <c r="V263" s="32" t="n">
        <f>1573811518</f>
        <v>1.573811518E9</v>
      </c>
      <c r="W263" s="32" t="n">
        <f>966475352</f>
        <v>9.66475352E8</v>
      </c>
      <c r="X263" s="36" t="n">
        <f>22</f>
        <v>22.0</v>
      </c>
    </row>
    <row r="264">
      <c r="A264" s="27" t="s">
        <v>42</v>
      </c>
      <c r="B264" s="27" t="s">
        <v>839</v>
      </c>
      <c r="C264" s="27" t="s">
        <v>840</v>
      </c>
      <c r="D264" s="27" t="s">
        <v>841</v>
      </c>
      <c r="E264" s="28" t="s">
        <v>46</v>
      </c>
      <c r="F264" s="29" t="s">
        <v>46</v>
      </c>
      <c r="G264" s="30" t="s">
        <v>46</v>
      </c>
      <c r="H264" s="31"/>
      <c r="I264" s="31" t="s">
        <v>47</v>
      </c>
      <c r="J264" s="32" t="n">
        <v>10.0</v>
      </c>
      <c r="K264" s="33" t="n">
        <f>469</f>
        <v>469.0</v>
      </c>
      <c r="L264" s="34" t="s">
        <v>48</v>
      </c>
      <c r="M264" s="33" t="n">
        <f>469</f>
        <v>469.0</v>
      </c>
      <c r="N264" s="34" t="s">
        <v>48</v>
      </c>
      <c r="O264" s="33" t="n">
        <f>460.1</f>
        <v>460.1</v>
      </c>
      <c r="P264" s="34" t="s">
        <v>59</v>
      </c>
      <c r="Q264" s="33" t="n">
        <f>461.1</f>
        <v>461.1</v>
      </c>
      <c r="R264" s="34" t="s">
        <v>51</v>
      </c>
      <c r="S264" s="35" t="n">
        <f>464.22</f>
        <v>464.22</v>
      </c>
      <c r="T264" s="32" t="n">
        <f>1460920</f>
        <v>1460920.0</v>
      </c>
      <c r="U264" s="32" t="n">
        <f>962340</f>
        <v>962340.0</v>
      </c>
      <c r="V264" s="32" t="n">
        <f>676676324</f>
        <v>6.76676324E8</v>
      </c>
      <c r="W264" s="32" t="n">
        <f>445762646</f>
        <v>4.45762646E8</v>
      </c>
      <c r="X264" s="36" t="n">
        <f>22</f>
        <v>22.0</v>
      </c>
    </row>
    <row r="265">
      <c r="A265" s="27" t="s">
        <v>42</v>
      </c>
      <c r="B265" s="27" t="s">
        <v>842</v>
      </c>
      <c r="C265" s="27" t="s">
        <v>843</v>
      </c>
      <c r="D265" s="27" t="s">
        <v>844</v>
      </c>
      <c r="E265" s="28" t="s">
        <v>46</v>
      </c>
      <c r="F265" s="29" t="s">
        <v>46</v>
      </c>
      <c r="G265" s="30" t="s">
        <v>46</v>
      </c>
      <c r="H265" s="31"/>
      <c r="I265" s="31" t="s">
        <v>47</v>
      </c>
      <c r="J265" s="32" t="n">
        <v>10.0</v>
      </c>
      <c r="K265" s="33" t="n">
        <f>175.6</f>
        <v>175.6</v>
      </c>
      <c r="L265" s="34" t="s">
        <v>48</v>
      </c>
      <c r="M265" s="33" t="n">
        <f>175.6</f>
        <v>175.6</v>
      </c>
      <c r="N265" s="34" t="s">
        <v>48</v>
      </c>
      <c r="O265" s="33" t="n">
        <f>163.5</f>
        <v>163.5</v>
      </c>
      <c r="P265" s="34" t="s">
        <v>200</v>
      </c>
      <c r="Q265" s="33" t="n">
        <f>167.4</f>
        <v>167.4</v>
      </c>
      <c r="R265" s="34" t="s">
        <v>51</v>
      </c>
      <c r="S265" s="35" t="n">
        <f>167.28</f>
        <v>167.28</v>
      </c>
      <c r="T265" s="32" t="n">
        <f>10514280</f>
        <v>1.051428E7</v>
      </c>
      <c r="U265" s="32" t="str">
        <f>"－"</f>
        <v>－</v>
      </c>
      <c r="V265" s="32" t="n">
        <f>1757727726</f>
        <v>1.757727726E9</v>
      </c>
      <c r="W265" s="32" t="str">
        <f>"－"</f>
        <v>－</v>
      </c>
      <c r="X265" s="36" t="n">
        <f>22</f>
        <v>22.0</v>
      </c>
    </row>
    <row r="266">
      <c r="A266" s="27" t="s">
        <v>42</v>
      </c>
      <c r="B266" s="27" t="s">
        <v>845</v>
      </c>
      <c r="C266" s="27" t="s">
        <v>846</v>
      </c>
      <c r="D266" s="27" t="s">
        <v>847</v>
      </c>
      <c r="E266" s="28" t="s">
        <v>46</v>
      </c>
      <c r="F266" s="29" t="s">
        <v>46</v>
      </c>
      <c r="G266" s="30" t="s">
        <v>46</v>
      </c>
      <c r="H266" s="31"/>
      <c r="I266" s="31" t="s">
        <v>47</v>
      </c>
      <c r="J266" s="32" t="n">
        <v>10.0</v>
      </c>
      <c r="K266" s="33" t="n">
        <f>149.1</f>
        <v>149.1</v>
      </c>
      <c r="L266" s="34" t="s">
        <v>48</v>
      </c>
      <c r="M266" s="33" t="n">
        <f>149.1</f>
        <v>149.1</v>
      </c>
      <c r="N266" s="34" t="s">
        <v>48</v>
      </c>
      <c r="O266" s="33" t="n">
        <f>141.6</f>
        <v>141.6</v>
      </c>
      <c r="P266" s="34" t="s">
        <v>59</v>
      </c>
      <c r="Q266" s="33" t="n">
        <f>143.7</f>
        <v>143.7</v>
      </c>
      <c r="R266" s="34" t="s">
        <v>51</v>
      </c>
      <c r="S266" s="35" t="n">
        <f>144.02</f>
        <v>144.02</v>
      </c>
      <c r="T266" s="32" t="n">
        <f>10876950</f>
        <v>1.087695E7</v>
      </c>
      <c r="U266" s="32" t="n">
        <f>210</f>
        <v>210.0</v>
      </c>
      <c r="V266" s="32" t="n">
        <f>1567063096</f>
        <v>1.567063096E9</v>
      </c>
      <c r="W266" s="32" t="n">
        <f>30396</f>
        <v>30396.0</v>
      </c>
      <c r="X266" s="36" t="n">
        <f>22</f>
        <v>22.0</v>
      </c>
    </row>
    <row r="267">
      <c r="A267" s="27" t="s">
        <v>42</v>
      </c>
      <c r="B267" s="27" t="s">
        <v>848</v>
      </c>
      <c r="C267" s="27" t="s">
        <v>849</v>
      </c>
      <c r="D267" s="27" t="s">
        <v>850</v>
      </c>
      <c r="E267" s="28" t="s">
        <v>46</v>
      </c>
      <c r="F267" s="29" t="s">
        <v>46</v>
      </c>
      <c r="G267" s="30" t="s">
        <v>46</v>
      </c>
      <c r="H267" s="31"/>
      <c r="I267" s="31" t="s">
        <v>47</v>
      </c>
      <c r="J267" s="32" t="n">
        <v>10.0</v>
      </c>
      <c r="K267" s="33" t="n">
        <f>847.3</f>
        <v>847.3</v>
      </c>
      <c r="L267" s="34" t="s">
        <v>48</v>
      </c>
      <c r="M267" s="33" t="n">
        <f>850</f>
        <v>850.0</v>
      </c>
      <c r="N267" s="34" t="s">
        <v>55</v>
      </c>
      <c r="O267" s="33" t="n">
        <f>837</f>
        <v>837.0</v>
      </c>
      <c r="P267" s="34" t="s">
        <v>59</v>
      </c>
      <c r="Q267" s="33" t="n">
        <f>837.2</f>
        <v>837.2</v>
      </c>
      <c r="R267" s="34" t="s">
        <v>51</v>
      </c>
      <c r="S267" s="35" t="n">
        <f>842.67</f>
        <v>842.67</v>
      </c>
      <c r="T267" s="32" t="n">
        <f>8237260</f>
        <v>8237260.0</v>
      </c>
      <c r="U267" s="32" t="n">
        <f>5649290</f>
        <v>5649290.0</v>
      </c>
      <c r="V267" s="32" t="n">
        <f>6939811781</f>
        <v>6.939811781E9</v>
      </c>
      <c r="W267" s="32" t="n">
        <f>4757292171</f>
        <v>4.757292171E9</v>
      </c>
      <c r="X267" s="36" t="n">
        <f>22</f>
        <v>22.0</v>
      </c>
    </row>
    <row r="268">
      <c r="A268" s="27" t="s">
        <v>42</v>
      </c>
      <c r="B268" s="27" t="s">
        <v>851</v>
      </c>
      <c r="C268" s="27" t="s">
        <v>852</v>
      </c>
      <c r="D268" s="27" t="s">
        <v>853</v>
      </c>
      <c r="E268" s="28" t="s">
        <v>46</v>
      </c>
      <c r="F268" s="29" t="s">
        <v>46</v>
      </c>
      <c r="G268" s="30" t="s">
        <v>46</v>
      </c>
      <c r="H268" s="31"/>
      <c r="I268" s="31" t="s">
        <v>47</v>
      </c>
      <c r="J268" s="32" t="n">
        <v>10.0</v>
      </c>
      <c r="K268" s="33" t="n">
        <f>1171.5</f>
        <v>1171.5</v>
      </c>
      <c r="L268" s="34" t="s">
        <v>48</v>
      </c>
      <c r="M268" s="33" t="n">
        <f>1183.5</f>
        <v>1183.5</v>
      </c>
      <c r="N268" s="34" t="s">
        <v>51</v>
      </c>
      <c r="O268" s="33" t="n">
        <f>1158.5</f>
        <v>1158.5</v>
      </c>
      <c r="P268" s="34" t="s">
        <v>86</v>
      </c>
      <c r="Q268" s="33" t="n">
        <f>1180.5</f>
        <v>1180.5</v>
      </c>
      <c r="R268" s="34" t="s">
        <v>51</v>
      </c>
      <c r="S268" s="35" t="n">
        <f>1169.77</f>
        <v>1169.77</v>
      </c>
      <c r="T268" s="32" t="n">
        <f>2227210</f>
        <v>2227210.0</v>
      </c>
      <c r="U268" s="32" t="n">
        <f>700640</f>
        <v>700640.0</v>
      </c>
      <c r="V268" s="32" t="n">
        <f>2608827136</f>
        <v>2.608827136E9</v>
      </c>
      <c r="W268" s="32" t="n">
        <f>821611856</f>
        <v>8.21611856E8</v>
      </c>
      <c r="X268" s="36" t="n">
        <f>22</f>
        <v>22.0</v>
      </c>
    </row>
    <row r="269">
      <c r="A269" s="27" t="s">
        <v>42</v>
      </c>
      <c r="B269" s="27" t="s">
        <v>854</v>
      </c>
      <c r="C269" s="27" t="s">
        <v>855</v>
      </c>
      <c r="D269" s="27" t="s">
        <v>856</v>
      </c>
      <c r="E269" s="28" t="s">
        <v>46</v>
      </c>
      <c r="F269" s="29" t="s">
        <v>46</v>
      </c>
      <c r="G269" s="30" t="s">
        <v>46</v>
      </c>
      <c r="H269" s="31"/>
      <c r="I269" s="31" t="s">
        <v>47</v>
      </c>
      <c r="J269" s="32" t="n">
        <v>10.0</v>
      </c>
      <c r="K269" s="33" t="n">
        <f>756</f>
        <v>756.0</v>
      </c>
      <c r="L269" s="34" t="s">
        <v>48</v>
      </c>
      <c r="M269" s="33" t="n">
        <f>759.7</f>
        <v>759.7</v>
      </c>
      <c r="N269" s="34" t="s">
        <v>106</v>
      </c>
      <c r="O269" s="33" t="n">
        <f>748.8</f>
        <v>748.8</v>
      </c>
      <c r="P269" s="34" t="s">
        <v>289</v>
      </c>
      <c r="Q269" s="33" t="n">
        <f>753.4</f>
        <v>753.4</v>
      </c>
      <c r="R269" s="34" t="s">
        <v>51</v>
      </c>
      <c r="S269" s="35" t="n">
        <f>752.58</f>
        <v>752.58</v>
      </c>
      <c r="T269" s="32" t="n">
        <f>5347750</f>
        <v>5347750.0</v>
      </c>
      <c r="U269" s="32" t="n">
        <f>4267820</f>
        <v>4267820.0</v>
      </c>
      <c r="V269" s="32" t="n">
        <f>4014584237</f>
        <v>4.014584237E9</v>
      </c>
      <c r="W269" s="32" t="n">
        <f>3202228631</f>
        <v>3.202228631E9</v>
      </c>
      <c r="X269" s="36" t="n">
        <f>22</f>
        <v>22.0</v>
      </c>
    </row>
    <row r="270">
      <c r="A270" s="27" t="s">
        <v>42</v>
      </c>
      <c r="B270" s="27" t="s">
        <v>857</v>
      </c>
      <c r="C270" s="27" t="s">
        <v>858</v>
      </c>
      <c r="D270" s="27" t="s">
        <v>859</v>
      </c>
      <c r="E270" s="28" t="s">
        <v>46</v>
      </c>
      <c r="F270" s="29" t="s">
        <v>46</v>
      </c>
      <c r="G270" s="30" t="s">
        <v>46</v>
      </c>
      <c r="H270" s="31"/>
      <c r="I270" s="31" t="s">
        <v>47</v>
      </c>
      <c r="J270" s="32" t="n">
        <v>1.0</v>
      </c>
      <c r="K270" s="33" t="n">
        <f>3141</f>
        <v>3141.0</v>
      </c>
      <c r="L270" s="34" t="s">
        <v>48</v>
      </c>
      <c r="M270" s="33" t="n">
        <f>3222</f>
        <v>3222.0</v>
      </c>
      <c r="N270" s="34" t="s">
        <v>82</v>
      </c>
      <c r="O270" s="33" t="n">
        <f>3103</f>
        <v>3103.0</v>
      </c>
      <c r="P270" s="34" t="s">
        <v>67</v>
      </c>
      <c r="Q270" s="33" t="n">
        <f>3195</f>
        <v>3195.0</v>
      </c>
      <c r="R270" s="34" t="s">
        <v>51</v>
      </c>
      <c r="S270" s="35" t="n">
        <f>3159.91</f>
        <v>3159.91</v>
      </c>
      <c r="T270" s="32" t="n">
        <f>1416840</f>
        <v>1416840.0</v>
      </c>
      <c r="U270" s="32" t="n">
        <f>573665</f>
        <v>573665.0</v>
      </c>
      <c r="V270" s="32" t="n">
        <f>4480448968</f>
        <v>4.480448968E9</v>
      </c>
      <c r="W270" s="32" t="n">
        <f>1829966258</f>
        <v>1.829966258E9</v>
      </c>
      <c r="X270" s="36" t="n">
        <f>22</f>
        <v>22.0</v>
      </c>
    </row>
    <row r="271">
      <c r="A271" s="27" t="s">
        <v>42</v>
      </c>
      <c r="B271" s="27" t="s">
        <v>860</v>
      </c>
      <c r="C271" s="27" t="s">
        <v>861</v>
      </c>
      <c r="D271" s="27" t="s">
        <v>862</v>
      </c>
      <c r="E271" s="28" t="s">
        <v>46</v>
      </c>
      <c r="F271" s="29" t="s">
        <v>46</v>
      </c>
      <c r="G271" s="30" t="s">
        <v>46</v>
      </c>
      <c r="H271" s="31"/>
      <c r="I271" s="31" t="s">
        <v>47</v>
      </c>
      <c r="J271" s="32" t="n">
        <v>1.0</v>
      </c>
      <c r="K271" s="33" t="n">
        <f>1886</f>
        <v>1886.0</v>
      </c>
      <c r="L271" s="34" t="s">
        <v>48</v>
      </c>
      <c r="M271" s="33" t="n">
        <f>1918</f>
        <v>1918.0</v>
      </c>
      <c r="N271" s="34" t="s">
        <v>48</v>
      </c>
      <c r="O271" s="33" t="n">
        <f>1828</f>
        <v>1828.0</v>
      </c>
      <c r="P271" s="34" t="s">
        <v>67</v>
      </c>
      <c r="Q271" s="33" t="n">
        <f>1872</f>
        <v>1872.0</v>
      </c>
      <c r="R271" s="34" t="s">
        <v>51</v>
      </c>
      <c r="S271" s="35" t="n">
        <f>1858.73</f>
        <v>1858.73</v>
      </c>
      <c r="T271" s="32" t="n">
        <f>288256</f>
        <v>288256.0</v>
      </c>
      <c r="U271" s="32" t="n">
        <f>120</f>
        <v>120.0</v>
      </c>
      <c r="V271" s="32" t="n">
        <f>531683474</f>
        <v>5.31683474E8</v>
      </c>
      <c r="W271" s="32" t="n">
        <f>222262</f>
        <v>222262.0</v>
      </c>
      <c r="X271" s="36" t="n">
        <f>22</f>
        <v>22.0</v>
      </c>
    </row>
    <row r="272">
      <c r="A272" s="27" t="s">
        <v>42</v>
      </c>
      <c r="B272" s="27" t="s">
        <v>863</v>
      </c>
      <c r="C272" s="27" t="s">
        <v>864</v>
      </c>
      <c r="D272" s="27" t="s">
        <v>865</v>
      </c>
      <c r="E272" s="28" t="s">
        <v>46</v>
      </c>
      <c r="F272" s="29" t="s">
        <v>46</v>
      </c>
      <c r="G272" s="30" t="s">
        <v>46</v>
      </c>
      <c r="H272" s="31"/>
      <c r="I272" s="31" t="s">
        <v>47</v>
      </c>
      <c r="J272" s="32" t="n">
        <v>1.0</v>
      </c>
      <c r="K272" s="33" t="n">
        <f>1511</f>
        <v>1511.0</v>
      </c>
      <c r="L272" s="34" t="s">
        <v>48</v>
      </c>
      <c r="M272" s="33" t="n">
        <f>1599</f>
        <v>1599.0</v>
      </c>
      <c r="N272" s="34" t="s">
        <v>48</v>
      </c>
      <c r="O272" s="33" t="n">
        <f>1446</f>
        <v>1446.0</v>
      </c>
      <c r="P272" s="34" t="s">
        <v>63</v>
      </c>
      <c r="Q272" s="33" t="n">
        <f>1479</f>
        <v>1479.0</v>
      </c>
      <c r="R272" s="34" t="s">
        <v>51</v>
      </c>
      <c r="S272" s="35" t="n">
        <f>1474.82</f>
        <v>1474.82</v>
      </c>
      <c r="T272" s="32" t="n">
        <f>1343149</f>
        <v>1343149.0</v>
      </c>
      <c r="U272" s="32" t="n">
        <f>579754</f>
        <v>579754.0</v>
      </c>
      <c r="V272" s="32" t="n">
        <f>1980108433</f>
        <v>1.980108433E9</v>
      </c>
      <c r="W272" s="32" t="n">
        <f>853105434</f>
        <v>8.53105434E8</v>
      </c>
      <c r="X272" s="36" t="n">
        <f>22</f>
        <v>22.0</v>
      </c>
    </row>
    <row r="273">
      <c r="A273" s="27" t="s">
        <v>42</v>
      </c>
      <c r="B273" s="27" t="s">
        <v>866</v>
      </c>
      <c r="C273" s="27" t="s">
        <v>867</v>
      </c>
      <c r="D273" s="27" t="s">
        <v>868</v>
      </c>
      <c r="E273" s="28" t="s">
        <v>46</v>
      </c>
      <c r="F273" s="29" t="s">
        <v>46</v>
      </c>
      <c r="G273" s="30" t="s">
        <v>46</v>
      </c>
      <c r="H273" s="31"/>
      <c r="I273" s="31" t="s">
        <v>47</v>
      </c>
      <c r="J273" s="32" t="n">
        <v>10.0</v>
      </c>
      <c r="K273" s="33" t="n">
        <f>550.8</f>
        <v>550.8</v>
      </c>
      <c r="L273" s="34" t="s">
        <v>48</v>
      </c>
      <c r="M273" s="33" t="n">
        <f>550.8</f>
        <v>550.8</v>
      </c>
      <c r="N273" s="34" t="s">
        <v>48</v>
      </c>
      <c r="O273" s="33" t="n">
        <f>504.7</f>
        <v>504.7</v>
      </c>
      <c r="P273" s="34" t="s">
        <v>63</v>
      </c>
      <c r="Q273" s="33" t="n">
        <f>528.8</f>
        <v>528.8</v>
      </c>
      <c r="R273" s="34" t="s">
        <v>51</v>
      </c>
      <c r="S273" s="35" t="n">
        <f>522.62</f>
        <v>522.62</v>
      </c>
      <c r="T273" s="32" t="n">
        <f>18143380</f>
        <v>1.814338E7</v>
      </c>
      <c r="U273" s="32" t="n">
        <f>570030</f>
        <v>570030.0</v>
      </c>
      <c r="V273" s="32" t="n">
        <f>9508814613</f>
        <v>9.508814613E9</v>
      </c>
      <c r="W273" s="32" t="n">
        <f>297437957</f>
        <v>2.97437957E8</v>
      </c>
      <c r="X273" s="36" t="n">
        <f>22</f>
        <v>22.0</v>
      </c>
    </row>
    <row r="274">
      <c r="A274" s="27" t="s">
        <v>42</v>
      </c>
      <c r="B274" s="27" t="s">
        <v>869</v>
      </c>
      <c r="C274" s="27" t="s">
        <v>870</v>
      </c>
      <c r="D274" s="27" t="s">
        <v>871</v>
      </c>
      <c r="E274" s="28" t="s">
        <v>46</v>
      </c>
      <c r="F274" s="29" t="s">
        <v>46</v>
      </c>
      <c r="G274" s="30" t="s">
        <v>46</v>
      </c>
      <c r="H274" s="31"/>
      <c r="I274" s="31" t="s">
        <v>47</v>
      </c>
      <c r="J274" s="32" t="n">
        <v>10.0</v>
      </c>
      <c r="K274" s="33" t="n">
        <f>1232.5</f>
        <v>1232.5</v>
      </c>
      <c r="L274" s="34" t="s">
        <v>48</v>
      </c>
      <c r="M274" s="33" t="n">
        <f>1233</f>
        <v>1233.0</v>
      </c>
      <c r="N274" s="34" t="s">
        <v>51</v>
      </c>
      <c r="O274" s="33" t="n">
        <f>1175</f>
        <v>1175.0</v>
      </c>
      <c r="P274" s="34" t="s">
        <v>106</v>
      </c>
      <c r="Q274" s="33" t="n">
        <f>1224</f>
        <v>1224.0</v>
      </c>
      <c r="R274" s="34" t="s">
        <v>51</v>
      </c>
      <c r="S274" s="35" t="n">
        <f>1205.89</f>
        <v>1205.89</v>
      </c>
      <c r="T274" s="32" t="n">
        <f>854010</f>
        <v>854010.0</v>
      </c>
      <c r="U274" s="32" t="n">
        <f>527760</f>
        <v>527760.0</v>
      </c>
      <c r="V274" s="32" t="n">
        <f>1024392297</f>
        <v>1.024392297E9</v>
      </c>
      <c r="W274" s="32" t="n">
        <f>633114752</f>
        <v>6.33114752E8</v>
      </c>
      <c r="X274" s="36" t="n">
        <f>22</f>
        <v>22.0</v>
      </c>
    </row>
    <row r="275">
      <c r="A275" s="27" t="s">
        <v>42</v>
      </c>
      <c r="B275" s="27" t="s">
        <v>872</v>
      </c>
      <c r="C275" s="27" t="s">
        <v>873</v>
      </c>
      <c r="D275" s="27" t="s">
        <v>874</v>
      </c>
      <c r="E275" s="28" t="s">
        <v>46</v>
      </c>
      <c r="F275" s="29" t="s">
        <v>46</v>
      </c>
      <c r="G275" s="30" t="s">
        <v>46</v>
      </c>
      <c r="H275" s="31"/>
      <c r="I275" s="31" t="s">
        <v>47</v>
      </c>
      <c r="J275" s="32" t="n">
        <v>1.0</v>
      </c>
      <c r="K275" s="33" t="n">
        <f>1910</f>
        <v>1910.0</v>
      </c>
      <c r="L275" s="34" t="s">
        <v>48</v>
      </c>
      <c r="M275" s="33" t="n">
        <f>1980</f>
        <v>1980.0</v>
      </c>
      <c r="N275" s="34" t="s">
        <v>289</v>
      </c>
      <c r="O275" s="33" t="n">
        <f>1888</f>
        <v>1888.0</v>
      </c>
      <c r="P275" s="34" t="s">
        <v>48</v>
      </c>
      <c r="Q275" s="33" t="n">
        <f>1946</f>
        <v>1946.0</v>
      </c>
      <c r="R275" s="34" t="s">
        <v>51</v>
      </c>
      <c r="S275" s="35" t="n">
        <f>1926.32</f>
        <v>1926.32</v>
      </c>
      <c r="T275" s="32" t="n">
        <f>236361</f>
        <v>236361.0</v>
      </c>
      <c r="U275" s="32" t="n">
        <f>200001</f>
        <v>200001.0</v>
      </c>
      <c r="V275" s="32" t="n">
        <f>459312085</f>
        <v>4.59312085E8</v>
      </c>
      <c r="W275" s="32" t="n">
        <f>389246221</f>
        <v>3.89246221E8</v>
      </c>
      <c r="X275" s="36" t="n">
        <f>22</f>
        <v>22.0</v>
      </c>
    </row>
    <row r="276">
      <c r="A276" s="27" t="s">
        <v>42</v>
      </c>
      <c r="B276" s="27" t="s">
        <v>875</v>
      </c>
      <c r="C276" s="27" t="s">
        <v>876</v>
      </c>
      <c r="D276" s="27" t="s">
        <v>877</v>
      </c>
      <c r="E276" s="28" t="s">
        <v>46</v>
      </c>
      <c r="F276" s="29" t="s">
        <v>46</v>
      </c>
      <c r="G276" s="30" t="s">
        <v>46</v>
      </c>
      <c r="H276" s="31"/>
      <c r="I276" s="31" t="s">
        <v>47</v>
      </c>
      <c r="J276" s="32" t="n">
        <v>10.0</v>
      </c>
      <c r="K276" s="33" t="n">
        <f>1175</f>
        <v>1175.0</v>
      </c>
      <c r="L276" s="34" t="s">
        <v>48</v>
      </c>
      <c r="M276" s="33" t="n">
        <f>1184.5</f>
        <v>1184.5</v>
      </c>
      <c r="N276" s="34" t="s">
        <v>210</v>
      </c>
      <c r="O276" s="33" t="n">
        <f>1152</f>
        <v>1152.0</v>
      </c>
      <c r="P276" s="34" t="s">
        <v>63</v>
      </c>
      <c r="Q276" s="33" t="n">
        <f>1176</f>
        <v>1176.0</v>
      </c>
      <c r="R276" s="34" t="s">
        <v>51</v>
      </c>
      <c r="S276" s="35" t="n">
        <f>1168.89</f>
        <v>1168.89</v>
      </c>
      <c r="T276" s="32" t="n">
        <f>342160</f>
        <v>342160.0</v>
      </c>
      <c r="U276" s="32" t="n">
        <f>206740</f>
        <v>206740.0</v>
      </c>
      <c r="V276" s="32" t="n">
        <f>397970804</f>
        <v>3.97970804E8</v>
      </c>
      <c r="W276" s="32" t="n">
        <f>239683864</f>
        <v>2.39683864E8</v>
      </c>
      <c r="X276" s="36" t="n">
        <f>22</f>
        <v>22.0</v>
      </c>
    </row>
    <row r="277">
      <c r="A277" s="27" t="s">
        <v>42</v>
      </c>
      <c r="B277" s="27" t="s">
        <v>878</v>
      </c>
      <c r="C277" s="27" t="s">
        <v>879</v>
      </c>
      <c r="D277" s="27" t="s">
        <v>880</v>
      </c>
      <c r="E277" s="28" t="s">
        <v>46</v>
      </c>
      <c r="F277" s="29" t="s">
        <v>46</v>
      </c>
      <c r="G277" s="30" t="s">
        <v>46</v>
      </c>
      <c r="H277" s="31"/>
      <c r="I277" s="31" t="s">
        <v>47</v>
      </c>
      <c r="J277" s="32" t="n">
        <v>1.0</v>
      </c>
      <c r="K277" s="33" t="n">
        <f>1862</f>
        <v>1862.0</v>
      </c>
      <c r="L277" s="34" t="s">
        <v>48</v>
      </c>
      <c r="M277" s="33" t="n">
        <f>1945</f>
        <v>1945.0</v>
      </c>
      <c r="N277" s="34" t="s">
        <v>82</v>
      </c>
      <c r="O277" s="33" t="n">
        <f>1820</f>
        <v>1820.0</v>
      </c>
      <c r="P277" s="34" t="s">
        <v>63</v>
      </c>
      <c r="Q277" s="33" t="n">
        <f>1917</f>
        <v>1917.0</v>
      </c>
      <c r="R277" s="34" t="s">
        <v>51</v>
      </c>
      <c r="S277" s="35" t="n">
        <f>1871.05</f>
        <v>1871.05</v>
      </c>
      <c r="T277" s="32" t="n">
        <f>212704</f>
        <v>212704.0</v>
      </c>
      <c r="U277" s="32" t="n">
        <f>39476</f>
        <v>39476.0</v>
      </c>
      <c r="V277" s="32" t="n">
        <f>398094555</f>
        <v>3.98094555E8</v>
      </c>
      <c r="W277" s="32" t="n">
        <f>73353659</f>
        <v>7.3353659E7</v>
      </c>
      <c r="X277" s="36" t="n">
        <f>22</f>
        <v>22.0</v>
      </c>
    </row>
    <row r="278">
      <c r="A278" s="27" t="s">
        <v>42</v>
      </c>
      <c r="B278" s="27" t="s">
        <v>881</v>
      </c>
      <c r="C278" s="27" t="s">
        <v>882</v>
      </c>
      <c r="D278" s="27" t="s">
        <v>883</v>
      </c>
      <c r="E278" s="28" t="s">
        <v>46</v>
      </c>
      <c r="F278" s="29" t="s">
        <v>46</v>
      </c>
      <c r="G278" s="30" t="s">
        <v>46</v>
      </c>
      <c r="H278" s="31"/>
      <c r="I278" s="31" t="s">
        <v>47</v>
      </c>
      <c r="J278" s="32" t="n">
        <v>1.0</v>
      </c>
      <c r="K278" s="33" t="n">
        <f>1988</f>
        <v>1988.0</v>
      </c>
      <c r="L278" s="34" t="s">
        <v>48</v>
      </c>
      <c r="M278" s="33" t="n">
        <f>2018</f>
        <v>2018.0</v>
      </c>
      <c r="N278" s="34" t="s">
        <v>210</v>
      </c>
      <c r="O278" s="33" t="n">
        <f>1953</f>
        <v>1953.0</v>
      </c>
      <c r="P278" s="34" t="s">
        <v>67</v>
      </c>
      <c r="Q278" s="33" t="n">
        <f>2004</f>
        <v>2004.0</v>
      </c>
      <c r="R278" s="34" t="s">
        <v>51</v>
      </c>
      <c r="S278" s="35" t="n">
        <f>1991.18</f>
        <v>1991.18</v>
      </c>
      <c r="T278" s="32" t="n">
        <f>3415181</f>
        <v>3415181.0</v>
      </c>
      <c r="U278" s="32" t="n">
        <f>3010319</f>
        <v>3010319.0</v>
      </c>
      <c r="V278" s="32" t="n">
        <f>6798653863</f>
        <v>6.798653863E9</v>
      </c>
      <c r="W278" s="32" t="n">
        <f>5992513342</f>
        <v>5.992513342E9</v>
      </c>
      <c r="X278" s="36" t="n">
        <f>22</f>
        <v>22.0</v>
      </c>
    </row>
    <row r="279">
      <c r="A279" s="27" t="s">
        <v>42</v>
      </c>
      <c r="B279" s="27" t="s">
        <v>884</v>
      </c>
      <c r="C279" s="27" t="s">
        <v>885</v>
      </c>
      <c r="D279" s="27" t="s">
        <v>886</v>
      </c>
      <c r="E279" s="28" t="s">
        <v>46</v>
      </c>
      <c r="F279" s="29" t="s">
        <v>46</v>
      </c>
      <c r="G279" s="30" t="s">
        <v>46</v>
      </c>
      <c r="H279" s="31"/>
      <c r="I279" s="31" t="s">
        <v>47</v>
      </c>
      <c r="J279" s="32" t="n">
        <v>1.0</v>
      </c>
      <c r="K279" s="33" t="n">
        <f>6686</f>
        <v>6686.0</v>
      </c>
      <c r="L279" s="34" t="s">
        <v>48</v>
      </c>
      <c r="M279" s="33" t="n">
        <f>6850</f>
        <v>6850.0</v>
      </c>
      <c r="N279" s="34" t="s">
        <v>128</v>
      </c>
      <c r="O279" s="33" t="n">
        <f>6440</f>
        <v>6440.0</v>
      </c>
      <c r="P279" s="34" t="s">
        <v>67</v>
      </c>
      <c r="Q279" s="33" t="n">
        <f>6717</f>
        <v>6717.0</v>
      </c>
      <c r="R279" s="34" t="s">
        <v>51</v>
      </c>
      <c r="S279" s="35" t="n">
        <f>6684.18</f>
        <v>6684.18</v>
      </c>
      <c r="T279" s="32" t="n">
        <f>116845</f>
        <v>116845.0</v>
      </c>
      <c r="U279" s="32" t="n">
        <f>71</f>
        <v>71.0</v>
      </c>
      <c r="V279" s="32" t="n">
        <f>781237711</f>
        <v>7.81237711E8</v>
      </c>
      <c r="W279" s="32" t="n">
        <f>473067</f>
        <v>473067.0</v>
      </c>
      <c r="X279" s="36" t="n">
        <f>22</f>
        <v>22.0</v>
      </c>
    </row>
    <row r="280">
      <c r="A280" s="27" t="s">
        <v>42</v>
      </c>
      <c r="B280" s="27" t="s">
        <v>887</v>
      </c>
      <c r="C280" s="27" t="s">
        <v>888</v>
      </c>
      <c r="D280" s="27" t="s">
        <v>889</v>
      </c>
      <c r="E280" s="28" t="s">
        <v>46</v>
      </c>
      <c r="F280" s="29" t="s">
        <v>46</v>
      </c>
      <c r="G280" s="30" t="s">
        <v>46</v>
      </c>
      <c r="H280" s="31"/>
      <c r="I280" s="31" t="s">
        <v>47</v>
      </c>
      <c r="J280" s="32" t="n">
        <v>10.0</v>
      </c>
      <c r="K280" s="33" t="n">
        <f>2631</f>
        <v>2631.0</v>
      </c>
      <c r="L280" s="34" t="s">
        <v>48</v>
      </c>
      <c r="M280" s="33" t="n">
        <f>2816</f>
        <v>2816.0</v>
      </c>
      <c r="N280" s="34" t="s">
        <v>48</v>
      </c>
      <c r="O280" s="33" t="n">
        <f>2616</f>
        <v>2616.0</v>
      </c>
      <c r="P280" s="34" t="s">
        <v>48</v>
      </c>
      <c r="Q280" s="33" t="n">
        <f>2633</f>
        <v>2633.0</v>
      </c>
      <c r="R280" s="34" t="s">
        <v>82</v>
      </c>
      <c r="S280" s="35" t="n">
        <f>2704.88</f>
        <v>2704.88</v>
      </c>
      <c r="T280" s="32" t="n">
        <f>790</f>
        <v>790.0</v>
      </c>
      <c r="U280" s="32" t="str">
        <f>"－"</f>
        <v>－</v>
      </c>
      <c r="V280" s="32" t="n">
        <f>2105815</f>
        <v>2105815.0</v>
      </c>
      <c r="W280" s="32" t="str">
        <f>"－"</f>
        <v>－</v>
      </c>
      <c r="X280" s="36" t="n">
        <f>13</f>
        <v>13.0</v>
      </c>
    </row>
    <row r="281">
      <c r="A281" s="27" t="s">
        <v>42</v>
      </c>
      <c r="B281" s="27" t="s">
        <v>890</v>
      </c>
      <c r="C281" s="27" t="s">
        <v>891</v>
      </c>
      <c r="D281" s="27" t="s">
        <v>892</v>
      </c>
      <c r="E281" s="28" t="s">
        <v>46</v>
      </c>
      <c r="F281" s="29" t="s">
        <v>46</v>
      </c>
      <c r="G281" s="30" t="s">
        <v>46</v>
      </c>
      <c r="H281" s="31"/>
      <c r="I281" s="31" t="s">
        <v>47</v>
      </c>
      <c r="J281" s="32" t="n">
        <v>10.0</v>
      </c>
      <c r="K281" s="33" t="n">
        <f>3476</f>
        <v>3476.0</v>
      </c>
      <c r="L281" s="34" t="s">
        <v>48</v>
      </c>
      <c r="M281" s="33" t="n">
        <f>3530</f>
        <v>3530.0</v>
      </c>
      <c r="N281" s="34" t="s">
        <v>82</v>
      </c>
      <c r="O281" s="33" t="n">
        <f>3429</f>
        <v>3429.0</v>
      </c>
      <c r="P281" s="34" t="s">
        <v>181</v>
      </c>
      <c r="Q281" s="33" t="n">
        <f>3517</f>
        <v>3517.0</v>
      </c>
      <c r="R281" s="34" t="s">
        <v>51</v>
      </c>
      <c r="S281" s="35" t="n">
        <f>3480.19</f>
        <v>3480.19</v>
      </c>
      <c r="T281" s="32" t="n">
        <f>1772210</f>
        <v>1772210.0</v>
      </c>
      <c r="U281" s="32" t="n">
        <f>1571880</f>
        <v>1571880.0</v>
      </c>
      <c r="V281" s="32" t="n">
        <f>6124305499</f>
        <v>6.124305499E9</v>
      </c>
      <c r="W281" s="32" t="n">
        <f>5432125499</f>
        <v>5.432125499E9</v>
      </c>
      <c r="X281" s="36" t="n">
        <f>16</f>
        <v>16.0</v>
      </c>
    </row>
    <row r="282">
      <c r="A282" s="27" t="s">
        <v>42</v>
      </c>
      <c r="B282" s="27" t="s">
        <v>893</v>
      </c>
      <c r="C282" s="27" t="s">
        <v>894</v>
      </c>
      <c r="D282" s="27" t="s">
        <v>895</v>
      </c>
      <c r="E282" s="28" t="s">
        <v>46</v>
      </c>
      <c r="F282" s="29" t="s">
        <v>46</v>
      </c>
      <c r="G282" s="30" t="s">
        <v>46</v>
      </c>
      <c r="H282" s="31"/>
      <c r="I282" s="31" t="s">
        <v>47</v>
      </c>
      <c r="J282" s="32" t="n">
        <v>1.0</v>
      </c>
      <c r="K282" s="33" t="n">
        <f>50070</f>
        <v>50070.0</v>
      </c>
      <c r="L282" s="34" t="s">
        <v>48</v>
      </c>
      <c r="M282" s="33" t="n">
        <f>51620</f>
        <v>51620.0</v>
      </c>
      <c r="N282" s="34" t="s">
        <v>75</v>
      </c>
      <c r="O282" s="33" t="n">
        <f>49380</f>
        <v>49380.0</v>
      </c>
      <c r="P282" s="34" t="s">
        <v>67</v>
      </c>
      <c r="Q282" s="33" t="n">
        <f>50960</f>
        <v>50960.0</v>
      </c>
      <c r="R282" s="34" t="s">
        <v>51</v>
      </c>
      <c r="S282" s="35" t="n">
        <f>50648.1</f>
        <v>50648.1</v>
      </c>
      <c r="T282" s="32" t="n">
        <f>223088</f>
        <v>223088.0</v>
      </c>
      <c r="U282" s="32" t="n">
        <f>188185</f>
        <v>188185.0</v>
      </c>
      <c r="V282" s="32" t="n">
        <f>11346595540</f>
        <v>1.134659554E10</v>
      </c>
      <c r="W282" s="32" t="n">
        <f>9592711250</f>
        <v>9.59271125E9</v>
      </c>
      <c r="X282" s="36" t="n">
        <f>21</f>
        <v>21.0</v>
      </c>
    </row>
    <row r="283">
      <c r="A283" s="27" t="s">
        <v>42</v>
      </c>
      <c r="B283" s="27" t="s">
        <v>896</v>
      </c>
      <c r="C283" s="27" t="s">
        <v>897</v>
      </c>
      <c r="D283" s="27" t="s">
        <v>898</v>
      </c>
      <c r="E283" s="28" t="s">
        <v>46</v>
      </c>
      <c r="F283" s="29" t="s">
        <v>46</v>
      </c>
      <c r="G283" s="30" t="s">
        <v>46</v>
      </c>
      <c r="H283" s="31"/>
      <c r="I283" s="31" t="s">
        <v>47</v>
      </c>
      <c r="J283" s="32" t="n">
        <v>1.0</v>
      </c>
      <c r="K283" s="33" t="n">
        <f>30770</f>
        <v>30770.0</v>
      </c>
      <c r="L283" s="34" t="s">
        <v>181</v>
      </c>
      <c r="M283" s="33" t="n">
        <f>31740</f>
        <v>31740.0</v>
      </c>
      <c r="N283" s="34" t="s">
        <v>55</v>
      </c>
      <c r="O283" s="33" t="n">
        <f>30710</f>
        <v>30710.0</v>
      </c>
      <c r="P283" s="34" t="s">
        <v>181</v>
      </c>
      <c r="Q283" s="33" t="n">
        <f>31520</f>
        <v>31520.0</v>
      </c>
      <c r="R283" s="34" t="s">
        <v>51</v>
      </c>
      <c r="S283" s="35" t="n">
        <f>31246.32</f>
        <v>31246.32</v>
      </c>
      <c r="T283" s="32" t="n">
        <f>23743</f>
        <v>23743.0</v>
      </c>
      <c r="U283" s="32" t="n">
        <f>8756</f>
        <v>8756.0</v>
      </c>
      <c r="V283" s="32" t="n">
        <f>744468522</f>
        <v>7.44468522E8</v>
      </c>
      <c r="W283" s="32" t="n">
        <f>274859052</f>
        <v>2.74859052E8</v>
      </c>
      <c r="X283" s="36" t="n">
        <f>19</f>
        <v>19.0</v>
      </c>
    </row>
    <row r="284">
      <c r="A284" s="27" t="s">
        <v>42</v>
      </c>
      <c r="B284" s="27" t="s">
        <v>899</v>
      </c>
      <c r="C284" s="27" t="s">
        <v>900</v>
      </c>
      <c r="D284" s="27" t="s">
        <v>901</v>
      </c>
      <c r="E284" s="28" t="s">
        <v>46</v>
      </c>
      <c r="F284" s="29" t="s">
        <v>46</v>
      </c>
      <c r="G284" s="30" t="s">
        <v>46</v>
      </c>
      <c r="H284" s="31"/>
      <c r="I284" s="31" t="s">
        <v>47</v>
      </c>
      <c r="J284" s="32" t="n">
        <v>10.0</v>
      </c>
      <c r="K284" s="33" t="n">
        <f>1250</f>
        <v>1250.0</v>
      </c>
      <c r="L284" s="34" t="s">
        <v>48</v>
      </c>
      <c r="M284" s="33" t="n">
        <f>1255.5</f>
        <v>1255.5</v>
      </c>
      <c r="N284" s="34" t="s">
        <v>51</v>
      </c>
      <c r="O284" s="33" t="n">
        <f>1186</f>
        <v>1186.0</v>
      </c>
      <c r="P284" s="34" t="s">
        <v>181</v>
      </c>
      <c r="Q284" s="33" t="n">
        <f>1247</f>
        <v>1247.0</v>
      </c>
      <c r="R284" s="34" t="s">
        <v>51</v>
      </c>
      <c r="S284" s="35" t="n">
        <f>1223.89</f>
        <v>1223.89</v>
      </c>
      <c r="T284" s="32" t="n">
        <f>5040260</f>
        <v>5040260.0</v>
      </c>
      <c r="U284" s="32" t="n">
        <f>4347310</f>
        <v>4347310.0</v>
      </c>
      <c r="V284" s="32" t="n">
        <f>6117457988</f>
        <v>6.117457988E9</v>
      </c>
      <c r="W284" s="32" t="n">
        <f>5277121108</f>
        <v>5.277121108E9</v>
      </c>
      <c r="X284" s="36" t="n">
        <f>19</f>
        <v>19.0</v>
      </c>
    </row>
    <row r="285">
      <c r="A285" s="27" t="s">
        <v>42</v>
      </c>
      <c r="B285" s="27" t="s">
        <v>902</v>
      </c>
      <c r="C285" s="27" t="s">
        <v>903</v>
      </c>
      <c r="D285" s="27" t="s">
        <v>904</v>
      </c>
      <c r="E285" s="28" t="s">
        <v>46</v>
      </c>
      <c r="F285" s="29" t="s">
        <v>46</v>
      </c>
      <c r="G285" s="30" t="s">
        <v>46</v>
      </c>
      <c r="H285" s="31"/>
      <c r="I285" s="31" t="s">
        <v>47</v>
      </c>
      <c r="J285" s="32" t="n">
        <v>1.0</v>
      </c>
      <c r="K285" s="33" t="n">
        <f>1230</f>
        <v>1230.0</v>
      </c>
      <c r="L285" s="34" t="s">
        <v>48</v>
      </c>
      <c r="M285" s="33" t="n">
        <f>1230</f>
        <v>1230.0</v>
      </c>
      <c r="N285" s="34" t="s">
        <v>48</v>
      </c>
      <c r="O285" s="33" t="n">
        <f>1168</f>
        <v>1168.0</v>
      </c>
      <c r="P285" s="34" t="s">
        <v>106</v>
      </c>
      <c r="Q285" s="33" t="n">
        <f>1219</f>
        <v>1219.0</v>
      </c>
      <c r="R285" s="34" t="s">
        <v>51</v>
      </c>
      <c r="S285" s="35" t="n">
        <f>1202</f>
        <v>1202.0</v>
      </c>
      <c r="T285" s="32" t="n">
        <f>4607624</f>
        <v>4607624.0</v>
      </c>
      <c r="U285" s="32" t="n">
        <f>4386496</f>
        <v>4386496.0</v>
      </c>
      <c r="V285" s="32" t="n">
        <f>5527238896</f>
        <v>5.527238896E9</v>
      </c>
      <c r="W285" s="32" t="n">
        <f>5263999381</f>
        <v>5.263999381E9</v>
      </c>
      <c r="X285" s="36" t="n">
        <f>22</f>
        <v>22.0</v>
      </c>
    </row>
    <row r="286">
      <c r="A286" s="27" t="s">
        <v>42</v>
      </c>
      <c r="B286" s="27" t="s">
        <v>905</v>
      </c>
      <c r="C286" s="27" t="s">
        <v>906</v>
      </c>
      <c r="D286" s="27" t="s">
        <v>907</v>
      </c>
      <c r="E286" s="28" t="s">
        <v>46</v>
      </c>
      <c r="F286" s="29" t="s">
        <v>46</v>
      </c>
      <c r="G286" s="30" t="s">
        <v>46</v>
      </c>
      <c r="H286" s="31"/>
      <c r="I286" s="31" t="s">
        <v>47</v>
      </c>
      <c r="J286" s="32" t="n">
        <v>1.0</v>
      </c>
      <c r="K286" s="33" t="n">
        <f>1984</f>
        <v>1984.0</v>
      </c>
      <c r="L286" s="34" t="s">
        <v>48</v>
      </c>
      <c r="M286" s="33" t="n">
        <f>2023</f>
        <v>2023.0</v>
      </c>
      <c r="N286" s="34" t="s">
        <v>51</v>
      </c>
      <c r="O286" s="33" t="n">
        <f>1937</f>
        <v>1937.0</v>
      </c>
      <c r="P286" s="34" t="s">
        <v>50</v>
      </c>
      <c r="Q286" s="33" t="n">
        <f>2012</f>
        <v>2012.0</v>
      </c>
      <c r="R286" s="34" t="s">
        <v>51</v>
      </c>
      <c r="S286" s="35" t="n">
        <f>1987.64</f>
        <v>1987.64</v>
      </c>
      <c r="T286" s="32" t="n">
        <f>348219</f>
        <v>348219.0</v>
      </c>
      <c r="U286" s="32" t="n">
        <f>182800</f>
        <v>182800.0</v>
      </c>
      <c r="V286" s="32" t="n">
        <f>690304373</f>
        <v>6.90304373E8</v>
      </c>
      <c r="W286" s="32" t="n">
        <f>360397453</f>
        <v>3.60397453E8</v>
      </c>
      <c r="X286" s="36" t="n">
        <f>22</f>
        <v>22.0</v>
      </c>
    </row>
    <row r="287">
      <c r="A287" s="27" t="s">
        <v>42</v>
      </c>
      <c r="B287" s="27" t="s">
        <v>908</v>
      </c>
      <c r="C287" s="27" t="s">
        <v>909</v>
      </c>
      <c r="D287" s="27" t="s">
        <v>910</v>
      </c>
      <c r="E287" s="28" t="s">
        <v>46</v>
      </c>
      <c r="F287" s="29" t="s">
        <v>46</v>
      </c>
      <c r="G287" s="30" t="s">
        <v>46</v>
      </c>
      <c r="H287" s="31"/>
      <c r="I287" s="31" t="s">
        <v>47</v>
      </c>
      <c r="J287" s="32" t="n">
        <v>1.0</v>
      </c>
      <c r="K287" s="33" t="n">
        <f>16900</f>
        <v>16900.0</v>
      </c>
      <c r="L287" s="34" t="s">
        <v>48</v>
      </c>
      <c r="M287" s="33" t="n">
        <f>16995</f>
        <v>16995.0</v>
      </c>
      <c r="N287" s="34" t="s">
        <v>289</v>
      </c>
      <c r="O287" s="33" t="n">
        <f>15995</f>
        <v>15995.0</v>
      </c>
      <c r="P287" s="34" t="s">
        <v>63</v>
      </c>
      <c r="Q287" s="33" t="n">
        <f>16745</f>
        <v>16745.0</v>
      </c>
      <c r="R287" s="34" t="s">
        <v>51</v>
      </c>
      <c r="S287" s="35" t="n">
        <f>16585.91</f>
        <v>16585.91</v>
      </c>
      <c r="T287" s="32" t="n">
        <f>2712</f>
        <v>2712.0</v>
      </c>
      <c r="U287" s="32" t="str">
        <f>"－"</f>
        <v>－</v>
      </c>
      <c r="V287" s="32" t="n">
        <f>44818200</f>
        <v>4.48182E7</v>
      </c>
      <c r="W287" s="32" t="str">
        <f>"－"</f>
        <v>－</v>
      </c>
      <c r="X287" s="36" t="n">
        <f>22</f>
        <v>22.0</v>
      </c>
    </row>
    <row r="288">
      <c r="A288" s="27" t="s">
        <v>42</v>
      </c>
      <c r="B288" s="27" t="s">
        <v>911</v>
      </c>
      <c r="C288" s="27" t="s">
        <v>912</v>
      </c>
      <c r="D288" s="27" t="s">
        <v>913</v>
      </c>
      <c r="E288" s="28" t="s">
        <v>46</v>
      </c>
      <c r="F288" s="29" t="s">
        <v>46</v>
      </c>
      <c r="G288" s="30" t="s">
        <v>46</v>
      </c>
      <c r="H288" s="31"/>
      <c r="I288" s="31" t="s">
        <v>47</v>
      </c>
      <c r="J288" s="32" t="n">
        <v>1.0</v>
      </c>
      <c r="K288" s="33" t="n">
        <f>2202</f>
        <v>2202.0</v>
      </c>
      <c r="L288" s="34" t="s">
        <v>48</v>
      </c>
      <c r="M288" s="33" t="n">
        <f>2202</f>
        <v>2202.0</v>
      </c>
      <c r="N288" s="34" t="s">
        <v>48</v>
      </c>
      <c r="O288" s="33" t="n">
        <f>2088</f>
        <v>2088.0</v>
      </c>
      <c r="P288" s="34" t="s">
        <v>106</v>
      </c>
      <c r="Q288" s="33" t="n">
        <f>2185</f>
        <v>2185.0</v>
      </c>
      <c r="R288" s="34" t="s">
        <v>51</v>
      </c>
      <c r="S288" s="35" t="n">
        <f>2146.14</f>
        <v>2146.14</v>
      </c>
      <c r="T288" s="32" t="n">
        <f>1228629</f>
        <v>1228629.0</v>
      </c>
      <c r="U288" s="32" t="n">
        <f>1089190</f>
        <v>1089190.0</v>
      </c>
      <c r="V288" s="32" t="n">
        <f>2653584769</f>
        <v>2.653584769E9</v>
      </c>
      <c r="W288" s="32" t="n">
        <f>2352361730</f>
        <v>2.35236173E9</v>
      </c>
      <c r="X288" s="36" t="n">
        <f>22</f>
        <v>22.0</v>
      </c>
    </row>
    <row r="289">
      <c r="A289" s="27" t="s">
        <v>42</v>
      </c>
      <c r="B289" s="27" t="s">
        <v>914</v>
      </c>
      <c r="C289" s="27" t="s">
        <v>915</v>
      </c>
      <c r="D289" s="27" t="s">
        <v>916</v>
      </c>
      <c r="E289" s="28" t="s">
        <v>46</v>
      </c>
      <c r="F289" s="29" t="s">
        <v>46</v>
      </c>
      <c r="G289" s="30" t="s">
        <v>46</v>
      </c>
      <c r="H289" s="31"/>
      <c r="I289" s="31" t="s">
        <v>47</v>
      </c>
      <c r="J289" s="32" t="n">
        <v>10.0</v>
      </c>
      <c r="K289" s="33" t="n">
        <f>2050.5</f>
        <v>2050.5</v>
      </c>
      <c r="L289" s="34" t="s">
        <v>48</v>
      </c>
      <c r="M289" s="33" t="n">
        <f>2250</f>
        <v>2250.0</v>
      </c>
      <c r="N289" s="34" t="s">
        <v>82</v>
      </c>
      <c r="O289" s="33" t="n">
        <f>2042</f>
        <v>2042.0</v>
      </c>
      <c r="P289" s="34" t="s">
        <v>90</v>
      </c>
      <c r="Q289" s="33" t="n">
        <f>2218</f>
        <v>2218.0</v>
      </c>
      <c r="R289" s="34" t="s">
        <v>51</v>
      </c>
      <c r="S289" s="35" t="n">
        <f>2136.43</f>
        <v>2136.43</v>
      </c>
      <c r="T289" s="32" t="n">
        <f>548790</f>
        <v>548790.0</v>
      </c>
      <c r="U289" s="32" t="n">
        <f>350000</f>
        <v>350000.0</v>
      </c>
      <c r="V289" s="32" t="n">
        <f>1156295305</f>
        <v>1.156295305E9</v>
      </c>
      <c r="W289" s="32" t="n">
        <f>725800775</f>
        <v>7.25800775E8</v>
      </c>
      <c r="X289" s="36" t="n">
        <f>22</f>
        <v>22.0</v>
      </c>
    </row>
    <row r="290">
      <c r="A290" s="27" t="s">
        <v>42</v>
      </c>
      <c r="B290" s="27" t="s">
        <v>917</v>
      </c>
      <c r="C290" s="27" t="s">
        <v>918</v>
      </c>
      <c r="D290" s="27" t="s">
        <v>919</v>
      </c>
      <c r="E290" s="28" t="s">
        <v>46</v>
      </c>
      <c r="F290" s="29" t="s">
        <v>46</v>
      </c>
      <c r="G290" s="30" t="s">
        <v>46</v>
      </c>
      <c r="H290" s="31"/>
      <c r="I290" s="31" t="s">
        <v>47</v>
      </c>
      <c r="J290" s="32" t="n">
        <v>10.0</v>
      </c>
      <c r="K290" s="33" t="n">
        <f>785.8</f>
        <v>785.8</v>
      </c>
      <c r="L290" s="34" t="s">
        <v>48</v>
      </c>
      <c r="M290" s="33" t="n">
        <f>788.6</f>
        <v>788.6</v>
      </c>
      <c r="N290" s="34" t="s">
        <v>48</v>
      </c>
      <c r="O290" s="33" t="n">
        <f>775.2</f>
        <v>775.2</v>
      </c>
      <c r="P290" s="34" t="s">
        <v>128</v>
      </c>
      <c r="Q290" s="33" t="n">
        <f>778.5</f>
        <v>778.5</v>
      </c>
      <c r="R290" s="34" t="s">
        <v>51</v>
      </c>
      <c r="S290" s="35" t="n">
        <f>779.1</f>
        <v>779.1</v>
      </c>
      <c r="T290" s="32" t="n">
        <f>152110</f>
        <v>152110.0</v>
      </c>
      <c r="U290" s="32" t="n">
        <f>62860</f>
        <v>62860.0</v>
      </c>
      <c r="V290" s="32" t="n">
        <f>118516654</f>
        <v>1.18516654E8</v>
      </c>
      <c r="W290" s="32" t="n">
        <f>49028318</f>
        <v>4.9028318E7</v>
      </c>
      <c r="X290" s="36" t="n">
        <f>22</f>
        <v>22.0</v>
      </c>
    </row>
    <row r="291">
      <c r="A291" s="27" t="s">
        <v>42</v>
      </c>
      <c r="B291" s="27" t="s">
        <v>920</v>
      </c>
      <c r="C291" s="27" t="s">
        <v>921</v>
      </c>
      <c r="D291" s="27" t="s">
        <v>922</v>
      </c>
      <c r="E291" s="28" t="s">
        <v>46</v>
      </c>
      <c r="F291" s="29" t="s">
        <v>46</v>
      </c>
      <c r="G291" s="30" t="s">
        <v>46</v>
      </c>
      <c r="H291" s="31"/>
      <c r="I291" s="31" t="s">
        <v>47</v>
      </c>
      <c r="J291" s="32" t="n">
        <v>10.0</v>
      </c>
      <c r="K291" s="33" t="n">
        <f>2112.5</f>
        <v>2112.5</v>
      </c>
      <c r="L291" s="34" t="s">
        <v>48</v>
      </c>
      <c r="M291" s="33" t="n">
        <f>2112.5</f>
        <v>2112.5</v>
      </c>
      <c r="N291" s="34" t="s">
        <v>48</v>
      </c>
      <c r="O291" s="33" t="n">
        <f>2008</f>
        <v>2008.0</v>
      </c>
      <c r="P291" s="34" t="s">
        <v>106</v>
      </c>
      <c r="Q291" s="33" t="n">
        <f>2091</f>
        <v>2091.0</v>
      </c>
      <c r="R291" s="34" t="s">
        <v>51</v>
      </c>
      <c r="S291" s="35" t="n">
        <f>2058.45</f>
        <v>2058.45</v>
      </c>
      <c r="T291" s="32" t="n">
        <f>926920</f>
        <v>926920.0</v>
      </c>
      <c r="U291" s="32" t="n">
        <f>692920</f>
        <v>692920.0</v>
      </c>
      <c r="V291" s="32" t="n">
        <f>1900729514</f>
        <v>1.900729514E9</v>
      </c>
      <c r="W291" s="32" t="n">
        <f>1422405534</f>
        <v>1.422405534E9</v>
      </c>
      <c r="X291" s="36" t="n">
        <f>22</f>
        <v>22.0</v>
      </c>
    </row>
    <row r="292">
      <c r="A292" s="27" t="s">
        <v>42</v>
      </c>
      <c r="B292" s="27" t="s">
        <v>923</v>
      </c>
      <c r="C292" s="27" t="s">
        <v>924</v>
      </c>
      <c r="D292" s="27" t="s">
        <v>925</v>
      </c>
      <c r="E292" s="28" t="s">
        <v>46</v>
      </c>
      <c r="F292" s="29" t="s">
        <v>46</v>
      </c>
      <c r="G292" s="30" t="s">
        <v>46</v>
      </c>
      <c r="H292" s="31"/>
      <c r="I292" s="31" t="s">
        <v>47</v>
      </c>
      <c r="J292" s="32" t="n">
        <v>10.0</v>
      </c>
      <c r="K292" s="33" t="n">
        <f>2093.5</f>
        <v>2093.5</v>
      </c>
      <c r="L292" s="34" t="s">
        <v>48</v>
      </c>
      <c r="M292" s="33" t="n">
        <f>2110</f>
        <v>2110.0</v>
      </c>
      <c r="N292" s="34" t="s">
        <v>51</v>
      </c>
      <c r="O292" s="33" t="n">
        <f>2002</f>
        <v>2002.0</v>
      </c>
      <c r="P292" s="34" t="s">
        <v>106</v>
      </c>
      <c r="Q292" s="33" t="n">
        <f>2090</f>
        <v>2090.0</v>
      </c>
      <c r="R292" s="34" t="s">
        <v>51</v>
      </c>
      <c r="S292" s="35" t="n">
        <f>2056.14</f>
        <v>2056.14</v>
      </c>
      <c r="T292" s="32" t="n">
        <f>2337710</f>
        <v>2337710.0</v>
      </c>
      <c r="U292" s="32" t="n">
        <f>1720970</f>
        <v>1720970.0</v>
      </c>
      <c r="V292" s="32" t="n">
        <f>4762306897</f>
        <v>4.762306897E9</v>
      </c>
      <c r="W292" s="32" t="n">
        <f>3493628982</f>
        <v>3.493628982E9</v>
      </c>
      <c r="X292" s="36" t="n">
        <f>22</f>
        <v>22.0</v>
      </c>
    </row>
    <row r="293">
      <c r="A293" s="27" t="s">
        <v>42</v>
      </c>
      <c r="B293" s="27" t="s">
        <v>926</v>
      </c>
      <c r="C293" s="27" t="s">
        <v>927</v>
      </c>
      <c r="D293" s="27" t="s">
        <v>928</v>
      </c>
      <c r="E293" s="28" t="s">
        <v>46</v>
      </c>
      <c r="F293" s="29" t="s">
        <v>46</v>
      </c>
      <c r="G293" s="30" t="s">
        <v>46</v>
      </c>
      <c r="H293" s="31"/>
      <c r="I293" s="31" t="s">
        <v>47</v>
      </c>
      <c r="J293" s="32" t="n">
        <v>10.0</v>
      </c>
      <c r="K293" s="33" t="n">
        <f>3408</f>
        <v>3408.0</v>
      </c>
      <c r="L293" s="34" t="s">
        <v>48</v>
      </c>
      <c r="M293" s="33" t="n">
        <f>3468</f>
        <v>3468.0</v>
      </c>
      <c r="N293" s="34" t="s">
        <v>82</v>
      </c>
      <c r="O293" s="33" t="n">
        <f>3369</f>
        <v>3369.0</v>
      </c>
      <c r="P293" s="34" t="s">
        <v>90</v>
      </c>
      <c r="Q293" s="33" t="n">
        <f>3444</f>
        <v>3444.0</v>
      </c>
      <c r="R293" s="34" t="s">
        <v>51</v>
      </c>
      <c r="S293" s="35" t="n">
        <f>3422</f>
        <v>3422.0</v>
      </c>
      <c r="T293" s="32" t="n">
        <f>1466280</f>
        <v>1466280.0</v>
      </c>
      <c r="U293" s="32" t="n">
        <f>1020590</f>
        <v>1020590.0</v>
      </c>
      <c r="V293" s="32" t="n">
        <f>5029325887</f>
        <v>5.029325887E9</v>
      </c>
      <c r="W293" s="32" t="n">
        <f>3500814787</f>
        <v>3.500814787E9</v>
      </c>
      <c r="X293" s="36" t="n">
        <f>22</f>
        <v>22.0</v>
      </c>
    </row>
    <row r="294">
      <c r="A294" s="27" t="s">
        <v>42</v>
      </c>
      <c r="B294" s="27" t="s">
        <v>929</v>
      </c>
      <c r="C294" s="27" t="s">
        <v>930</v>
      </c>
      <c r="D294" s="27" t="s">
        <v>931</v>
      </c>
      <c r="E294" s="28" t="s">
        <v>46</v>
      </c>
      <c r="F294" s="29" t="s">
        <v>46</v>
      </c>
      <c r="G294" s="30" t="s">
        <v>46</v>
      </c>
      <c r="H294" s="31"/>
      <c r="I294" s="31" t="s">
        <v>47</v>
      </c>
      <c r="J294" s="32" t="n">
        <v>1.0</v>
      </c>
      <c r="K294" s="33" t="n">
        <f>30830</f>
        <v>30830.0</v>
      </c>
      <c r="L294" s="34" t="s">
        <v>48</v>
      </c>
      <c r="M294" s="33" t="n">
        <f>31160</f>
        <v>31160.0</v>
      </c>
      <c r="N294" s="34" t="s">
        <v>49</v>
      </c>
      <c r="O294" s="33" t="n">
        <f>30000</f>
        <v>30000.0</v>
      </c>
      <c r="P294" s="34" t="s">
        <v>67</v>
      </c>
      <c r="Q294" s="33" t="n">
        <f>30950</f>
        <v>30950.0</v>
      </c>
      <c r="R294" s="34" t="s">
        <v>51</v>
      </c>
      <c r="S294" s="35" t="n">
        <f>30663.64</f>
        <v>30663.64</v>
      </c>
      <c r="T294" s="32" t="n">
        <f>587371</f>
        <v>587371.0</v>
      </c>
      <c r="U294" s="32" t="n">
        <f>50843</f>
        <v>50843.0</v>
      </c>
      <c r="V294" s="32" t="n">
        <f>18042440230</f>
        <v>1.804244023E10</v>
      </c>
      <c r="W294" s="32" t="n">
        <f>1559884320</f>
        <v>1.55988432E9</v>
      </c>
      <c r="X294" s="36" t="n">
        <f>22</f>
        <v>22.0</v>
      </c>
    </row>
    <row r="295">
      <c r="A295" s="27" t="s">
        <v>42</v>
      </c>
      <c r="B295" s="27" t="s">
        <v>932</v>
      </c>
      <c r="C295" s="27" t="s">
        <v>933</v>
      </c>
      <c r="D295" s="27" t="s">
        <v>934</v>
      </c>
      <c r="E295" s="28" t="s">
        <v>46</v>
      </c>
      <c r="F295" s="29" t="s">
        <v>46</v>
      </c>
      <c r="G295" s="30" t="s">
        <v>46</v>
      </c>
      <c r="H295" s="31"/>
      <c r="I295" s="31" t="s">
        <v>47</v>
      </c>
      <c r="J295" s="32" t="n">
        <v>1.0</v>
      </c>
      <c r="K295" s="33" t="n">
        <f>25900</f>
        <v>25900.0</v>
      </c>
      <c r="L295" s="34" t="s">
        <v>48</v>
      </c>
      <c r="M295" s="33" t="n">
        <f>26460</f>
        <v>26460.0</v>
      </c>
      <c r="N295" s="34" t="s">
        <v>210</v>
      </c>
      <c r="O295" s="33" t="n">
        <f>25355</f>
        <v>25355.0</v>
      </c>
      <c r="P295" s="34" t="s">
        <v>67</v>
      </c>
      <c r="Q295" s="33" t="n">
        <f>26205</f>
        <v>26205.0</v>
      </c>
      <c r="R295" s="34" t="s">
        <v>51</v>
      </c>
      <c r="S295" s="35" t="n">
        <f>25869.32</f>
        <v>25869.32</v>
      </c>
      <c r="T295" s="32" t="n">
        <f>526840</f>
        <v>526840.0</v>
      </c>
      <c r="U295" s="32" t="n">
        <f>6902</f>
        <v>6902.0</v>
      </c>
      <c r="V295" s="32" t="n">
        <f>13670732804</f>
        <v>1.3670732804E10</v>
      </c>
      <c r="W295" s="32" t="n">
        <f>179569979</f>
        <v>1.79569979E8</v>
      </c>
      <c r="X295" s="36" t="n">
        <f>22</f>
        <v>22.0</v>
      </c>
    </row>
    <row r="296">
      <c r="A296" s="27" t="s">
        <v>42</v>
      </c>
      <c r="B296" s="27" t="s">
        <v>935</v>
      </c>
      <c r="C296" s="27" t="s">
        <v>936</v>
      </c>
      <c r="D296" s="27" t="s">
        <v>937</v>
      </c>
      <c r="E296" s="28" t="s">
        <v>46</v>
      </c>
      <c r="F296" s="29" t="s">
        <v>46</v>
      </c>
      <c r="G296" s="30" t="s">
        <v>46</v>
      </c>
      <c r="H296" s="31"/>
      <c r="I296" s="31" t="s">
        <v>47</v>
      </c>
      <c r="J296" s="32" t="n">
        <v>1.0</v>
      </c>
      <c r="K296" s="33" t="n">
        <f>45380</f>
        <v>45380.0</v>
      </c>
      <c r="L296" s="34" t="s">
        <v>48</v>
      </c>
      <c r="M296" s="33" t="n">
        <f>51280</f>
        <v>51280.0</v>
      </c>
      <c r="N296" s="34" t="s">
        <v>50</v>
      </c>
      <c r="O296" s="33" t="n">
        <f>44210</f>
        <v>44210.0</v>
      </c>
      <c r="P296" s="34" t="s">
        <v>90</v>
      </c>
      <c r="Q296" s="33" t="n">
        <f>45350</f>
        <v>45350.0</v>
      </c>
      <c r="R296" s="34" t="s">
        <v>210</v>
      </c>
      <c r="S296" s="35" t="n">
        <f>45573.85</f>
        <v>45573.85</v>
      </c>
      <c r="T296" s="32" t="n">
        <f>161</f>
        <v>161.0</v>
      </c>
      <c r="U296" s="32" t="str">
        <f>"－"</f>
        <v>－</v>
      </c>
      <c r="V296" s="32" t="n">
        <f>7274160</f>
        <v>7274160.0</v>
      </c>
      <c r="W296" s="32" t="str">
        <f>"－"</f>
        <v>－</v>
      </c>
      <c r="X296" s="36" t="n">
        <f>13</f>
        <v>13.0</v>
      </c>
    </row>
    <row r="297">
      <c r="A297" s="27" t="s">
        <v>42</v>
      </c>
      <c r="B297" s="27" t="s">
        <v>938</v>
      </c>
      <c r="C297" s="27" t="s">
        <v>939</v>
      </c>
      <c r="D297" s="27" t="s">
        <v>940</v>
      </c>
      <c r="E297" s="28" t="s">
        <v>46</v>
      </c>
      <c r="F297" s="29" t="s">
        <v>46</v>
      </c>
      <c r="G297" s="30" t="s">
        <v>46</v>
      </c>
      <c r="H297" s="31"/>
      <c r="I297" s="31" t="s">
        <v>47</v>
      </c>
      <c r="J297" s="32" t="n">
        <v>1.0</v>
      </c>
      <c r="K297" s="33" t="n">
        <f>2134</f>
        <v>2134.0</v>
      </c>
      <c r="L297" s="34" t="s">
        <v>48</v>
      </c>
      <c r="M297" s="33" t="n">
        <f>2163</f>
        <v>2163.0</v>
      </c>
      <c r="N297" s="34" t="s">
        <v>128</v>
      </c>
      <c r="O297" s="33" t="n">
        <f>2103</f>
        <v>2103.0</v>
      </c>
      <c r="P297" s="34" t="s">
        <v>59</v>
      </c>
      <c r="Q297" s="33" t="n">
        <f>2105</f>
        <v>2105.0</v>
      </c>
      <c r="R297" s="34" t="s">
        <v>51</v>
      </c>
      <c r="S297" s="35" t="n">
        <f>2122.55</f>
        <v>2122.55</v>
      </c>
      <c r="T297" s="32" t="n">
        <f>765806</f>
        <v>765806.0</v>
      </c>
      <c r="U297" s="32" t="n">
        <f>155370</f>
        <v>155370.0</v>
      </c>
      <c r="V297" s="32" t="n">
        <f>1624665191</f>
        <v>1.624665191E9</v>
      </c>
      <c r="W297" s="32" t="n">
        <f>330015702</f>
        <v>3.30015702E8</v>
      </c>
      <c r="X297" s="36" t="n">
        <f>22</f>
        <v>22.0</v>
      </c>
    </row>
    <row r="298">
      <c r="A298" s="27" t="s">
        <v>42</v>
      </c>
      <c r="B298" s="27" t="s">
        <v>941</v>
      </c>
      <c r="C298" s="27" t="s">
        <v>942</v>
      </c>
      <c r="D298" s="27" t="s">
        <v>943</v>
      </c>
      <c r="E298" s="28" t="s">
        <v>46</v>
      </c>
      <c r="F298" s="29" t="s">
        <v>46</v>
      </c>
      <c r="G298" s="30" t="s">
        <v>46</v>
      </c>
      <c r="H298" s="31"/>
      <c r="I298" s="31" t="s">
        <v>47</v>
      </c>
      <c r="J298" s="32" t="n">
        <v>1.0</v>
      </c>
      <c r="K298" s="33" t="n">
        <f>3384</f>
        <v>3384.0</v>
      </c>
      <c r="L298" s="34" t="s">
        <v>48</v>
      </c>
      <c r="M298" s="33" t="n">
        <f>3492</f>
        <v>3492.0</v>
      </c>
      <c r="N298" s="34" t="s">
        <v>75</v>
      </c>
      <c r="O298" s="33" t="n">
        <f>3360</f>
        <v>3360.0</v>
      </c>
      <c r="P298" s="34" t="s">
        <v>181</v>
      </c>
      <c r="Q298" s="33" t="n">
        <f>3478</f>
        <v>3478.0</v>
      </c>
      <c r="R298" s="34" t="s">
        <v>51</v>
      </c>
      <c r="S298" s="35" t="n">
        <f>3435.23</f>
        <v>3435.23</v>
      </c>
      <c r="T298" s="32" t="n">
        <f>2626987</f>
        <v>2626987.0</v>
      </c>
      <c r="U298" s="32" t="n">
        <f>2122690</f>
        <v>2122690.0</v>
      </c>
      <c r="V298" s="32" t="n">
        <f>9112414951</f>
        <v>9.112414951E9</v>
      </c>
      <c r="W298" s="32" t="n">
        <f>7371097345</f>
        <v>7.371097345E9</v>
      </c>
      <c r="X298" s="36" t="n">
        <f>22</f>
        <v>22.0</v>
      </c>
    </row>
    <row r="299">
      <c r="A299" s="27" t="s">
        <v>42</v>
      </c>
      <c r="B299" s="27" t="s">
        <v>944</v>
      </c>
      <c r="C299" s="27" t="s">
        <v>945</v>
      </c>
      <c r="D299" s="27" t="s">
        <v>946</v>
      </c>
      <c r="E299" s="28" t="s">
        <v>46</v>
      </c>
      <c r="F299" s="29" t="s">
        <v>46</v>
      </c>
      <c r="G299" s="30" t="s">
        <v>46</v>
      </c>
      <c r="H299" s="31"/>
      <c r="I299" s="31" t="s">
        <v>47</v>
      </c>
      <c r="J299" s="32" t="n">
        <v>10.0</v>
      </c>
      <c r="K299" s="33" t="n">
        <f>371.8</f>
        <v>371.8</v>
      </c>
      <c r="L299" s="34" t="s">
        <v>48</v>
      </c>
      <c r="M299" s="33" t="n">
        <f>377</f>
        <v>377.0</v>
      </c>
      <c r="N299" s="34" t="s">
        <v>82</v>
      </c>
      <c r="O299" s="33" t="n">
        <f>364.3</f>
        <v>364.3</v>
      </c>
      <c r="P299" s="34" t="s">
        <v>67</v>
      </c>
      <c r="Q299" s="33" t="n">
        <f>373.5</f>
        <v>373.5</v>
      </c>
      <c r="R299" s="34" t="s">
        <v>51</v>
      </c>
      <c r="S299" s="35" t="n">
        <f>371.64</f>
        <v>371.64</v>
      </c>
      <c r="T299" s="32" t="n">
        <f>30089300</f>
        <v>3.00893E7</v>
      </c>
      <c r="U299" s="32" t="n">
        <f>19245250</f>
        <v>1.924525E7</v>
      </c>
      <c r="V299" s="32" t="n">
        <f>11213828027</f>
        <v>1.1213828027E10</v>
      </c>
      <c r="W299" s="32" t="n">
        <f>7182564195</f>
        <v>7.182564195E9</v>
      </c>
      <c r="X299" s="36" t="n">
        <f>22</f>
        <v>22.0</v>
      </c>
    </row>
    <row r="300">
      <c r="A300" s="27" t="s">
        <v>42</v>
      </c>
      <c r="B300" s="27" t="s">
        <v>947</v>
      </c>
      <c r="C300" s="27" t="s">
        <v>948</v>
      </c>
      <c r="D300" s="27" t="s">
        <v>949</v>
      </c>
      <c r="E300" s="28" t="s">
        <v>46</v>
      </c>
      <c r="F300" s="29" t="s">
        <v>46</v>
      </c>
      <c r="G300" s="30" t="s">
        <v>46</v>
      </c>
      <c r="H300" s="31"/>
      <c r="I300" s="31" t="s">
        <v>47</v>
      </c>
      <c r="J300" s="32" t="n">
        <v>1.0</v>
      </c>
      <c r="K300" s="33" t="n">
        <f>3310</f>
        <v>3310.0</v>
      </c>
      <c r="L300" s="34" t="s">
        <v>48</v>
      </c>
      <c r="M300" s="33" t="n">
        <f>3411</f>
        <v>3411.0</v>
      </c>
      <c r="N300" s="34" t="s">
        <v>51</v>
      </c>
      <c r="O300" s="33" t="n">
        <f>3246</f>
        <v>3246.0</v>
      </c>
      <c r="P300" s="34" t="s">
        <v>50</v>
      </c>
      <c r="Q300" s="33" t="n">
        <f>3393</f>
        <v>3393.0</v>
      </c>
      <c r="R300" s="34" t="s">
        <v>51</v>
      </c>
      <c r="S300" s="35" t="n">
        <f>3323.91</f>
        <v>3323.91</v>
      </c>
      <c r="T300" s="32" t="n">
        <f>2023106</f>
        <v>2023106.0</v>
      </c>
      <c r="U300" s="32" t="n">
        <f>1289890</f>
        <v>1289890.0</v>
      </c>
      <c r="V300" s="32" t="n">
        <f>6694106127</f>
        <v>6.694106127E9</v>
      </c>
      <c r="W300" s="32" t="n">
        <f>4267127704</f>
        <v>4.267127704E9</v>
      </c>
      <c r="X300" s="36" t="n">
        <f>22</f>
        <v>22.0</v>
      </c>
    </row>
    <row r="301">
      <c r="A301" s="27" t="s">
        <v>42</v>
      </c>
      <c r="B301" s="27" t="s">
        <v>950</v>
      </c>
      <c r="C301" s="27" t="s">
        <v>951</v>
      </c>
      <c r="D301" s="27" t="s">
        <v>952</v>
      </c>
      <c r="E301" s="28" t="s">
        <v>46</v>
      </c>
      <c r="F301" s="29" t="s">
        <v>46</v>
      </c>
      <c r="G301" s="30" t="s">
        <v>46</v>
      </c>
      <c r="H301" s="31"/>
      <c r="I301" s="31" t="s">
        <v>47</v>
      </c>
      <c r="J301" s="32" t="n">
        <v>1.0</v>
      </c>
      <c r="K301" s="33" t="n">
        <f>997</f>
        <v>997.0</v>
      </c>
      <c r="L301" s="34" t="s">
        <v>48</v>
      </c>
      <c r="M301" s="33" t="n">
        <f>1004</f>
        <v>1004.0</v>
      </c>
      <c r="N301" s="34" t="s">
        <v>49</v>
      </c>
      <c r="O301" s="33" t="n">
        <f>956</f>
        <v>956.0</v>
      </c>
      <c r="P301" s="34" t="s">
        <v>106</v>
      </c>
      <c r="Q301" s="33" t="n">
        <f>996</f>
        <v>996.0</v>
      </c>
      <c r="R301" s="34" t="s">
        <v>51</v>
      </c>
      <c r="S301" s="35" t="n">
        <f>983.27</f>
        <v>983.27</v>
      </c>
      <c r="T301" s="32" t="n">
        <f>6463125</f>
        <v>6463125.0</v>
      </c>
      <c r="U301" s="32" t="n">
        <f>6054532</f>
        <v>6054532.0</v>
      </c>
      <c r="V301" s="32" t="n">
        <f>6391463255</f>
        <v>6.391463255E9</v>
      </c>
      <c r="W301" s="32" t="n">
        <f>5990012143</f>
        <v>5.990012143E9</v>
      </c>
      <c r="X301" s="36" t="n">
        <f>22</f>
        <v>22.0</v>
      </c>
    </row>
    <row r="302">
      <c r="A302" s="27" t="s">
        <v>42</v>
      </c>
      <c r="B302" s="27" t="s">
        <v>953</v>
      </c>
      <c r="C302" s="27" t="s">
        <v>954</v>
      </c>
      <c r="D302" s="27" t="s">
        <v>955</v>
      </c>
      <c r="E302" s="28" t="s">
        <v>46</v>
      </c>
      <c r="F302" s="29" t="s">
        <v>46</v>
      </c>
      <c r="G302" s="30" t="s">
        <v>46</v>
      </c>
      <c r="H302" s="31"/>
      <c r="I302" s="31" t="s">
        <v>47</v>
      </c>
      <c r="J302" s="32" t="n">
        <v>1.0</v>
      </c>
      <c r="K302" s="33" t="n">
        <f>1152</f>
        <v>1152.0</v>
      </c>
      <c r="L302" s="34" t="s">
        <v>48</v>
      </c>
      <c r="M302" s="33" t="n">
        <f>1153</f>
        <v>1153.0</v>
      </c>
      <c r="N302" s="34" t="s">
        <v>51</v>
      </c>
      <c r="O302" s="33" t="n">
        <f>1100</f>
        <v>1100.0</v>
      </c>
      <c r="P302" s="34" t="s">
        <v>106</v>
      </c>
      <c r="Q302" s="33" t="n">
        <f>1144</f>
        <v>1144.0</v>
      </c>
      <c r="R302" s="34" t="s">
        <v>51</v>
      </c>
      <c r="S302" s="35" t="n">
        <f>1131.05</f>
        <v>1131.05</v>
      </c>
      <c r="T302" s="32" t="n">
        <f>1867400</f>
        <v>1867400.0</v>
      </c>
      <c r="U302" s="32" t="n">
        <f>1810382</f>
        <v>1810382.0</v>
      </c>
      <c r="V302" s="32" t="n">
        <f>2097696492</f>
        <v>2.097696492E9</v>
      </c>
      <c r="W302" s="32" t="n">
        <f>2033591562</f>
        <v>2.033591562E9</v>
      </c>
      <c r="X302" s="36" t="n">
        <f>22</f>
        <v>22.0</v>
      </c>
    </row>
    <row r="303">
      <c r="A303" s="27" t="s">
        <v>42</v>
      </c>
      <c r="B303" s="27" t="s">
        <v>956</v>
      </c>
      <c r="C303" s="27" t="s">
        <v>957</v>
      </c>
      <c r="D303" s="27" t="s">
        <v>958</v>
      </c>
      <c r="E303" s="28" t="s">
        <v>46</v>
      </c>
      <c r="F303" s="29" t="s">
        <v>46</v>
      </c>
      <c r="G303" s="30" t="s">
        <v>46</v>
      </c>
      <c r="H303" s="31"/>
      <c r="I303" s="31" t="s">
        <v>47</v>
      </c>
      <c r="J303" s="32" t="n">
        <v>10.0</v>
      </c>
      <c r="K303" s="33" t="n">
        <f>443.8</f>
        <v>443.8</v>
      </c>
      <c r="L303" s="34" t="s">
        <v>50</v>
      </c>
      <c r="M303" s="33" t="n">
        <f>476.7</f>
        <v>476.7</v>
      </c>
      <c r="N303" s="34" t="s">
        <v>75</v>
      </c>
      <c r="O303" s="33" t="n">
        <f>442.2</f>
        <v>442.2</v>
      </c>
      <c r="P303" s="34" t="s">
        <v>55</v>
      </c>
      <c r="Q303" s="33" t="n">
        <f>459.6</f>
        <v>459.6</v>
      </c>
      <c r="R303" s="34" t="s">
        <v>51</v>
      </c>
      <c r="S303" s="35" t="n">
        <f>454.07</f>
        <v>454.07</v>
      </c>
      <c r="T303" s="32" t="n">
        <f>3830</f>
        <v>3830.0</v>
      </c>
      <c r="U303" s="32" t="n">
        <f>10</f>
        <v>10.0</v>
      </c>
      <c r="V303" s="32" t="n">
        <f>1747111</f>
        <v>1747111.0</v>
      </c>
      <c r="W303" s="32" t="n">
        <f>4594</f>
        <v>4594.0</v>
      </c>
      <c r="X303" s="36" t="n">
        <f>16</f>
        <v>16.0</v>
      </c>
    </row>
    <row r="304">
      <c r="A304" s="27" t="s">
        <v>42</v>
      </c>
      <c r="B304" s="27" t="s">
        <v>959</v>
      </c>
      <c r="C304" s="27" t="s">
        <v>960</v>
      </c>
      <c r="D304" s="27" t="s">
        <v>961</v>
      </c>
      <c r="E304" s="28" t="s">
        <v>46</v>
      </c>
      <c r="F304" s="29" t="s">
        <v>46</v>
      </c>
      <c r="G304" s="30" t="s">
        <v>46</v>
      </c>
      <c r="H304" s="31"/>
      <c r="I304" s="31" t="s">
        <v>47</v>
      </c>
      <c r="J304" s="32" t="n">
        <v>1.0</v>
      </c>
      <c r="K304" s="33" t="n">
        <f>6810</f>
        <v>6810.0</v>
      </c>
      <c r="L304" s="34" t="s">
        <v>48</v>
      </c>
      <c r="M304" s="33" t="n">
        <f>6910</f>
        <v>6910.0</v>
      </c>
      <c r="N304" s="34" t="s">
        <v>128</v>
      </c>
      <c r="O304" s="33" t="n">
        <f>6588</f>
        <v>6588.0</v>
      </c>
      <c r="P304" s="34" t="s">
        <v>67</v>
      </c>
      <c r="Q304" s="33" t="n">
        <f>6840</f>
        <v>6840.0</v>
      </c>
      <c r="R304" s="34" t="s">
        <v>51</v>
      </c>
      <c r="S304" s="35" t="n">
        <f>6806.91</f>
        <v>6806.91</v>
      </c>
      <c r="T304" s="32" t="n">
        <f>349734</f>
        <v>349734.0</v>
      </c>
      <c r="U304" s="32" t="n">
        <f>618</f>
        <v>618.0</v>
      </c>
      <c r="V304" s="32" t="n">
        <f>2379071724</f>
        <v>2.379071724E9</v>
      </c>
      <c r="W304" s="32" t="n">
        <f>4219866</f>
        <v>4219866.0</v>
      </c>
      <c r="X304" s="36" t="n">
        <f>22</f>
        <v>22.0</v>
      </c>
    </row>
    <row r="305">
      <c r="A305" s="27" t="s">
        <v>42</v>
      </c>
      <c r="B305" s="27" t="s">
        <v>962</v>
      </c>
      <c r="C305" s="27" t="s">
        <v>963</v>
      </c>
      <c r="D305" s="27" t="s">
        <v>964</v>
      </c>
      <c r="E305" s="28" t="s">
        <v>46</v>
      </c>
      <c r="F305" s="29" t="s">
        <v>46</v>
      </c>
      <c r="G305" s="30" t="s">
        <v>46</v>
      </c>
      <c r="H305" s="31"/>
      <c r="I305" s="31" t="s">
        <v>47</v>
      </c>
      <c r="J305" s="32" t="n">
        <v>1.0</v>
      </c>
      <c r="K305" s="33" t="n">
        <f>3817</f>
        <v>3817.0</v>
      </c>
      <c r="L305" s="34" t="s">
        <v>48</v>
      </c>
      <c r="M305" s="33" t="n">
        <f>3850</f>
        <v>3850.0</v>
      </c>
      <c r="N305" s="34" t="s">
        <v>162</v>
      </c>
      <c r="O305" s="33" t="n">
        <f>3682</f>
        <v>3682.0</v>
      </c>
      <c r="P305" s="34" t="s">
        <v>67</v>
      </c>
      <c r="Q305" s="33" t="n">
        <f>3804</f>
        <v>3804.0</v>
      </c>
      <c r="R305" s="34" t="s">
        <v>51</v>
      </c>
      <c r="S305" s="35" t="n">
        <f>3796.55</f>
        <v>3796.55</v>
      </c>
      <c r="T305" s="32" t="n">
        <f>3441127</f>
        <v>3441127.0</v>
      </c>
      <c r="U305" s="32" t="n">
        <f>2093900</f>
        <v>2093900.0</v>
      </c>
      <c r="V305" s="32" t="n">
        <f>13006845545</f>
        <v>1.3006845545E10</v>
      </c>
      <c r="W305" s="32" t="n">
        <f>7897451240</f>
        <v>7.89745124E9</v>
      </c>
      <c r="X305" s="36" t="n">
        <f>22</f>
        <v>22.0</v>
      </c>
    </row>
    <row r="306">
      <c r="A306" s="27" t="s">
        <v>42</v>
      </c>
      <c r="B306" s="27" t="s">
        <v>965</v>
      </c>
      <c r="C306" s="27" t="s">
        <v>966</v>
      </c>
      <c r="D306" s="27" t="s">
        <v>967</v>
      </c>
      <c r="E306" s="28" t="s">
        <v>46</v>
      </c>
      <c r="F306" s="29" t="s">
        <v>46</v>
      </c>
      <c r="G306" s="30" t="s">
        <v>46</v>
      </c>
      <c r="H306" s="31"/>
      <c r="I306" s="31" t="s">
        <v>47</v>
      </c>
      <c r="J306" s="32" t="n">
        <v>1.0</v>
      </c>
      <c r="K306" s="33" t="n">
        <f>2738</f>
        <v>2738.0</v>
      </c>
      <c r="L306" s="34" t="s">
        <v>48</v>
      </c>
      <c r="M306" s="33" t="n">
        <f>2749</f>
        <v>2749.0</v>
      </c>
      <c r="N306" s="34" t="s">
        <v>86</v>
      </c>
      <c r="O306" s="33" t="n">
        <f>2644</f>
        <v>2644.0</v>
      </c>
      <c r="P306" s="34" t="s">
        <v>67</v>
      </c>
      <c r="Q306" s="33" t="n">
        <f>2695</f>
        <v>2695.0</v>
      </c>
      <c r="R306" s="34" t="s">
        <v>51</v>
      </c>
      <c r="S306" s="35" t="n">
        <f>2702.68</f>
        <v>2702.68</v>
      </c>
      <c r="T306" s="32" t="n">
        <f>3502</f>
        <v>3502.0</v>
      </c>
      <c r="U306" s="32" t="str">
        <f>"－"</f>
        <v>－</v>
      </c>
      <c r="V306" s="32" t="n">
        <f>9483417</f>
        <v>9483417.0</v>
      </c>
      <c r="W306" s="32" t="str">
        <f>"－"</f>
        <v>－</v>
      </c>
      <c r="X306" s="36" t="n">
        <f>22</f>
        <v>22.0</v>
      </c>
    </row>
    <row r="307">
      <c r="A307" s="27" t="s">
        <v>42</v>
      </c>
      <c r="B307" s="27" t="s">
        <v>968</v>
      </c>
      <c r="C307" s="27" t="s">
        <v>969</v>
      </c>
      <c r="D307" s="27" t="s">
        <v>970</v>
      </c>
      <c r="E307" s="28" t="s">
        <v>46</v>
      </c>
      <c r="F307" s="29" t="s">
        <v>46</v>
      </c>
      <c r="G307" s="30" t="s">
        <v>46</v>
      </c>
      <c r="H307" s="31"/>
      <c r="I307" s="31" t="s">
        <v>47</v>
      </c>
      <c r="J307" s="32" t="n">
        <v>1.0</v>
      </c>
      <c r="K307" s="33" t="n">
        <f>2351</f>
        <v>2351.0</v>
      </c>
      <c r="L307" s="34" t="s">
        <v>48</v>
      </c>
      <c r="M307" s="33" t="n">
        <f>2430</f>
        <v>2430.0</v>
      </c>
      <c r="N307" s="34" t="s">
        <v>181</v>
      </c>
      <c r="O307" s="33" t="n">
        <f>2250</f>
        <v>2250.0</v>
      </c>
      <c r="P307" s="34" t="s">
        <v>128</v>
      </c>
      <c r="Q307" s="33" t="n">
        <f>2346</f>
        <v>2346.0</v>
      </c>
      <c r="R307" s="34" t="s">
        <v>51</v>
      </c>
      <c r="S307" s="35" t="n">
        <f>2315</f>
        <v>2315.0</v>
      </c>
      <c r="T307" s="32" t="n">
        <f>36312</f>
        <v>36312.0</v>
      </c>
      <c r="U307" s="32" t="str">
        <f>"－"</f>
        <v>－</v>
      </c>
      <c r="V307" s="32" t="n">
        <f>84646533</f>
        <v>8.4646533E7</v>
      </c>
      <c r="W307" s="32" t="str">
        <f>"－"</f>
        <v>－</v>
      </c>
      <c r="X307" s="36" t="n">
        <f>22</f>
        <v>22.0</v>
      </c>
    </row>
    <row r="308">
      <c r="A308" s="27" t="s">
        <v>42</v>
      </c>
      <c r="B308" s="27" t="s">
        <v>971</v>
      </c>
      <c r="C308" s="27" t="s">
        <v>972</v>
      </c>
      <c r="D308" s="27" t="s">
        <v>973</v>
      </c>
      <c r="E308" s="28" t="s">
        <v>46</v>
      </c>
      <c r="F308" s="29" t="s">
        <v>46</v>
      </c>
      <c r="G308" s="30" t="s">
        <v>46</v>
      </c>
      <c r="H308" s="31"/>
      <c r="I308" s="31" t="s">
        <v>47</v>
      </c>
      <c r="J308" s="32" t="n">
        <v>10.0</v>
      </c>
      <c r="K308" s="33" t="n">
        <f>364</f>
        <v>364.0</v>
      </c>
      <c r="L308" s="34" t="s">
        <v>48</v>
      </c>
      <c r="M308" s="33" t="n">
        <f>368.7</f>
        <v>368.7</v>
      </c>
      <c r="N308" s="34" t="s">
        <v>59</v>
      </c>
      <c r="O308" s="33" t="n">
        <f>360.7</f>
        <v>360.7</v>
      </c>
      <c r="P308" s="34" t="s">
        <v>86</v>
      </c>
      <c r="Q308" s="33" t="n">
        <f>365.1</f>
        <v>365.1</v>
      </c>
      <c r="R308" s="34" t="s">
        <v>51</v>
      </c>
      <c r="S308" s="35" t="n">
        <f>364.04</f>
        <v>364.04</v>
      </c>
      <c r="T308" s="32" t="n">
        <f>4754450</f>
        <v>4754450.0</v>
      </c>
      <c r="U308" s="32" t="n">
        <f>2476690</f>
        <v>2476690.0</v>
      </c>
      <c r="V308" s="32" t="n">
        <f>1729070314</f>
        <v>1.729070314E9</v>
      </c>
      <c r="W308" s="32" t="n">
        <f>898887297</f>
        <v>8.98887297E8</v>
      </c>
      <c r="X308" s="36" t="n">
        <f>22</f>
        <v>22.0</v>
      </c>
    </row>
    <row r="309">
      <c r="A309" s="27" t="s">
        <v>42</v>
      </c>
      <c r="B309" s="27" t="s">
        <v>974</v>
      </c>
      <c r="C309" s="27" t="s">
        <v>975</v>
      </c>
      <c r="D309" s="27" t="s">
        <v>976</v>
      </c>
      <c r="E309" s="28" t="s">
        <v>46</v>
      </c>
      <c r="F309" s="29" t="s">
        <v>46</v>
      </c>
      <c r="G309" s="30" t="s">
        <v>46</v>
      </c>
      <c r="H309" s="31"/>
      <c r="I309" s="31" t="s">
        <v>47</v>
      </c>
      <c r="J309" s="32" t="n">
        <v>1.0</v>
      </c>
      <c r="K309" s="33" t="n">
        <f>1118</f>
        <v>1118.0</v>
      </c>
      <c r="L309" s="34" t="s">
        <v>48</v>
      </c>
      <c r="M309" s="33" t="n">
        <f>1118</f>
        <v>1118.0</v>
      </c>
      <c r="N309" s="34" t="s">
        <v>48</v>
      </c>
      <c r="O309" s="33" t="n">
        <f>1084</f>
        <v>1084.0</v>
      </c>
      <c r="P309" s="34" t="s">
        <v>55</v>
      </c>
      <c r="Q309" s="33" t="n">
        <f>1094</f>
        <v>1094.0</v>
      </c>
      <c r="R309" s="34" t="s">
        <v>51</v>
      </c>
      <c r="S309" s="35" t="n">
        <f>1094.36</f>
        <v>1094.36</v>
      </c>
      <c r="T309" s="32" t="n">
        <f>19138500</f>
        <v>1.91385E7</v>
      </c>
      <c r="U309" s="32" t="n">
        <f>5873</f>
        <v>5873.0</v>
      </c>
      <c r="V309" s="32" t="n">
        <f>20927153739</f>
        <v>2.0927153739E10</v>
      </c>
      <c r="W309" s="32" t="n">
        <f>6303380</f>
        <v>6303380.0</v>
      </c>
      <c r="X309" s="36" t="n">
        <f>22</f>
        <v>22.0</v>
      </c>
    </row>
    <row r="310">
      <c r="A310" s="27" t="s">
        <v>42</v>
      </c>
      <c r="B310" s="27" t="s">
        <v>977</v>
      </c>
      <c r="C310" s="27" t="s">
        <v>978</v>
      </c>
      <c r="D310" s="27" t="s">
        <v>979</v>
      </c>
      <c r="E310" s="28" t="s">
        <v>46</v>
      </c>
      <c r="F310" s="29" t="s">
        <v>46</v>
      </c>
      <c r="G310" s="30" t="s">
        <v>46</v>
      </c>
      <c r="H310" s="31"/>
      <c r="I310" s="31" t="s">
        <v>47</v>
      </c>
      <c r="J310" s="32" t="n">
        <v>1.0</v>
      </c>
      <c r="K310" s="33" t="n">
        <f>1780</f>
        <v>1780.0</v>
      </c>
      <c r="L310" s="34" t="s">
        <v>48</v>
      </c>
      <c r="M310" s="33" t="n">
        <f>1785</f>
        <v>1785.0</v>
      </c>
      <c r="N310" s="34" t="s">
        <v>51</v>
      </c>
      <c r="O310" s="33" t="n">
        <f>1763</f>
        <v>1763.0</v>
      </c>
      <c r="P310" s="34" t="s">
        <v>128</v>
      </c>
      <c r="Q310" s="33" t="n">
        <f>1781</f>
        <v>1781.0</v>
      </c>
      <c r="R310" s="34" t="s">
        <v>51</v>
      </c>
      <c r="S310" s="35" t="n">
        <f>1773.68</f>
        <v>1773.68</v>
      </c>
      <c r="T310" s="32" t="n">
        <f>125313</f>
        <v>125313.0</v>
      </c>
      <c r="U310" s="32" t="str">
        <f>"－"</f>
        <v>－</v>
      </c>
      <c r="V310" s="32" t="n">
        <f>222228895</f>
        <v>2.22228895E8</v>
      </c>
      <c r="W310" s="32" t="str">
        <f>"－"</f>
        <v>－</v>
      </c>
      <c r="X310" s="36" t="n">
        <f>22</f>
        <v>22.0</v>
      </c>
    </row>
    <row r="311">
      <c r="A311" s="27" t="s">
        <v>42</v>
      </c>
      <c r="B311" s="27" t="s">
        <v>980</v>
      </c>
      <c r="C311" s="27" t="s">
        <v>981</v>
      </c>
      <c r="D311" s="27" t="s">
        <v>982</v>
      </c>
      <c r="E311" s="28" t="s">
        <v>46</v>
      </c>
      <c r="F311" s="29" t="s">
        <v>46</v>
      </c>
      <c r="G311" s="30" t="s">
        <v>46</v>
      </c>
      <c r="H311" s="31"/>
      <c r="I311" s="31" t="s">
        <v>47</v>
      </c>
      <c r="J311" s="32" t="n">
        <v>1.0</v>
      </c>
      <c r="K311" s="33" t="n">
        <f>2003</f>
        <v>2003.0</v>
      </c>
      <c r="L311" s="34" t="s">
        <v>48</v>
      </c>
      <c r="M311" s="33" t="n">
        <f>2039</f>
        <v>2039.0</v>
      </c>
      <c r="N311" s="34" t="s">
        <v>63</v>
      </c>
      <c r="O311" s="33" t="n">
        <f>1986</f>
        <v>1986.0</v>
      </c>
      <c r="P311" s="34" t="s">
        <v>289</v>
      </c>
      <c r="Q311" s="33" t="n">
        <f>2000</f>
        <v>2000.0</v>
      </c>
      <c r="R311" s="34" t="s">
        <v>51</v>
      </c>
      <c r="S311" s="35" t="n">
        <f>1999.64</f>
        <v>1999.64</v>
      </c>
      <c r="T311" s="32" t="n">
        <f>136346</f>
        <v>136346.0</v>
      </c>
      <c r="U311" s="32" t="n">
        <f>100000</f>
        <v>100000.0</v>
      </c>
      <c r="V311" s="32" t="n">
        <f>271613480</f>
        <v>2.7161348E8</v>
      </c>
      <c r="W311" s="32" t="n">
        <f>199010000</f>
        <v>1.9901E8</v>
      </c>
      <c r="X311" s="36" t="n">
        <f>22</f>
        <v>22.0</v>
      </c>
    </row>
    <row r="312">
      <c r="A312" s="27" t="s">
        <v>42</v>
      </c>
      <c r="B312" s="27" t="s">
        <v>983</v>
      </c>
      <c r="C312" s="27" t="s">
        <v>984</v>
      </c>
      <c r="D312" s="27" t="s">
        <v>985</v>
      </c>
      <c r="E312" s="28" t="s">
        <v>46</v>
      </c>
      <c r="F312" s="29" t="s">
        <v>46</v>
      </c>
      <c r="G312" s="30" t="s">
        <v>46</v>
      </c>
      <c r="H312" s="31"/>
      <c r="I312" s="31" t="s">
        <v>47</v>
      </c>
      <c r="J312" s="32" t="n">
        <v>1.0</v>
      </c>
      <c r="K312" s="33" t="n">
        <f>5050</f>
        <v>5050.0</v>
      </c>
      <c r="L312" s="34" t="s">
        <v>48</v>
      </c>
      <c r="M312" s="33" t="n">
        <f>5136</f>
        <v>5136.0</v>
      </c>
      <c r="N312" s="34" t="s">
        <v>75</v>
      </c>
      <c r="O312" s="33" t="n">
        <f>4887</f>
        <v>4887.0</v>
      </c>
      <c r="P312" s="34" t="s">
        <v>67</v>
      </c>
      <c r="Q312" s="33" t="n">
        <f>5078</f>
        <v>5078.0</v>
      </c>
      <c r="R312" s="34" t="s">
        <v>51</v>
      </c>
      <c r="S312" s="35" t="n">
        <f>5043.36</f>
        <v>5043.36</v>
      </c>
      <c r="T312" s="32" t="n">
        <f>1700476</f>
        <v>1700476.0</v>
      </c>
      <c r="U312" s="32" t="n">
        <f>1014224</f>
        <v>1014224.0</v>
      </c>
      <c r="V312" s="32" t="n">
        <f>8571056869</f>
        <v>8.571056869E9</v>
      </c>
      <c r="W312" s="32" t="n">
        <f>5102803274</f>
        <v>5.102803274E9</v>
      </c>
      <c r="X312" s="36" t="n">
        <f>22</f>
        <v>22.0</v>
      </c>
    </row>
    <row r="313">
      <c r="A313" s="27" t="s">
        <v>42</v>
      </c>
      <c r="B313" s="27" t="s">
        <v>986</v>
      </c>
      <c r="C313" s="27" t="s">
        <v>987</v>
      </c>
      <c r="D313" s="27" t="s">
        <v>988</v>
      </c>
      <c r="E313" s="28" t="s">
        <v>46</v>
      </c>
      <c r="F313" s="29" t="s">
        <v>46</v>
      </c>
      <c r="G313" s="30" t="s">
        <v>46</v>
      </c>
      <c r="H313" s="31"/>
      <c r="I313" s="31" t="s">
        <v>47</v>
      </c>
      <c r="J313" s="32" t="n">
        <v>1.0</v>
      </c>
      <c r="K313" s="33" t="n">
        <f>3390</f>
        <v>3390.0</v>
      </c>
      <c r="L313" s="34" t="s">
        <v>48</v>
      </c>
      <c r="M313" s="33" t="n">
        <f>3451</f>
        <v>3451.0</v>
      </c>
      <c r="N313" s="34" t="s">
        <v>59</v>
      </c>
      <c r="O313" s="33" t="n">
        <f>3331</f>
        <v>3331.0</v>
      </c>
      <c r="P313" s="34" t="s">
        <v>50</v>
      </c>
      <c r="Q313" s="33" t="n">
        <f>3425</f>
        <v>3425.0</v>
      </c>
      <c r="R313" s="34" t="s">
        <v>51</v>
      </c>
      <c r="S313" s="35" t="n">
        <f>3397.09</f>
        <v>3397.09</v>
      </c>
      <c r="T313" s="32" t="n">
        <f>536278</f>
        <v>536278.0</v>
      </c>
      <c r="U313" s="32" t="n">
        <f>308208</f>
        <v>308208.0</v>
      </c>
      <c r="V313" s="32" t="n">
        <f>1812468948</f>
        <v>1.812468948E9</v>
      </c>
      <c r="W313" s="32" t="n">
        <f>1042464001</f>
        <v>1.042464001E9</v>
      </c>
      <c r="X313" s="36" t="n">
        <f>22</f>
        <v>22.0</v>
      </c>
    </row>
    <row r="314">
      <c r="A314" s="27" t="s">
        <v>42</v>
      </c>
      <c r="B314" s="27" t="s">
        <v>989</v>
      </c>
      <c r="C314" s="27" t="s">
        <v>990</v>
      </c>
      <c r="D314" s="27" t="s">
        <v>991</v>
      </c>
      <c r="E314" s="28" t="s">
        <v>46</v>
      </c>
      <c r="F314" s="29" t="s">
        <v>46</v>
      </c>
      <c r="G314" s="30" t="s">
        <v>46</v>
      </c>
      <c r="H314" s="31"/>
      <c r="I314" s="31" t="s">
        <v>47</v>
      </c>
      <c r="J314" s="32" t="n">
        <v>1.0</v>
      </c>
      <c r="K314" s="33" t="n">
        <f>3180</f>
        <v>3180.0</v>
      </c>
      <c r="L314" s="34" t="s">
        <v>48</v>
      </c>
      <c r="M314" s="33" t="n">
        <f>3180</f>
        <v>3180.0</v>
      </c>
      <c r="N314" s="34" t="s">
        <v>48</v>
      </c>
      <c r="O314" s="33" t="n">
        <f>3013</f>
        <v>3013.0</v>
      </c>
      <c r="P314" s="34" t="s">
        <v>49</v>
      </c>
      <c r="Q314" s="33" t="n">
        <f>3060</f>
        <v>3060.0</v>
      </c>
      <c r="R314" s="34" t="s">
        <v>51</v>
      </c>
      <c r="S314" s="35" t="n">
        <f>3071.18</f>
        <v>3071.18</v>
      </c>
      <c r="T314" s="32" t="n">
        <f>38501</f>
        <v>38501.0</v>
      </c>
      <c r="U314" s="32" t="n">
        <f>100</f>
        <v>100.0</v>
      </c>
      <c r="V314" s="32" t="n">
        <f>117815919</f>
        <v>1.17815919E8</v>
      </c>
      <c r="W314" s="32" t="n">
        <f>309600</f>
        <v>309600.0</v>
      </c>
      <c r="X314" s="36" t="n">
        <f>22</f>
        <v>22.0</v>
      </c>
    </row>
    <row r="315">
      <c r="A315" s="27" t="s">
        <v>42</v>
      </c>
      <c r="B315" s="27" t="s">
        <v>992</v>
      </c>
      <c r="C315" s="27" t="s">
        <v>993</v>
      </c>
      <c r="D315" s="27" t="s">
        <v>994</v>
      </c>
      <c r="E315" s="28" t="s">
        <v>46</v>
      </c>
      <c r="F315" s="29" t="s">
        <v>46</v>
      </c>
      <c r="G315" s="30" t="s">
        <v>46</v>
      </c>
      <c r="H315" s="31"/>
      <c r="I315" s="31" t="s">
        <v>47</v>
      </c>
      <c r="J315" s="32" t="n">
        <v>1.0</v>
      </c>
      <c r="K315" s="33" t="n">
        <f>1539</f>
        <v>1539.0</v>
      </c>
      <c r="L315" s="34" t="s">
        <v>48</v>
      </c>
      <c r="M315" s="33" t="n">
        <f>1555</f>
        <v>1555.0</v>
      </c>
      <c r="N315" s="34" t="s">
        <v>82</v>
      </c>
      <c r="O315" s="33" t="n">
        <f>1469</f>
        <v>1469.0</v>
      </c>
      <c r="P315" s="34" t="s">
        <v>362</v>
      </c>
      <c r="Q315" s="33" t="n">
        <f>1538</f>
        <v>1538.0</v>
      </c>
      <c r="R315" s="34" t="s">
        <v>51</v>
      </c>
      <c r="S315" s="35" t="n">
        <f>1505.55</f>
        <v>1505.55</v>
      </c>
      <c r="T315" s="32" t="n">
        <f>27834</f>
        <v>27834.0</v>
      </c>
      <c r="U315" s="32" t="str">
        <f>"－"</f>
        <v>－</v>
      </c>
      <c r="V315" s="32" t="n">
        <f>41818119</f>
        <v>4.1818119E7</v>
      </c>
      <c r="W315" s="32" t="str">
        <f>"－"</f>
        <v>－</v>
      </c>
      <c r="X315" s="36" t="n">
        <f>22</f>
        <v>22.0</v>
      </c>
    </row>
    <row r="316">
      <c r="A316" s="27" t="s">
        <v>42</v>
      </c>
      <c r="B316" s="27" t="s">
        <v>995</v>
      </c>
      <c r="C316" s="27" t="s">
        <v>996</v>
      </c>
      <c r="D316" s="27" t="s">
        <v>997</v>
      </c>
      <c r="E316" s="28" t="s">
        <v>46</v>
      </c>
      <c r="F316" s="29" t="s">
        <v>46</v>
      </c>
      <c r="G316" s="30" t="s">
        <v>46</v>
      </c>
      <c r="H316" s="31"/>
      <c r="I316" s="31" t="s">
        <v>47</v>
      </c>
      <c r="J316" s="32" t="n">
        <v>1.0</v>
      </c>
      <c r="K316" s="33" t="n">
        <f>2840</f>
        <v>2840.0</v>
      </c>
      <c r="L316" s="34" t="s">
        <v>48</v>
      </c>
      <c r="M316" s="33" t="n">
        <f>2970</f>
        <v>2970.0</v>
      </c>
      <c r="N316" s="34" t="s">
        <v>82</v>
      </c>
      <c r="O316" s="33" t="n">
        <f>2735</f>
        <v>2735.0</v>
      </c>
      <c r="P316" s="34" t="s">
        <v>200</v>
      </c>
      <c r="Q316" s="33" t="n">
        <f>2913</f>
        <v>2913.0</v>
      </c>
      <c r="R316" s="34" t="s">
        <v>51</v>
      </c>
      <c r="S316" s="35" t="n">
        <f>2847.91</f>
        <v>2847.91</v>
      </c>
      <c r="T316" s="32" t="n">
        <f>121563</f>
        <v>121563.0</v>
      </c>
      <c r="U316" s="32" t="n">
        <f>10</f>
        <v>10.0</v>
      </c>
      <c r="V316" s="32" t="n">
        <f>349981862</f>
        <v>3.49981862E8</v>
      </c>
      <c r="W316" s="32" t="n">
        <f>26000</f>
        <v>26000.0</v>
      </c>
      <c r="X316" s="36" t="n">
        <f>22</f>
        <v>22.0</v>
      </c>
    </row>
    <row r="317">
      <c r="A317" s="27" t="s">
        <v>42</v>
      </c>
      <c r="B317" s="27" t="s">
        <v>998</v>
      </c>
      <c r="C317" s="27" t="s">
        <v>999</v>
      </c>
      <c r="D317" s="27" t="s">
        <v>1000</v>
      </c>
      <c r="E317" s="28" t="s">
        <v>46</v>
      </c>
      <c r="F317" s="29" t="s">
        <v>46</v>
      </c>
      <c r="G317" s="30" t="s">
        <v>46</v>
      </c>
      <c r="H317" s="31"/>
      <c r="I317" s="31" t="s">
        <v>47</v>
      </c>
      <c r="J317" s="32" t="n">
        <v>1.0</v>
      </c>
      <c r="K317" s="33" t="n">
        <f>3636</f>
        <v>3636.0</v>
      </c>
      <c r="L317" s="34" t="s">
        <v>48</v>
      </c>
      <c r="M317" s="33" t="n">
        <f>3900</f>
        <v>3900.0</v>
      </c>
      <c r="N317" s="34" t="s">
        <v>51</v>
      </c>
      <c r="O317" s="33" t="n">
        <f>3520</f>
        <v>3520.0</v>
      </c>
      <c r="P317" s="34" t="s">
        <v>200</v>
      </c>
      <c r="Q317" s="33" t="n">
        <f>3720</f>
        <v>3720.0</v>
      </c>
      <c r="R317" s="34" t="s">
        <v>51</v>
      </c>
      <c r="S317" s="35" t="n">
        <f>3636.32</f>
        <v>3636.32</v>
      </c>
      <c r="T317" s="32" t="n">
        <f>90871</f>
        <v>90871.0</v>
      </c>
      <c r="U317" s="32" t="str">
        <f>"－"</f>
        <v>－</v>
      </c>
      <c r="V317" s="32" t="n">
        <f>333290986</f>
        <v>3.33290986E8</v>
      </c>
      <c r="W317" s="32" t="str">
        <f>"－"</f>
        <v>－</v>
      </c>
      <c r="X317" s="36" t="n">
        <f>22</f>
        <v>22.0</v>
      </c>
    </row>
    <row r="318">
      <c r="A318" s="27" t="s">
        <v>42</v>
      </c>
      <c r="B318" s="27" t="s">
        <v>1001</v>
      </c>
      <c r="C318" s="27" t="s">
        <v>1002</v>
      </c>
      <c r="D318" s="27" t="s">
        <v>1003</v>
      </c>
      <c r="E318" s="28" t="s">
        <v>46</v>
      </c>
      <c r="F318" s="29" t="s">
        <v>46</v>
      </c>
      <c r="G318" s="30" t="s">
        <v>46</v>
      </c>
      <c r="H318" s="31"/>
      <c r="I318" s="31" t="s">
        <v>47</v>
      </c>
      <c r="J318" s="32" t="n">
        <v>1.0</v>
      </c>
      <c r="K318" s="33" t="n">
        <f>14800</f>
        <v>14800.0</v>
      </c>
      <c r="L318" s="34" t="s">
        <v>48</v>
      </c>
      <c r="M318" s="33" t="n">
        <f>14850</f>
        <v>14850.0</v>
      </c>
      <c r="N318" s="34" t="s">
        <v>210</v>
      </c>
      <c r="O318" s="33" t="n">
        <f>14255</f>
        <v>14255.0</v>
      </c>
      <c r="P318" s="34" t="s">
        <v>210</v>
      </c>
      <c r="Q318" s="33" t="n">
        <f>14770</f>
        <v>14770.0</v>
      </c>
      <c r="R318" s="34" t="s">
        <v>51</v>
      </c>
      <c r="S318" s="35" t="n">
        <f>14649.09</f>
        <v>14649.09</v>
      </c>
      <c r="T318" s="32" t="n">
        <f>458013</f>
        <v>458013.0</v>
      </c>
      <c r="U318" s="32" t="n">
        <f>357660</f>
        <v>357660.0</v>
      </c>
      <c r="V318" s="32" t="n">
        <f>6757907178</f>
        <v>6.757907178E9</v>
      </c>
      <c r="W318" s="32" t="n">
        <f>5282002888</f>
        <v>5.282002888E9</v>
      </c>
      <c r="X318" s="36" t="n">
        <f>22</f>
        <v>22.0</v>
      </c>
    </row>
    <row r="319">
      <c r="A319" s="27" t="s">
        <v>42</v>
      </c>
      <c r="B319" s="27" t="s">
        <v>1004</v>
      </c>
      <c r="C319" s="27" t="s">
        <v>1005</v>
      </c>
      <c r="D319" s="27" t="s">
        <v>1006</v>
      </c>
      <c r="E319" s="28" t="s">
        <v>46</v>
      </c>
      <c r="F319" s="29" t="s">
        <v>46</v>
      </c>
      <c r="G319" s="30" t="s">
        <v>46</v>
      </c>
      <c r="H319" s="31"/>
      <c r="I319" s="31" t="s">
        <v>47</v>
      </c>
      <c r="J319" s="32" t="n">
        <v>1.0</v>
      </c>
      <c r="K319" s="33" t="n">
        <f>28440</f>
        <v>28440.0</v>
      </c>
      <c r="L319" s="34" t="s">
        <v>48</v>
      </c>
      <c r="M319" s="33" t="n">
        <f>28795</f>
        <v>28795.0</v>
      </c>
      <c r="N319" s="34" t="s">
        <v>128</v>
      </c>
      <c r="O319" s="33" t="n">
        <f>27450</f>
        <v>27450.0</v>
      </c>
      <c r="P319" s="34" t="s">
        <v>67</v>
      </c>
      <c r="Q319" s="33" t="n">
        <f>28520</f>
        <v>28520.0</v>
      </c>
      <c r="R319" s="34" t="s">
        <v>51</v>
      </c>
      <c r="S319" s="35" t="n">
        <f>28359.32</f>
        <v>28359.32</v>
      </c>
      <c r="T319" s="32" t="n">
        <f>312070</f>
        <v>312070.0</v>
      </c>
      <c r="U319" s="32" t="n">
        <f>9978</f>
        <v>9978.0</v>
      </c>
      <c r="V319" s="32" t="n">
        <f>8861657479</f>
        <v>8.861657479E9</v>
      </c>
      <c r="W319" s="32" t="n">
        <f>282827229</f>
        <v>2.82827229E8</v>
      </c>
      <c r="X319" s="36" t="n">
        <f>22</f>
        <v>22.0</v>
      </c>
    </row>
    <row r="320">
      <c r="A320" s="27" t="s">
        <v>42</v>
      </c>
      <c r="B320" s="27" t="s">
        <v>1007</v>
      </c>
      <c r="C320" s="27" t="s">
        <v>1008</v>
      </c>
      <c r="D320" s="27" t="s">
        <v>1009</v>
      </c>
      <c r="E320" s="28" t="s">
        <v>46</v>
      </c>
      <c r="F320" s="29" t="s">
        <v>46</v>
      </c>
      <c r="G320" s="30" t="s">
        <v>46</v>
      </c>
      <c r="H320" s="31"/>
      <c r="I320" s="31" t="s">
        <v>47</v>
      </c>
      <c r="J320" s="32" t="n">
        <v>1.0</v>
      </c>
      <c r="K320" s="33" t="n">
        <f>15900</f>
        <v>15900.0</v>
      </c>
      <c r="L320" s="34" t="s">
        <v>48</v>
      </c>
      <c r="M320" s="33" t="n">
        <f>16070</f>
        <v>16070.0</v>
      </c>
      <c r="N320" s="34" t="s">
        <v>106</v>
      </c>
      <c r="O320" s="33" t="n">
        <f>15350</f>
        <v>15350.0</v>
      </c>
      <c r="P320" s="34" t="s">
        <v>67</v>
      </c>
      <c r="Q320" s="33" t="n">
        <f>15970</f>
        <v>15970.0</v>
      </c>
      <c r="R320" s="34" t="s">
        <v>51</v>
      </c>
      <c r="S320" s="35" t="n">
        <f>15838.86</f>
        <v>15838.86</v>
      </c>
      <c r="T320" s="32" t="n">
        <f>570493</f>
        <v>570493.0</v>
      </c>
      <c r="U320" s="32" t="n">
        <f>443237</f>
        <v>443237.0</v>
      </c>
      <c r="V320" s="32" t="n">
        <f>9084242964</f>
        <v>9.084242964E9</v>
      </c>
      <c r="W320" s="32" t="n">
        <f>7072406129</f>
        <v>7.072406129E9</v>
      </c>
      <c r="X320" s="36" t="n">
        <f>22</f>
        <v>22.0</v>
      </c>
    </row>
    <row r="321">
      <c r="A321" s="27" t="s">
        <v>42</v>
      </c>
      <c r="B321" s="27" t="s">
        <v>1010</v>
      </c>
      <c r="C321" s="27" t="s">
        <v>1011</v>
      </c>
      <c r="D321" s="27" t="s">
        <v>1012</v>
      </c>
      <c r="E321" s="28" t="s">
        <v>46</v>
      </c>
      <c r="F321" s="29" t="s">
        <v>46</v>
      </c>
      <c r="G321" s="30" t="s">
        <v>46</v>
      </c>
      <c r="H321" s="31"/>
      <c r="I321" s="31" t="s">
        <v>47</v>
      </c>
      <c r="J321" s="32" t="n">
        <v>10.0</v>
      </c>
      <c r="K321" s="33" t="n">
        <f>493.4</f>
        <v>493.4</v>
      </c>
      <c r="L321" s="34" t="s">
        <v>48</v>
      </c>
      <c r="M321" s="33" t="n">
        <f>501.4</f>
        <v>501.4</v>
      </c>
      <c r="N321" s="34" t="s">
        <v>49</v>
      </c>
      <c r="O321" s="33" t="n">
        <f>482.7</f>
        <v>482.7</v>
      </c>
      <c r="P321" s="34" t="s">
        <v>67</v>
      </c>
      <c r="Q321" s="33" t="n">
        <f>497.3</f>
        <v>497.3</v>
      </c>
      <c r="R321" s="34" t="s">
        <v>51</v>
      </c>
      <c r="S321" s="35" t="n">
        <f>492.65</f>
        <v>492.65</v>
      </c>
      <c r="T321" s="32" t="n">
        <f>3642130</f>
        <v>3642130.0</v>
      </c>
      <c r="U321" s="32" t="n">
        <f>1077060</f>
        <v>1077060.0</v>
      </c>
      <c r="V321" s="32" t="n">
        <f>1795155980</f>
        <v>1.79515598E9</v>
      </c>
      <c r="W321" s="32" t="n">
        <f>529892611</f>
        <v>5.29892611E8</v>
      </c>
      <c r="X321" s="36" t="n">
        <f>22</f>
        <v>22.0</v>
      </c>
    </row>
    <row r="322">
      <c r="A322" s="27" t="s">
        <v>42</v>
      </c>
      <c r="B322" s="27" t="s">
        <v>1013</v>
      </c>
      <c r="C322" s="27" t="s">
        <v>1014</v>
      </c>
      <c r="D322" s="27" t="s">
        <v>1015</v>
      </c>
      <c r="E322" s="28" t="s">
        <v>46</v>
      </c>
      <c r="F322" s="29" t="s">
        <v>46</v>
      </c>
      <c r="G322" s="30" t="s">
        <v>46</v>
      </c>
      <c r="H322" s="31"/>
      <c r="I322" s="31" t="s">
        <v>47</v>
      </c>
      <c r="J322" s="32" t="n">
        <v>1.0</v>
      </c>
      <c r="K322" s="33" t="n">
        <f>2881</f>
        <v>2881.0</v>
      </c>
      <c r="L322" s="34" t="s">
        <v>48</v>
      </c>
      <c r="M322" s="33" t="n">
        <f>2935</f>
        <v>2935.0</v>
      </c>
      <c r="N322" s="34" t="s">
        <v>210</v>
      </c>
      <c r="O322" s="33" t="n">
        <f>2842</f>
        <v>2842.0</v>
      </c>
      <c r="P322" s="34" t="s">
        <v>67</v>
      </c>
      <c r="Q322" s="33" t="n">
        <f>2918</f>
        <v>2918.0</v>
      </c>
      <c r="R322" s="34" t="s">
        <v>51</v>
      </c>
      <c r="S322" s="35" t="n">
        <f>2896.68</f>
        <v>2896.68</v>
      </c>
      <c r="T322" s="32" t="n">
        <f>3193900</f>
        <v>3193900.0</v>
      </c>
      <c r="U322" s="32" t="n">
        <f>2385565</f>
        <v>2385565.0</v>
      </c>
      <c r="V322" s="32" t="n">
        <f>9307534547</f>
        <v>9.307534547E9</v>
      </c>
      <c r="W322" s="32" t="n">
        <f>6966231130</f>
        <v>6.96623113E9</v>
      </c>
      <c r="X322" s="36" t="n">
        <f>22</f>
        <v>22.0</v>
      </c>
    </row>
    <row r="323">
      <c r="A323" s="27" t="s">
        <v>42</v>
      </c>
      <c r="B323" s="27" t="s">
        <v>1016</v>
      </c>
      <c r="C323" s="27" t="s">
        <v>1017</v>
      </c>
      <c r="D323" s="27" t="s">
        <v>1018</v>
      </c>
      <c r="E323" s="28" t="s">
        <v>46</v>
      </c>
      <c r="F323" s="29" t="s">
        <v>46</v>
      </c>
      <c r="G323" s="30" t="s">
        <v>46</v>
      </c>
      <c r="H323" s="31"/>
      <c r="I323" s="31" t="s">
        <v>47</v>
      </c>
      <c r="J323" s="32" t="n">
        <v>1.0</v>
      </c>
      <c r="K323" s="33" t="n">
        <f>4088</f>
        <v>4088.0</v>
      </c>
      <c r="L323" s="34" t="s">
        <v>48</v>
      </c>
      <c r="M323" s="33" t="n">
        <f>4149</f>
        <v>4149.0</v>
      </c>
      <c r="N323" s="34" t="s">
        <v>82</v>
      </c>
      <c r="O323" s="33" t="n">
        <f>3967</f>
        <v>3967.0</v>
      </c>
      <c r="P323" s="34" t="s">
        <v>71</v>
      </c>
      <c r="Q323" s="33" t="n">
        <f>4056</f>
        <v>4056.0</v>
      </c>
      <c r="R323" s="34" t="s">
        <v>51</v>
      </c>
      <c r="S323" s="35" t="n">
        <f>4038.62</f>
        <v>4038.62</v>
      </c>
      <c r="T323" s="32" t="n">
        <f>4381</f>
        <v>4381.0</v>
      </c>
      <c r="U323" s="32" t="n">
        <f>100</f>
        <v>100.0</v>
      </c>
      <c r="V323" s="32" t="n">
        <f>17768176</f>
        <v>1.7768176E7</v>
      </c>
      <c r="W323" s="32" t="n">
        <f>408200</f>
        <v>408200.0</v>
      </c>
      <c r="X323" s="36" t="n">
        <f>21</f>
        <v>21.0</v>
      </c>
    </row>
    <row r="324">
      <c r="A324" s="27" t="s">
        <v>42</v>
      </c>
      <c r="B324" s="27" t="s">
        <v>1019</v>
      </c>
      <c r="C324" s="27" t="s">
        <v>1020</v>
      </c>
      <c r="D324" s="27" t="s">
        <v>1021</v>
      </c>
      <c r="E324" s="28" t="s">
        <v>46</v>
      </c>
      <c r="F324" s="29" t="s">
        <v>46</v>
      </c>
      <c r="G324" s="30" t="s">
        <v>46</v>
      </c>
      <c r="H324" s="31"/>
      <c r="I324" s="31" t="s">
        <v>47</v>
      </c>
      <c r="J324" s="32" t="n">
        <v>1.0</v>
      </c>
      <c r="K324" s="33" t="n">
        <f>1898</f>
        <v>1898.0</v>
      </c>
      <c r="L324" s="34" t="s">
        <v>48</v>
      </c>
      <c r="M324" s="33" t="n">
        <f>1960</f>
        <v>1960.0</v>
      </c>
      <c r="N324" s="34" t="s">
        <v>210</v>
      </c>
      <c r="O324" s="33" t="n">
        <f>1862</f>
        <v>1862.0</v>
      </c>
      <c r="P324" s="34" t="s">
        <v>67</v>
      </c>
      <c r="Q324" s="33" t="n">
        <f>1933</f>
        <v>1933.0</v>
      </c>
      <c r="R324" s="34" t="s">
        <v>51</v>
      </c>
      <c r="S324" s="35" t="n">
        <f>1908.59</f>
        <v>1908.59</v>
      </c>
      <c r="T324" s="32" t="n">
        <f>25858</f>
        <v>25858.0</v>
      </c>
      <c r="U324" s="32" t="n">
        <f>170</f>
        <v>170.0</v>
      </c>
      <c r="V324" s="32" t="n">
        <f>48962577</f>
        <v>4.8962577E7</v>
      </c>
      <c r="W324" s="32" t="n">
        <f>324611</f>
        <v>324611.0</v>
      </c>
      <c r="X324" s="36" t="n">
        <f>22</f>
        <v>22.0</v>
      </c>
    </row>
    <row r="325">
      <c r="A325" s="27" t="s">
        <v>42</v>
      </c>
      <c r="B325" s="27" t="s">
        <v>1022</v>
      </c>
      <c r="C325" s="27" t="s">
        <v>1023</v>
      </c>
      <c r="D325" s="27" t="s">
        <v>1024</v>
      </c>
      <c r="E325" s="28" t="s">
        <v>46</v>
      </c>
      <c r="F325" s="29" t="s">
        <v>46</v>
      </c>
      <c r="G325" s="30" t="s">
        <v>46</v>
      </c>
      <c r="H325" s="31"/>
      <c r="I325" s="31" t="s">
        <v>47</v>
      </c>
      <c r="J325" s="32" t="n">
        <v>1.0</v>
      </c>
      <c r="K325" s="33" t="n">
        <f>2337</f>
        <v>2337.0</v>
      </c>
      <c r="L325" s="34" t="s">
        <v>48</v>
      </c>
      <c r="M325" s="33" t="n">
        <f>2498</f>
        <v>2498.0</v>
      </c>
      <c r="N325" s="34" t="s">
        <v>55</v>
      </c>
      <c r="O325" s="33" t="n">
        <f>2263</f>
        <v>2263.0</v>
      </c>
      <c r="P325" s="34" t="s">
        <v>48</v>
      </c>
      <c r="Q325" s="33" t="n">
        <f>2403</f>
        <v>2403.0</v>
      </c>
      <c r="R325" s="34" t="s">
        <v>51</v>
      </c>
      <c r="S325" s="35" t="n">
        <f>2383.05</f>
        <v>2383.05</v>
      </c>
      <c r="T325" s="32" t="n">
        <f>1066697</f>
        <v>1066697.0</v>
      </c>
      <c r="U325" s="32" t="n">
        <f>294985</f>
        <v>294985.0</v>
      </c>
      <c r="V325" s="32" t="n">
        <f>2544891771</f>
        <v>2.544891771E9</v>
      </c>
      <c r="W325" s="32" t="n">
        <f>702619666</f>
        <v>7.02619666E8</v>
      </c>
      <c r="X325" s="36" t="n">
        <f>22</f>
        <v>22.0</v>
      </c>
    </row>
    <row r="326">
      <c r="A326" s="27" t="s">
        <v>42</v>
      </c>
      <c r="B326" s="27" t="s">
        <v>1025</v>
      </c>
      <c r="C326" s="27" t="s">
        <v>1026</v>
      </c>
      <c r="D326" s="27" t="s">
        <v>1027</v>
      </c>
      <c r="E326" s="28" t="s">
        <v>46</v>
      </c>
      <c r="F326" s="29" t="s">
        <v>46</v>
      </c>
      <c r="G326" s="30" t="s">
        <v>46</v>
      </c>
      <c r="H326" s="31"/>
      <c r="I326" s="31" t="s">
        <v>47</v>
      </c>
      <c r="J326" s="32" t="n">
        <v>1.0</v>
      </c>
      <c r="K326" s="33" t="n">
        <f>1750</f>
        <v>1750.0</v>
      </c>
      <c r="L326" s="34" t="s">
        <v>48</v>
      </c>
      <c r="M326" s="33" t="n">
        <f>1750</f>
        <v>1750.0</v>
      </c>
      <c r="N326" s="34" t="s">
        <v>48</v>
      </c>
      <c r="O326" s="33" t="n">
        <f>1654</f>
        <v>1654.0</v>
      </c>
      <c r="P326" s="34" t="s">
        <v>71</v>
      </c>
      <c r="Q326" s="33" t="n">
        <f>1694</f>
        <v>1694.0</v>
      </c>
      <c r="R326" s="34" t="s">
        <v>51</v>
      </c>
      <c r="S326" s="35" t="n">
        <f>1694.05</f>
        <v>1694.05</v>
      </c>
      <c r="T326" s="32" t="n">
        <f>157574</f>
        <v>157574.0</v>
      </c>
      <c r="U326" s="32" t="n">
        <f>117433</f>
        <v>117433.0</v>
      </c>
      <c r="V326" s="32" t="n">
        <f>268099435</f>
        <v>2.68099435E8</v>
      </c>
      <c r="W326" s="32" t="n">
        <f>200337688</f>
        <v>2.00337688E8</v>
      </c>
      <c r="X326" s="36" t="n">
        <f>22</f>
        <v>22.0</v>
      </c>
    </row>
    <row r="327">
      <c r="A327" s="27" t="s">
        <v>42</v>
      </c>
      <c r="B327" s="27" t="s">
        <v>1028</v>
      </c>
      <c r="C327" s="27" t="s">
        <v>1029</v>
      </c>
      <c r="D327" s="27" t="s">
        <v>1030</v>
      </c>
      <c r="E327" s="28" t="s">
        <v>46</v>
      </c>
      <c r="F327" s="29" t="s">
        <v>46</v>
      </c>
      <c r="G327" s="30" t="s">
        <v>46</v>
      </c>
      <c r="H327" s="31"/>
      <c r="I327" s="31" t="s">
        <v>47</v>
      </c>
      <c r="J327" s="32" t="n">
        <v>1.0</v>
      </c>
      <c r="K327" s="33" t="n">
        <f>4709</f>
        <v>4709.0</v>
      </c>
      <c r="L327" s="34" t="s">
        <v>48</v>
      </c>
      <c r="M327" s="33" t="n">
        <f>4709</f>
        <v>4709.0</v>
      </c>
      <c r="N327" s="34" t="s">
        <v>48</v>
      </c>
      <c r="O327" s="33" t="n">
        <f>4210</f>
        <v>4210.0</v>
      </c>
      <c r="P327" s="34" t="s">
        <v>289</v>
      </c>
      <c r="Q327" s="33" t="n">
        <f>4311</f>
        <v>4311.0</v>
      </c>
      <c r="R327" s="34" t="s">
        <v>51</v>
      </c>
      <c r="S327" s="35" t="n">
        <f>4409.68</f>
        <v>4409.68</v>
      </c>
      <c r="T327" s="32" t="n">
        <f>383258</f>
        <v>383258.0</v>
      </c>
      <c r="U327" s="32" t="n">
        <f>73475</f>
        <v>73475.0</v>
      </c>
      <c r="V327" s="32" t="n">
        <f>1688005986</f>
        <v>1.688005986E9</v>
      </c>
      <c r="W327" s="32" t="n">
        <f>325238017</f>
        <v>3.25238017E8</v>
      </c>
      <c r="X327" s="36" t="n">
        <f>22</f>
        <v>22.0</v>
      </c>
    </row>
    <row r="328">
      <c r="A328" s="27" t="s">
        <v>42</v>
      </c>
      <c r="B328" s="27" t="s">
        <v>1031</v>
      </c>
      <c r="C328" s="27" t="s">
        <v>1032</v>
      </c>
      <c r="D328" s="27" t="s">
        <v>1033</v>
      </c>
      <c r="E328" s="28" t="s">
        <v>46</v>
      </c>
      <c r="F328" s="29" t="s">
        <v>46</v>
      </c>
      <c r="G328" s="30" t="s">
        <v>46</v>
      </c>
      <c r="H328" s="31"/>
      <c r="I328" s="31" t="s">
        <v>47</v>
      </c>
      <c r="J328" s="32" t="n">
        <v>1.0</v>
      </c>
      <c r="K328" s="33" t="n">
        <f>3952</f>
        <v>3952.0</v>
      </c>
      <c r="L328" s="34" t="s">
        <v>48</v>
      </c>
      <c r="M328" s="33" t="n">
        <f>4083</f>
        <v>4083.0</v>
      </c>
      <c r="N328" s="34" t="s">
        <v>75</v>
      </c>
      <c r="O328" s="33" t="n">
        <f>3888</f>
        <v>3888.0</v>
      </c>
      <c r="P328" s="34" t="s">
        <v>50</v>
      </c>
      <c r="Q328" s="33" t="n">
        <f>3943</f>
        <v>3943.0</v>
      </c>
      <c r="R328" s="34" t="s">
        <v>51</v>
      </c>
      <c r="S328" s="35" t="n">
        <f>3954.82</f>
        <v>3954.82</v>
      </c>
      <c r="T328" s="32" t="n">
        <f>365070</f>
        <v>365070.0</v>
      </c>
      <c r="U328" s="32" t="n">
        <f>114093</f>
        <v>114093.0</v>
      </c>
      <c r="V328" s="32" t="n">
        <f>1442172945</f>
        <v>1.442172945E9</v>
      </c>
      <c r="W328" s="32" t="n">
        <f>448064458</f>
        <v>4.48064458E8</v>
      </c>
      <c r="X328" s="36" t="n">
        <f>22</f>
        <v>22.0</v>
      </c>
    </row>
    <row r="329">
      <c r="A329" s="27" t="s">
        <v>42</v>
      </c>
      <c r="B329" s="27" t="s">
        <v>1034</v>
      </c>
      <c r="C329" s="27" t="s">
        <v>1035</v>
      </c>
      <c r="D329" s="27" t="s">
        <v>1036</v>
      </c>
      <c r="E329" s="28" t="s">
        <v>46</v>
      </c>
      <c r="F329" s="29" t="s">
        <v>46</v>
      </c>
      <c r="G329" s="30" t="s">
        <v>46</v>
      </c>
      <c r="H329" s="31"/>
      <c r="I329" s="31" t="s">
        <v>47</v>
      </c>
      <c r="J329" s="32" t="n">
        <v>1.0</v>
      </c>
      <c r="K329" s="33" t="n">
        <f>44540</f>
        <v>44540.0</v>
      </c>
      <c r="L329" s="34" t="s">
        <v>48</v>
      </c>
      <c r="M329" s="33" t="n">
        <f>45660</f>
        <v>45660.0</v>
      </c>
      <c r="N329" s="34" t="s">
        <v>55</v>
      </c>
      <c r="O329" s="33" t="n">
        <f>44440</f>
        <v>44440.0</v>
      </c>
      <c r="P329" s="34" t="s">
        <v>67</v>
      </c>
      <c r="Q329" s="33" t="n">
        <f>45510</f>
        <v>45510.0</v>
      </c>
      <c r="R329" s="34" t="s">
        <v>51</v>
      </c>
      <c r="S329" s="35" t="n">
        <f>45112.14</f>
        <v>45112.14</v>
      </c>
      <c r="T329" s="32" t="n">
        <f>23</f>
        <v>23.0</v>
      </c>
      <c r="U329" s="32" t="str">
        <f>"－"</f>
        <v>－</v>
      </c>
      <c r="V329" s="32" t="n">
        <f>1038140</f>
        <v>1038140.0</v>
      </c>
      <c r="W329" s="32" t="str">
        <f>"－"</f>
        <v>－</v>
      </c>
      <c r="X329" s="36" t="n">
        <f>14</f>
        <v>14.0</v>
      </c>
    </row>
    <row r="330">
      <c r="A330" s="27" t="s">
        <v>42</v>
      </c>
      <c r="B330" s="27" t="s">
        <v>1037</v>
      </c>
      <c r="C330" s="27" t="s">
        <v>1038</v>
      </c>
      <c r="D330" s="27" t="s">
        <v>1039</v>
      </c>
      <c r="E330" s="28" t="s">
        <v>46</v>
      </c>
      <c r="F330" s="29" t="s">
        <v>46</v>
      </c>
      <c r="G330" s="30" t="s">
        <v>46</v>
      </c>
      <c r="H330" s="31"/>
      <c r="I330" s="31" t="s">
        <v>47</v>
      </c>
      <c r="J330" s="32" t="n">
        <v>1.0</v>
      </c>
      <c r="K330" s="33" t="n">
        <f>3547</f>
        <v>3547.0</v>
      </c>
      <c r="L330" s="34" t="s">
        <v>181</v>
      </c>
      <c r="M330" s="33" t="n">
        <f>3723</f>
        <v>3723.0</v>
      </c>
      <c r="N330" s="34" t="s">
        <v>289</v>
      </c>
      <c r="O330" s="33" t="n">
        <f>3536</f>
        <v>3536.0</v>
      </c>
      <c r="P330" s="34" t="s">
        <v>181</v>
      </c>
      <c r="Q330" s="33" t="n">
        <f>3617</f>
        <v>3617.0</v>
      </c>
      <c r="R330" s="34" t="s">
        <v>82</v>
      </c>
      <c r="S330" s="35" t="n">
        <f>3595.67</f>
        <v>3595.67</v>
      </c>
      <c r="T330" s="32" t="n">
        <f>8092</f>
        <v>8092.0</v>
      </c>
      <c r="U330" s="32" t="str">
        <f>"－"</f>
        <v>－</v>
      </c>
      <c r="V330" s="32" t="n">
        <f>28924319</f>
        <v>2.8924319E7</v>
      </c>
      <c r="W330" s="32" t="str">
        <f>"－"</f>
        <v>－</v>
      </c>
      <c r="X330" s="36" t="n">
        <f>15</f>
        <v>15.0</v>
      </c>
    </row>
    <row r="331">
      <c r="A331" s="27" t="s">
        <v>42</v>
      </c>
      <c r="B331" s="27" t="s">
        <v>1040</v>
      </c>
      <c r="C331" s="27" t="s">
        <v>1041</v>
      </c>
      <c r="D331" s="27" t="s">
        <v>1042</v>
      </c>
      <c r="E331" s="28" t="s">
        <v>46</v>
      </c>
      <c r="F331" s="29" t="s">
        <v>46</v>
      </c>
      <c r="G331" s="30" t="s">
        <v>46</v>
      </c>
      <c r="H331" s="31"/>
      <c r="I331" s="31" t="s">
        <v>47</v>
      </c>
      <c r="J331" s="32" t="n">
        <v>1.0</v>
      </c>
      <c r="K331" s="33" t="n">
        <f>2430</f>
        <v>2430.0</v>
      </c>
      <c r="L331" s="34" t="s">
        <v>48</v>
      </c>
      <c r="M331" s="33" t="n">
        <f>2630</f>
        <v>2630.0</v>
      </c>
      <c r="N331" s="34" t="s">
        <v>128</v>
      </c>
      <c r="O331" s="33" t="n">
        <f>2352</f>
        <v>2352.0</v>
      </c>
      <c r="P331" s="34" t="s">
        <v>67</v>
      </c>
      <c r="Q331" s="33" t="n">
        <f>2580</f>
        <v>2580.0</v>
      </c>
      <c r="R331" s="34" t="s">
        <v>51</v>
      </c>
      <c r="S331" s="35" t="n">
        <f>2503.68</f>
        <v>2503.68</v>
      </c>
      <c r="T331" s="32" t="n">
        <f>26419854</f>
        <v>2.6419854E7</v>
      </c>
      <c r="U331" s="32" t="n">
        <f>1104805</f>
        <v>1104805.0</v>
      </c>
      <c r="V331" s="32" t="n">
        <f>66123079968</f>
        <v>6.6123079968E10</v>
      </c>
      <c r="W331" s="32" t="n">
        <f>2834638803</f>
        <v>2.834638803E9</v>
      </c>
      <c r="X331" s="36" t="n">
        <f>22</f>
        <v>22.0</v>
      </c>
    </row>
    <row r="332">
      <c r="A332" s="27" t="s">
        <v>42</v>
      </c>
      <c r="B332" s="27" t="s">
        <v>1043</v>
      </c>
      <c r="C332" s="27" t="s">
        <v>1044</v>
      </c>
      <c r="D332" s="27" t="s">
        <v>1045</v>
      </c>
      <c r="E332" s="28" t="s">
        <v>46</v>
      </c>
      <c r="F332" s="29" t="s">
        <v>46</v>
      </c>
      <c r="G332" s="30" t="s">
        <v>46</v>
      </c>
      <c r="H332" s="31"/>
      <c r="I332" s="31" t="s">
        <v>47</v>
      </c>
      <c r="J332" s="32" t="n">
        <v>1.0</v>
      </c>
      <c r="K332" s="33" t="n">
        <f>2813</f>
        <v>2813.0</v>
      </c>
      <c r="L332" s="34" t="s">
        <v>48</v>
      </c>
      <c r="M332" s="33" t="n">
        <f>2813</f>
        <v>2813.0</v>
      </c>
      <c r="N332" s="34" t="s">
        <v>48</v>
      </c>
      <c r="O332" s="33" t="n">
        <f>2620</f>
        <v>2620.0</v>
      </c>
      <c r="P332" s="34" t="s">
        <v>362</v>
      </c>
      <c r="Q332" s="33" t="n">
        <f>2698</f>
        <v>2698.0</v>
      </c>
      <c r="R332" s="34" t="s">
        <v>51</v>
      </c>
      <c r="S332" s="35" t="n">
        <f>2681</f>
        <v>2681.0</v>
      </c>
      <c r="T332" s="32" t="n">
        <f>104144</f>
        <v>104144.0</v>
      </c>
      <c r="U332" s="32" t="n">
        <f>74938</f>
        <v>74938.0</v>
      </c>
      <c r="V332" s="32" t="n">
        <f>279834449</f>
        <v>2.79834449E8</v>
      </c>
      <c r="W332" s="32" t="n">
        <f>201959323</f>
        <v>2.01959323E8</v>
      </c>
      <c r="X332" s="36" t="n">
        <f>22</f>
        <v>22.0</v>
      </c>
    </row>
    <row r="333">
      <c r="A333" s="27" t="s">
        <v>42</v>
      </c>
      <c r="B333" s="27" t="s">
        <v>1046</v>
      </c>
      <c r="C333" s="27" t="s">
        <v>1047</v>
      </c>
      <c r="D333" s="27" t="s">
        <v>1048</v>
      </c>
      <c r="E333" s="28" t="s">
        <v>46</v>
      </c>
      <c r="F333" s="29" t="s">
        <v>46</v>
      </c>
      <c r="G333" s="30" t="s">
        <v>46</v>
      </c>
      <c r="H333" s="31"/>
      <c r="I333" s="31" t="s">
        <v>47</v>
      </c>
      <c r="J333" s="32" t="n">
        <v>1.0</v>
      </c>
      <c r="K333" s="33" t="n">
        <f>2626</f>
        <v>2626.0</v>
      </c>
      <c r="L333" s="34" t="s">
        <v>48</v>
      </c>
      <c r="M333" s="33" t="n">
        <f>2850</f>
        <v>2850.0</v>
      </c>
      <c r="N333" s="34" t="s">
        <v>82</v>
      </c>
      <c r="O333" s="33" t="n">
        <f>2500</f>
        <v>2500.0</v>
      </c>
      <c r="P333" s="34" t="s">
        <v>50</v>
      </c>
      <c r="Q333" s="33" t="n">
        <f>2850</f>
        <v>2850.0</v>
      </c>
      <c r="R333" s="34" t="s">
        <v>51</v>
      </c>
      <c r="S333" s="35" t="n">
        <f>2664.23</f>
        <v>2664.23</v>
      </c>
      <c r="T333" s="32" t="n">
        <f>135010</f>
        <v>135010.0</v>
      </c>
      <c r="U333" s="32" t="n">
        <f>19390</f>
        <v>19390.0</v>
      </c>
      <c r="V333" s="32" t="n">
        <f>365384482</f>
        <v>3.65384482E8</v>
      </c>
      <c r="W333" s="32" t="n">
        <f>53553522</f>
        <v>5.3553522E7</v>
      </c>
      <c r="X333" s="36" t="n">
        <f>22</f>
        <v>22.0</v>
      </c>
    </row>
    <row r="334">
      <c r="A334" s="27" t="s">
        <v>42</v>
      </c>
      <c r="B334" s="27" t="s">
        <v>1049</v>
      </c>
      <c r="C334" s="27" t="s">
        <v>1050</v>
      </c>
      <c r="D334" s="27" t="s">
        <v>1051</v>
      </c>
      <c r="E334" s="28" t="s">
        <v>46</v>
      </c>
      <c r="F334" s="29" t="s">
        <v>46</v>
      </c>
      <c r="G334" s="30" t="s">
        <v>46</v>
      </c>
      <c r="H334" s="31"/>
      <c r="I334" s="31" t="s">
        <v>47</v>
      </c>
      <c r="J334" s="32" t="n">
        <v>1.0</v>
      </c>
      <c r="K334" s="33" t="n">
        <f>6027</f>
        <v>6027.0</v>
      </c>
      <c r="L334" s="34" t="s">
        <v>48</v>
      </c>
      <c r="M334" s="33" t="n">
        <f>6098</f>
        <v>6098.0</v>
      </c>
      <c r="N334" s="34" t="s">
        <v>210</v>
      </c>
      <c r="O334" s="33" t="n">
        <f>5881</f>
        <v>5881.0</v>
      </c>
      <c r="P334" s="34" t="s">
        <v>200</v>
      </c>
      <c r="Q334" s="33" t="n">
        <f>5966</f>
        <v>5966.0</v>
      </c>
      <c r="R334" s="34" t="s">
        <v>51</v>
      </c>
      <c r="S334" s="35" t="n">
        <f>5939.9</f>
        <v>5939.9</v>
      </c>
      <c r="T334" s="32" t="n">
        <f>306764</f>
        <v>306764.0</v>
      </c>
      <c r="U334" s="32" t="n">
        <f>300021</f>
        <v>300021.0</v>
      </c>
      <c r="V334" s="32" t="n">
        <f>1818624872</f>
        <v>1.818624872E9</v>
      </c>
      <c r="W334" s="32" t="n">
        <f>1778618984</f>
        <v>1.778618984E9</v>
      </c>
      <c r="X334" s="36" t="n">
        <f>21</f>
        <v>21.0</v>
      </c>
    </row>
    <row r="335">
      <c r="A335" s="27" t="s">
        <v>42</v>
      </c>
      <c r="B335" s="27" t="s">
        <v>1052</v>
      </c>
      <c r="C335" s="27" t="s">
        <v>1053</v>
      </c>
      <c r="D335" s="27" t="s">
        <v>1054</v>
      </c>
      <c r="E335" s="28" t="s">
        <v>46</v>
      </c>
      <c r="F335" s="29" t="s">
        <v>46</v>
      </c>
      <c r="G335" s="30" t="s">
        <v>46</v>
      </c>
      <c r="H335" s="31"/>
      <c r="I335" s="31" t="s">
        <v>47</v>
      </c>
      <c r="J335" s="32" t="n">
        <v>1.0</v>
      </c>
      <c r="K335" s="33" t="n">
        <f>3597</f>
        <v>3597.0</v>
      </c>
      <c r="L335" s="34" t="s">
        <v>48</v>
      </c>
      <c r="M335" s="33" t="n">
        <f>3598</f>
        <v>3598.0</v>
      </c>
      <c r="N335" s="34" t="s">
        <v>48</v>
      </c>
      <c r="O335" s="33" t="n">
        <f>3506</f>
        <v>3506.0</v>
      </c>
      <c r="P335" s="34" t="s">
        <v>210</v>
      </c>
      <c r="Q335" s="33" t="n">
        <f>3540</f>
        <v>3540.0</v>
      </c>
      <c r="R335" s="34" t="s">
        <v>51</v>
      </c>
      <c r="S335" s="35" t="n">
        <f>3539.14</f>
        <v>3539.14</v>
      </c>
      <c r="T335" s="32" t="n">
        <f>962596</f>
        <v>962596.0</v>
      </c>
      <c r="U335" s="32" t="n">
        <f>836750</f>
        <v>836750.0</v>
      </c>
      <c r="V335" s="32" t="n">
        <f>3394235173</f>
        <v>3.394235173E9</v>
      </c>
      <c r="W335" s="32" t="n">
        <f>2949263106</f>
        <v>2.949263106E9</v>
      </c>
      <c r="X335" s="36" t="n">
        <f>22</f>
        <v>22.0</v>
      </c>
    </row>
    <row r="336">
      <c r="A336" s="27" t="s">
        <v>42</v>
      </c>
      <c r="B336" s="27" t="s">
        <v>1055</v>
      </c>
      <c r="C336" s="27" t="s">
        <v>1056</v>
      </c>
      <c r="D336" s="27" t="s">
        <v>1057</v>
      </c>
      <c r="E336" s="28" t="s">
        <v>46</v>
      </c>
      <c r="F336" s="29" t="s">
        <v>46</v>
      </c>
      <c r="G336" s="30" t="s">
        <v>46</v>
      </c>
      <c r="H336" s="31"/>
      <c r="I336" s="31" t="s">
        <v>47</v>
      </c>
      <c r="J336" s="32" t="n">
        <v>10.0</v>
      </c>
      <c r="K336" s="33" t="n">
        <f>607.9</f>
        <v>607.9</v>
      </c>
      <c r="L336" s="34" t="s">
        <v>48</v>
      </c>
      <c r="M336" s="33" t="n">
        <f>607.9</f>
        <v>607.9</v>
      </c>
      <c r="N336" s="34" t="s">
        <v>48</v>
      </c>
      <c r="O336" s="33" t="n">
        <f>602</f>
        <v>602.0</v>
      </c>
      <c r="P336" s="34" t="s">
        <v>128</v>
      </c>
      <c r="Q336" s="33" t="n">
        <f>607.5</f>
        <v>607.5</v>
      </c>
      <c r="R336" s="34" t="s">
        <v>51</v>
      </c>
      <c r="S336" s="35" t="n">
        <f>605.29</f>
        <v>605.29</v>
      </c>
      <c r="T336" s="32" t="n">
        <f>18980</f>
        <v>18980.0</v>
      </c>
      <c r="U336" s="32" t="n">
        <f>10</f>
        <v>10.0</v>
      </c>
      <c r="V336" s="32" t="n">
        <f>11493041</f>
        <v>1.1493041E7</v>
      </c>
      <c r="W336" s="32" t="n">
        <f>6075</f>
        <v>6075.0</v>
      </c>
      <c r="X336" s="36" t="n">
        <f>20</f>
        <v>20.0</v>
      </c>
    </row>
    <row r="337">
      <c r="A337" s="27" t="s">
        <v>42</v>
      </c>
      <c r="B337" s="27" t="s">
        <v>1058</v>
      </c>
      <c r="C337" s="27" t="s">
        <v>1059</v>
      </c>
      <c r="D337" s="27" t="s">
        <v>1060</v>
      </c>
      <c r="E337" s="28" t="s">
        <v>46</v>
      </c>
      <c r="F337" s="29" t="s">
        <v>46</v>
      </c>
      <c r="G337" s="30" t="s">
        <v>46</v>
      </c>
      <c r="H337" s="31"/>
      <c r="I337" s="31" t="s">
        <v>47</v>
      </c>
      <c r="J337" s="32" t="n">
        <v>1.0</v>
      </c>
      <c r="K337" s="33" t="n">
        <f>9710</f>
        <v>9710.0</v>
      </c>
      <c r="L337" s="34" t="s">
        <v>48</v>
      </c>
      <c r="M337" s="33" t="n">
        <f>9710</f>
        <v>9710.0</v>
      </c>
      <c r="N337" s="34" t="s">
        <v>48</v>
      </c>
      <c r="O337" s="33" t="n">
        <f>9010</f>
        <v>9010.0</v>
      </c>
      <c r="P337" s="34" t="s">
        <v>63</v>
      </c>
      <c r="Q337" s="33" t="n">
        <f>9272</f>
        <v>9272.0</v>
      </c>
      <c r="R337" s="34" t="s">
        <v>51</v>
      </c>
      <c r="S337" s="35" t="n">
        <f>9247.95</f>
        <v>9247.95</v>
      </c>
      <c r="T337" s="32" t="n">
        <f>8053</f>
        <v>8053.0</v>
      </c>
      <c r="U337" s="32" t="str">
        <f>"－"</f>
        <v>－</v>
      </c>
      <c r="V337" s="32" t="n">
        <f>74465548</f>
        <v>7.4465548E7</v>
      </c>
      <c r="W337" s="32" t="str">
        <f>"－"</f>
        <v>－</v>
      </c>
      <c r="X337" s="36" t="n">
        <f>22</f>
        <v>22.0</v>
      </c>
    </row>
    <row r="338">
      <c r="A338" s="27" t="s">
        <v>42</v>
      </c>
      <c r="B338" s="27" t="s">
        <v>1061</v>
      </c>
      <c r="C338" s="27" t="s">
        <v>1062</v>
      </c>
      <c r="D338" s="27" t="s">
        <v>1063</v>
      </c>
      <c r="E338" s="28" t="s">
        <v>46</v>
      </c>
      <c r="F338" s="29" t="s">
        <v>46</v>
      </c>
      <c r="G338" s="30" t="s">
        <v>46</v>
      </c>
      <c r="H338" s="31"/>
      <c r="I338" s="31" t="s">
        <v>47</v>
      </c>
      <c r="J338" s="32" t="n">
        <v>1.0</v>
      </c>
      <c r="K338" s="33" t="n">
        <f>1339</f>
        <v>1339.0</v>
      </c>
      <c r="L338" s="34" t="s">
        <v>48</v>
      </c>
      <c r="M338" s="33" t="n">
        <f>1449</f>
        <v>1449.0</v>
      </c>
      <c r="N338" s="34" t="s">
        <v>128</v>
      </c>
      <c r="O338" s="33" t="n">
        <f>1298</f>
        <v>1298.0</v>
      </c>
      <c r="P338" s="34" t="s">
        <v>48</v>
      </c>
      <c r="Q338" s="33" t="n">
        <f>1407</f>
        <v>1407.0</v>
      </c>
      <c r="R338" s="34" t="s">
        <v>51</v>
      </c>
      <c r="S338" s="35" t="n">
        <f>1384.41</f>
        <v>1384.41</v>
      </c>
      <c r="T338" s="32" t="n">
        <f>609513</f>
        <v>609513.0</v>
      </c>
      <c r="U338" s="32" t="str">
        <f>"－"</f>
        <v>－</v>
      </c>
      <c r="V338" s="32" t="n">
        <f>838248777</f>
        <v>8.38248777E8</v>
      </c>
      <c r="W338" s="32" t="str">
        <f>"－"</f>
        <v>－</v>
      </c>
      <c r="X338" s="36" t="n">
        <f>22</f>
        <v>22.0</v>
      </c>
    </row>
    <row r="339">
      <c r="A339" s="27" t="s">
        <v>42</v>
      </c>
      <c r="B339" s="27" t="s">
        <v>1064</v>
      </c>
      <c r="C339" s="27" t="s">
        <v>1065</v>
      </c>
      <c r="D339" s="27" t="s">
        <v>1066</v>
      </c>
      <c r="E339" s="28" t="s">
        <v>46</v>
      </c>
      <c r="F339" s="29" t="s">
        <v>46</v>
      </c>
      <c r="G339" s="30" t="s">
        <v>46</v>
      </c>
      <c r="H339" s="31"/>
      <c r="I339" s="31" t="s">
        <v>47</v>
      </c>
      <c r="J339" s="32" t="n">
        <v>1.0</v>
      </c>
      <c r="K339" s="33" t="n">
        <f>3261</f>
        <v>3261.0</v>
      </c>
      <c r="L339" s="34" t="s">
        <v>48</v>
      </c>
      <c r="M339" s="33" t="n">
        <f>3269</f>
        <v>3269.0</v>
      </c>
      <c r="N339" s="34" t="s">
        <v>162</v>
      </c>
      <c r="O339" s="33" t="n">
        <f>3050</f>
        <v>3050.0</v>
      </c>
      <c r="P339" s="34" t="s">
        <v>75</v>
      </c>
      <c r="Q339" s="33" t="n">
        <f>3185</f>
        <v>3185.0</v>
      </c>
      <c r="R339" s="34" t="s">
        <v>51</v>
      </c>
      <c r="S339" s="35" t="n">
        <f>3170.68</f>
        <v>3170.68</v>
      </c>
      <c r="T339" s="32" t="n">
        <f>14890</f>
        <v>14890.0</v>
      </c>
      <c r="U339" s="32" t="n">
        <f>200</f>
        <v>200.0</v>
      </c>
      <c r="V339" s="32" t="n">
        <f>46900331</f>
        <v>4.6900331E7</v>
      </c>
      <c r="W339" s="32" t="n">
        <f>638840</f>
        <v>638840.0</v>
      </c>
      <c r="X339" s="36" t="n">
        <f>22</f>
        <v>22.0</v>
      </c>
    </row>
    <row r="340">
      <c r="A340" s="27" t="s">
        <v>42</v>
      </c>
      <c r="B340" s="27" t="s">
        <v>1067</v>
      </c>
      <c r="C340" s="27" t="s">
        <v>1068</v>
      </c>
      <c r="D340" s="27" t="s">
        <v>1069</v>
      </c>
      <c r="E340" s="28" t="s">
        <v>46</v>
      </c>
      <c r="F340" s="29" t="s">
        <v>46</v>
      </c>
      <c r="G340" s="30" t="s">
        <v>46</v>
      </c>
      <c r="H340" s="31"/>
      <c r="I340" s="31" t="s">
        <v>47</v>
      </c>
      <c r="J340" s="32" t="n">
        <v>1.0</v>
      </c>
      <c r="K340" s="33" t="n">
        <f>2874</f>
        <v>2874.0</v>
      </c>
      <c r="L340" s="34" t="s">
        <v>48</v>
      </c>
      <c r="M340" s="33" t="n">
        <f>2911</f>
        <v>2911.0</v>
      </c>
      <c r="N340" s="34" t="s">
        <v>82</v>
      </c>
      <c r="O340" s="33" t="n">
        <f>2690</f>
        <v>2690.0</v>
      </c>
      <c r="P340" s="34" t="s">
        <v>63</v>
      </c>
      <c r="Q340" s="33" t="n">
        <f>2816</f>
        <v>2816.0</v>
      </c>
      <c r="R340" s="34" t="s">
        <v>51</v>
      </c>
      <c r="S340" s="35" t="n">
        <f>2789.05</f>
        <v>2789.05</v>
      </c>
      <c r="T340" s="32" t="n">
        <f>83034</f>
        <v>83034.0</v>
      </c>
      <c r="U340" s="32" t="n">
        <f>15262</f>
        <v>15262.0</v>
      </c>
      <c r="V340" s="32" t="n">
        <f>232334763</f>
        <v>2.32334763E8</v>
      </c>
      <c r="W340" s="32" t="n">
        <f>42152664</f>
        <v>4.2152664E7</v>
      </c>
      <c r="X340" s="36" t="n">
        <f>22</f>
        <v>22.0</v>
      </c>
    </row>
    <row r="341">
      <c r="A341" s="27" t="s">
        <v>42</v>
      </c>
      <c r="B341" s="27" t="s">
        <v>1070</v>
      </c>
      <c r="C341" s="27" t="s">
        <v>1071</v>
      </c>
      <c r="D341" s="27" t="s">
        <v>1072</v>
      </c>
      <c r="E341" s="28" t="s">
        <v>46</v>
      </c>
      <c r="F341" s="29" t="s">
        <v>46</v>
      </c>
      <c r="G341" s="30" t="s">
        <v>46</v>
      </c>
      <c r="H341" s="31"/>
      <c r="I341" s="31" t="s">
        <v>47</v>
      </c>
      <c r="J341" s="32" t="n">
        <v>1.0</v>
      </c>
      <c r="K341" s="33" t="n">
        <f>8888</f>
        <v>8888.0</v>
      </c>
      <c r="L341" s="34" t="s">
        <v>48</v>
      </c>
      <c r="M341" s="33" t="n">
        <f>9000</f>
        <v>9000.0</v>
      </c>
      <c r="N341" s="34" t="s">
        <v>49</v>
      </c>
      <c r="O341" s="33" t="n">
        <f>8776</f>
        <v>8776.0</v>
      </c>
      <c r="P341" s="34" t="s">
        <v>200</v>
      </c>
      <c r="Q341" s="33" t="n">
        <f>8903</f>
        <v>8903.0</v>
      </c>
      <c r="R341" s="34" t="s">
        <v>51</v>
      </c>
      <c r="S341" s="35" t="n">
        <f>8853.14</f>
        <v>8853.14</v>
      </c>
      <c r="T341" s="32" t="n">
        <f>166257</f>
        <v>166257.0</v>
      </c>
      <c r="U341" s="32" t="n">
        <f>156000</f>
        <v>156000.0</v>
      </c>
      <c r="V341" s="32" t="n">
        <f>1470402599</f>
        <v>1.470402599E9</v>
      </c>
      <c r="W341" s="32" t="n">
        <f>1379533580</f>
        <v>1.37953358E9</v>
      </c>
      <c r="X341" s="36" t="n">
        <f>22</f>
        <v>22.0</v>
      </c>
    </row>
    <row r="342">
      <c r="A342" s="27" t="s">
        <v>42</v>
      </c>
      <c r="B342" s="27" t="s">
        <v>1073</v>
      </c>
      <c r="C342" s="27" t="s">
        <v>1074</v>
      </c>
      <c r="D342" s="27" t="s">
        <v>1075</v>
      </c>
      <c r="E342" s="28" t="s">
        <v>46</v>
      </c>
      <c r="F342" s="29" t="s">
        <v>46</v>
      </c>
      <c r="G342" s="30" t="s">
        <v>46</v>
      </c>
      <c r="H342" s="31"/>
      <c r="I342" s="31" t="s">
        <v>47</v>
      </c>
      <c r="J342" s="32" t="n">
        <v>1.0</v>
      </c>
      <c r="K342" s="33" t="n">
        <f>5321</f>
        <v>5321.0</v>
      </c>
      <c r="L342" s="34" t="s">
        <v>48</v>
      </c>
      <c r="M342" s="33" t="n">
        <f>5323</f>
        <v>5323.0</v>
      </c>
      <c r="N342" s="34" t="s">
        <v>48</v>
      </c>
      <c r="O342" s="33" t="n">
        <f>5260</f>
        <v>5260.0</v>
      </c>
      <c r="P342" s="34" t="s">
        <v>55</v>
      </c>
      <c r="Q342" s="33" t="n">
        <f>5286</f>
        <v>5286.0</v>
      </c>
      <c r="R342" s="34" t="s">
        <v>51</v>
      </c>
      <c r="S342" s="35" t="n">
        <f>5278.1</f>
        <v>5278.1</v>
      </c>
      <c r="T342" s="32" t="n">
        <f>99670</f>
        <v>99670.0</v>
      </c>
      <c r="U342" s="32" t="n">
        <f>94311</f>
        <v>94311.0</v>
      </c>
      <c r="V342" s="32" t="n">
        <f>528777999</f>
        <v>5.28777999E8</v>
      </c>
      <c r="W342" s="32" t="n">
        <f>500525229</f>
        <v>5.00525229E8</v>
      </c>
      <c r="X342" s="36" t="n">
        <f>21</f>
        <v>21.0</v>
      </c>
    </row>
    <row r="343">
      <c r="A343" s="27" t="s">
        <v>42</v>
      </c>
      <c r="B343" s="27" t="s">
        <v>1076</v>
      </c>
      <c r="C343" s="27" t="s">
        <v>1077</v>
      </c>
      <c r="D343" s="27" t="s">
        <v>1078</v>
      </c>
      <c r="E343" s="28" t="s">
        <v>46</v>
      </c>
      <c r="F343" s="29" t="s">
        <v>46</v>
      </c>
      <c r="G343" s="30" t="s">
        <v>46</v>
      </c>
      <c r="H343" s="31"/>
      <c r="I343" s="31" t="s">
        <v>47</v>
      </c>
      <c r="J343" s="32" t="n">
        <v>1.0</v>
      </c>
      <c r="K343" s="33" t="n">
        <f>1124</f>
        <v>1124.0</v>
      </c>
      <c r="L343" s="34" t="s">
        <v>48</v>
      </c>
      <c r="M343" s="33" t="n">
        <f>1185</f>
        <v>1185.0</v>
      </c>
      <c r="N343" s="34" t="s">
        <v>75</v>
      </c>
      <c r="O343" s="33" t="n">
        <f>1121</f>
        <v>1121.0</v>
      </c>
      <c r="P343" s="34" t="s">
        <v>48</v>
      </c>
      <c r="Q343" s="33" t="n">
        <f>1159</f>
        <v>1159.0</v>
      </c>
      <c r="R343" s="34" t="s">
        <v>51</v>
      </c>
      <c r="S343" s="35" t="n">
        <f>1155.68</f>
        <v>1155.68</v>
      </c>
      <c r="T343" s="32" t="n">
        <f>199029</f>
        <v>199029.0</v>
      </c>
      <c r="U343" s="32" t="str">
        <f>"－"</f>
        <v>－</v>
      </c>
      <c r="V343" s="32" t="n">
        <f>228045103</f>
        <v>2.28045103E8</v>
      </c>
      <c r="W343" s="32" t="str">
        <f>"－"</f>
        <v>－</v>
      </c>
      <c r="X343" s="36" t="n">
        <f>22</f>
        <v>22.0</v>
      </c>
    </row>
    <row r="344">
      <c r="A344" s="27" t="s">
        <v>42</v>
      </c>
      <c r="B344" s="27" t="s">
        <v>1079</v>
      </c>
      <c r="C344" s="27" t="s">
        <v>1080</v>
      </c>
      <c r="D344" s="27" t="s">
        <v>1081</v>
      </c>
      <c r="E344" s="28" t="s">
        <v>46</v>
      </c>
      <c r="F344" s="29" t="s">
        <v>46</v>
      </c>
      <c r="G344" s="30" t="s">
        <v>46</v>
      </c>
      <c r="H344" s="31"/>
      <c r="I344" s="31" t="s">
        <v>47</v>
      </c>
      <c r="J344" s="32" t="n">
        <v>1.0</v>
      </c>
      <c r="K344" s="33" t="n">
        <f>2289</f>
        <v>2289.0</v>
      </c>
      <c r="L344" s="34" t="s">
        <v>48</v>
      </c>
      <c r="M344" s="33" t="n">
        <f>2324</f>
        <v>2324.0</v>
      </c>
      <c r="N344" s="34" t="s">
        <v>128</v>
      </c>
      <c r="O344" s="33" t="n">
        <f>2213</f>
        <v>2213.0</v>
      </c>
      <c r="P344" s="34" t="s">
        <v>67</v>
      </c>
      <c r="Q344" s="33" t="n">
        <f>2298</f>
        <v>2298.0</v>
      </c>
      <c r="R344" s="34" t="s">
        <v>51</v>
      </c>
      <c r="S344" s="35" t="n">
        <f>2286.23</f>
        <v>2286.23</v>
      </c>
      <c r="T344" s="32" t="n">
        <f>1865910</f>
        <v>1865910.0</v>
      </c>
      <c r="U344" s="32" t="n">
        <f>282975</f>
        <v>282975.0</v>
      </c>
      <c r="V344" s="32" t="n">
        <f>4273533174</f>
        <v>4.273533174E9</v>
      </c>
      <c r="W344" s="32" t="n">
        <f>652815198</f>
        <v>6.52815198E8</v>
      </c>
      <c r="X344" s="36" t="n">
        <f>22</f>
        <v>22.0</v>
      </c>
    </row>
    <row r="345">
      <c r="A345" s="27" t="s">
        <v>42</v>
      </c>
      <c r="B345" s="27" t="s">
        <v>1082</v>
      </c>
      <c r="C345" s="27" t="s">
        <v>1083</v>
      </c>
      <c r="D345" s="27" t="s">
        <v>1084</v>
      </c>
      <c r="E345" s="28" t="s">
        <v>46</v>
      </c>
      <c r="F345" s="29" t="s">
        <v>46</v>
      </c>
      <c r="G345" s="30" t="s">
        <v>46</v>
      </c>
      <c r="H345" s="31"/>
      <c r="I345" s="31" t="s">
        <v>47</v>
      </c>
      <c r="J345" s="32" t="n">
        <v>1.0</v>
      </c>
      <c r="K345" s="33" t="n">
        <f>1500</f>
        <v>1500.0</v>
      </c>
      <c r="L345" s="34" t="s">
        <v>48</v>
      </c>
      <c r="M345" s="33" t="n">
        <f>1667</f>
        <v>1667.0</v>
      </c>
      <c r="N345" s="34" t="s">
        <v>210</v>
      </c>
      <c r="O345" s="33" t="n">
        <f>1450</f>
        <v>1450.0</v>
      </c>
      <c r="P345" s="34" t="s">
        <v>67</v>
      </c>
      <c r="Q345" s="33" t="n">
        <f>1498</f>
        <v>1498.0</v>
      </c>
      <c r="R345" s="34" t="s">
        <v>51</v>
      </c>
      <c r="S345" s="35" t="n">
        <f>1496</f>
        <v>1496.0</v>
      </c>
      <c r="T345" s="32" t="n">
        <f>2471965</f>
        <v>2471965.0</v>
      </c>
      <c r="U345" s="32" t="n">
        <f>428093</f>
        <v>428093.0</v>
      </c>
      <c r="V345" s="32" t="n">
        <f>3694178709</f>
        <v>3.694178709E9</v>
      </c>
      <c r="W345" s="32" t="n">
        <f>643361812</f>
        <v>6.43361812E8</v>
      </c>
      <c r="X345" s="36" t="n">
        <f>22</f>
        <v>22.0</v>
      </c>
    </row>
    <row r="346">
      <c r="A346" s="27" t="s">
        <v>42</v>
      </c>
      <c r="B346" s="27" t="s">
        <v>1085</v>
      </c>
      <c r="C346" s="27" t="s">
        <v>1086</v>
      </c>
      <c r="D346" s="27" t="s">
        <v>1087</v>
      </c>
      <c r="E346" s="28" t="s">
        <v>46</v>
      </c>
      <c r="F346" s="29" t="s">
        <v>46</v>
      </c>
      <c r="G346" s="30" t="s">
        <v>46</v>
      </c>
      <c r="H346" s="31"/>
      <c r="I346" s="31" t="s">
        <v>47</v>
      </c>
      <c r="J346" s="32" t="n">
        <v>1.0</v>
      </c>
      <c r="K346" s="33" t="n">
        <f>14140</f>
        <v>14140.0</v>
      </c>
      <c r="L346" s="34" t="s">
        <v>48</v>
      </c>
      <c r="M346" s="33" t="n">
        <f>14795</f>
        <v>14795.0</v>
      </c>
      <c r="N346" s="34" t="s">
        <v>63</v>
      </c>
      <c r="O346" s="33" t="n">
        <f>13910</f>
        <v>13910.0</v>
      </c>
      <c r="P346" s="34" t="s">
        <v>210</v>
      </c>
      <c r="Q346" s="33" t="n">
        <f>14130</f>
        <v>14130.0</v>
      </c>
      <c r="R346" s="34" t="s">
        <v>51</v>
      </c>
      <c r="S346" s="35" t="n">
        <f>14195.45</f>
        <v>14195.45</v>
      </c>
      <c r="T346" s="32" t="n">
        <f>138653</f>
        <v>138653.0</v>
      </c>
      <c r="U346" s="32" t="n">
        <f>234</f>
        <v>234.0</v>
      </c>
      <c r="V346" s="32" t="n">
        <f>1973497889</f>
        <v>1.973497889E9</v>
      </c>
      <c r="W346" s="32" t="n">
        <f>3310474</f>
        <v>3310474.0</v>
      </c>
      <c r="X346" s="36" t="n">
        <f>22</f>
        <v>22.0</v>
      </c>
    </row>
    <row r="347">
      <c r="A347" s="27" t="s">
        <v>42</v>
      </c>
      <c r="B347" s="27" t="s">
        <v>1088</v>
      </c>
      <c r="C347" s="27" t="s">
        <v>1089</v>
      </c>
      <c r="D347" s="27" t="s">
        <v>1090</v>
      </c>
      <c r="E347" s="28" t="s">
        <v>46</v>
      </c>
      <c r="F347" s="29" t="s">
        <v>46</v>
      </c>
      <c r="G347" s="30" t="s">
        <v>46</v>
      </c>
      <c r="H347" s="31"/>
      <c r="I347" s="31" t="s">
        <v>47</v>
      </c>
      <c r="J347" s="32" t="n">
        <v>1.0</v>
      </c>
      <c r="K347" s="33" t="n">
        <f>3890</f>
        <v>3890.0</v>
      </c>
      <c r="L347" s="34" t="s">
        <v>48</v>
      </c>
      <c r="M347" s="33" t="n">
        <f>3890</f>
        <v>3890.0</v>
      </c>
      <c r="N347" s="34" t="s">
        <v>48</v>
      </c>
      <c r="O347" s="33" t="n">
        <f>3806</f>
        <v>3806.0</v>
      </c>
      <c r="P347" s="34" t="s">
        <v>128</v>
      </c>
      <c r="Q347" s="33" t="n">
        <f>3827</f>
        <v>3827.0</v>
      </c>
      <c r="R347" s="34" t="s">
        <v>51</v>
      </c>
      <c r="S347" s="35" t="n">
        <f>3835.91</f>
        <v>3835.91</v>
      </c>
      <c r="T347" s="32" t="n">
        <f>558382</f>
        <v>558382.0</v>
      </c>
      <c r="U347" s="32" t="n">
        <f>548580</f>
        <v>548580.0</v>
      </c>
      <c r="V347" s="32" t="n">
        <f>2137148135</f>
        <v>2.137148135E9</v>
      </c>
      <c r="W347" s="32" t="n">
        <f>2099521974</f>
        <v>2.099521974E9</v>
      </c>
      <c r="X347" s="36" t="n">
        <f>22</f>
        <v>22.0</v>
      </c>
    </row>
    <row r="348">
      <c r="A348" s="27" t="s">
        <v>42</v>
      </c>
      <c r="B348" s="27" t="s">
        <v>1091</v>
      </c>
      <c r="C348" s="27" t="s">
        <v>1092</v>
      </c>
      <c r="D348" s="27" t="s">
        <v>1093</v>
      </c>
      <c r="E348" s="28" t="s">
        <v>46</v>
      </c>
      <c r="F348" s="29" t="s">
        <v>46</v>
      </c>
      <c r="G348" s="30" t="s">
        <v>46</v>
      </c>
      <c r="H348" s="31"/>
      <c r="I348" s="31" t="s">
        <v>47</v>
      </c>
      <c r="J348" s="32" t="n">
        <v>1.0</v>
      </c>
      <c r="K348" s="33" t="n">
        <f>5232</f>
        <v>5232.0</v>
      </c>
      <c r="L348" s="34" t="s">
        <v>48</v>
      </c>
      <c r="M348" s="33" t="n">
        <f>5333</f>
        <v>5333.0</v>
      </c>
      <c r="N348" s="34" t="s">
        <v>82</v>
      </c>
      <c r="O348" s="33" t="n">
        <f>5183</f>
        <v>5183.0</v>
      </c>
      <c r="P348" s="34" t="s">
        <v>63</v>
      </c>
      <c r="Q348" s="33" t="n">
        <f>5305</f>
        <v>5305.0</v>
      </c>
      <c r="R348" s="34" t="s">
        <v>51</v>
      </c>
      <c r="S348" s="35" t="n">
        <f>5240.64</f>
        <v>5240.64</v>
      </c>
      <c r="T348" s="32" t="n">
        <f>232930</f>
        <v>232930.0</v>
      </c>
      <c r="U348" s="32" t="n">
        <f>185301</f>
        <v>185301.0</v>
      </c>
      <c r="V348" s="32" t="n">
        <f>1224359782</f>
        <v>1.224359782E9</v>
      </c>
      <c r="W348" s="32" t="n">
        <f>975028996</f>
        <v>9.75028996E8</v>
      </c>
      <c r="X348" s="36" t="n">
        <f>22</f>
        <v>22.0</v>
      </c>
    </row>
    <row r="349">
      <c r="A349" s="27" t="s">
        <v>42</v>
      </c>
      <c r="B349" s="27" t="s">
        <v>1094</v>
      </c>
      <c r="C349" s="27" t="s">
        <v>1095</v>
      </c>
      <c r="D349" s="27" t="s">
        <v>1096</v>
      </c>
      <c r="E349" s="28" t="s">
        <v>46</v>
      </c>
      <c r="F349" s="29" t="s">
        <v>46</v>
      </c>
      <c r="G349" s="30" t="s">
        <v>46</v>
      </c>
      <c r="H349" s="31"/>
      <c r="I349" s="31" t="s">
        <v>47</v>
      </c>
      <c r="J349" s="32" t="n">
        <v>1.0</v>
      </c>
      <c r="K349" s="33" t="n">
        <f>3137</f>
        <v>3137.0</v>
      </c>
      <c r="L349" s="34" t="s">
        <v>48</v>
      </c>
      <c r="M349" s="33" t="n">
        <f>3179</f>
        <v>3179.0</v>
      </c>
      <c r="N349" s="34" t="s">
        <v>162</v>
      </c>
      <c r="O349" s="33" t="n">
        <f>3039</f>
        <v>3039.0</v>
      </c>
      <c r="P349" s="34" t="s">
        <v>67</v>
      </c>
      <c r="Q349" s="33" t="n">
        <f>3135</f>
        <v>3135.0</v>
      </c>
      <c r="R349" s="34" t="s">
        <v>51</v>
      </c>
      <c r="S349" s="35" t="n">
        <f>3133.09</f>
        <v>3133.09</v>
      </c>
      <c r="T349" s="32" t="n">
        <f>3066983</f>
        <v>3066983.0</v>
      </c>
      <c r="U349" s="32" t="n">
        <f>1884730</f>
        <v>1884730.0</v>
      </c>
      <c r="V349" s="32" t="n">
        <f>9595811433</f>
        <v>9.595811433E9</v>
      </c>
      <c r="W349" s="32" t="n">
        <f>5903361984</f>
        <v>5.903361984E9</v>
      </c>
      <c r="X349" s="36" t="n">
        <f>22</f>
        <v>22.0</v>
      </c>
    </row>
    <row r="350">
      <c r="A350" s="27" t="s">
        <v>42</v>
      </c>
      <c r="B350" s="27" t="s">
        <v>1097</v>
      </c>
      <c r="C350" s="27" t="s">
        <v>1098</v>
      </c>
      <c r="D350" s="27" t="s">
        <v>1099</v>
      </c>
      <c r="E350" s="28" t="s">
        <v>46</v>
      </c>
      <c r="F350" s="29" t="s">
        <v>46</v>
      </c>
      <c r="G350" s="30" t="s">
        <v>46</v>
      </c>
      <c r="H350" s="31"/>
      <c r="I350" s="31" t="s">
        <v>47</v>
      </c>
      <c r="J350" s="32" t="n">
        <v>1.0</v>
      </c>
      <c r="K350" s="33" t="n">
        <f>2354</f>
        <v>2354.0</v>
      </c>
      <c r="L350" s="34" t="s">
        <v>48</v>
      </c>
      <c r="M350" s="33" t="n">
        <f>2416</f>
        <v>2416.0</v>
      </c>
      <c r="N350" s="34" t="s">
        <v>75</v>
      </c>
      <c r="O350" s="33" t="n">
        <f>2331</f>
        <v>2331.0</v>
      </c>
      <c r="P350" s="34" t="s">
        <v>181</v>
      </c>
      <c r="Q350" s="33" t="n">
        <f>2391</f>
        <v>2391.0</v>
      </c>
      <c r="R350" s="34" t="s">
        <v>51</v>
      </c>
      <c r="S350" s="35" t="n">
        <f>2375.95</f>
        <v>2375.95</v>
      </c>
      <c r="T350" s="32" t="n">
        <f>599643</f>
        <v>599643.0</v>
      </c>
      <c r="U350" s="32" t="n">
        <f>225114</f>
        <v>225114.0</v>
      </c>
      <c r="V350" s="32" t="n">
        <f>1418534207</f>
        <v>1.418534207E9</v>
      </c>
      <c r="W350" s="32" t="n">
        <f>532320832</f>
        <v>5.32320832E8</v>
      </c>
      <c r="X350" s="36" t="n">
        <f>22</f>
        <v>22.0</v>
      </c>
    </row>
    <row r="351">
      <c r="A351" s="27" t="s">
        <v>42</v>
      </c>
      <c r="B351" s="27" t="s">
        <v>1100</v>
      </c>
      <c r="C351" s="27" t="s">
        <v>1101</v>
      </c>
      <c r="D351" s="27" t="s">
        <v>1102</v>
      </c>
      <c r="E351" s="28" t="s">
        <v>46</v>
      </c>
      <c r="F351" s="29" t="s">
        <v>46</v>
      </c>
      <c r="G351" s="30" t="s">
        <v>46</v>
      </c>
      <c r="H351" s="31"/>
      <c r="I351" s="31" t="s">
        <v>47</v>
      </c>
      <c r="J351" s="32" t="n">
        <v>1.0</v>
      </c>
      <c r="K351" s="33" t="n">
        <f>2638</f>
        <v>2638.0</v>
      </c>
      <c r="L351" s="34" t="s">
        <v>48</v>
      </c>
      <c r="M351" s="33" t="n">
        <f>2643</f>
        <v>2643.0</v>
      </c>
      <c r="N351" s="34" t="s">
        <v>51</v>
      </c>
      <c r="O351" s="33" t="n">
        <f>2490</f>
        <v>2490.0</v>
      </c>
      <c r="P351" s="34" t="s">
        <v>63</v>
      </c>
      <c r="Q351" s="33" t="n">
        <f>2558</f>
        <v>2558.0</v>
      </c>
      <c r="R351" s="34" t="s">
        <v>51</v>
      </c>
      <c r="S351" s="35" t="n">
        <f>2552.23</f>
        <v>2552.23</v>
      </c>
      <c r="T351" s="32" t="n">
        <f>11378</f>
        <v>11378.0</v>
      </c>
      <c r="U351" s="32" t="str">
        <f>"－"</f>
        <v>－</v>
      </c>
      <c r="V351" s="32" t="n">
        <f>29029576</f>
        <v>2.9029576E7</v>
      </c>
      <c r="W351" s="32" t="str">
        <f>"－"</f>
        <v>－</v>
      </c>
      <c r="X351" s="36" t="n">
        <f>22</f>
        <v>22.0</v>
      </c>
    </row>
    <row r="352">
      <c r="A352" s="27" t="s">
        <v>42</v>
      </c>
      <c r="B352" s="27" t="s">
        <v>1103</v>
      </c>
      <c r="C352" s="27" t="s">
        <v>1104</v>
      </c>
      <c r="D352" s="27" t="s">
        <v>1105</v>
      </c>
      <c r="E352" s="28" t="s">
        <v>46</v>
      </c>
      <c r="F352" s="29" t="s">
        <v>46</v>
      </c>
      <c r="G352" s="30" t="s">
        <v>46</v>
      </c>
      <c r="H352" s="31"/>
      <c r="I352" s="31" t="s">
        <v>47</v>
      </c>
      <c r="J352" s="32" t="n">
        <v>1.0</v>
      </c>
      <c r="K352" s="33" t="n">
        <f>2603</f>
        <v>2603.0</v>
      </c>
      <c r="L352" s="34" t="s">
        <v>48</v>
      </c>
      <c r="M352" s="33" t="n">
        <f>2648</f>
        <v>2648.0</v>
      </c>
      <c r="N352" s="34" t="s">
        <v>63</v>
      </c>
      <c r="O352" s="33" t="n">
        <f>2526</f>
        <v>2526.0</v>
      </c>
      <c r="P352" s="34" t="s">
        <v>181</v>
      </c>
      <c r="Q352" s="33" t="n">
        <f>2609</f>
        <v>2609.0</v>
      </c>
      <c r="R352" s="34" t="s">
        <v>51</v>
      </c>
      <c r="S352" s="35" t="n">
        <f>2583.86</f>
        <v>2583.86</v>
      </c>
      <c r="T352" s="32" t="n">
        <f>75184</f>
        <v>75184.0</v>
      </c>
      <c r="U352" s="32" t="str">
        <f>"－"</f>
        <v>－</v>
      </c>
      <c r="V352" s="32" t="n">
        <f>191787908</f>
        <v>1.91787908E8</v>
      </c>
      <c r="W352" s="32" t="str">
        <f>"－"</f>
        <v>－</v>
      </c>
      <c r="X352" s="36" t="n">
        <f>21</f>
        <v>21.0</v>
      </c>
    </row>
    <row r="353">
      <c r="A353" s="27" t="s">
        <v>42</v>
      </c>
      <c r="B353" s="27" t="s">
        <v>1106</v>
      </c>
      <c r="C353" s="27" t="s">
        <v>1107</v>
      </c>
      <c r="D353" s="27" t="s">
        <v>1108</v>
      </c>
      <c r="E353" s="28" t="s">
        <v>46</v>
      </c>
      <c r="F353" s="29" t="s">
        <v>46</v>
      </c>
      <c r="G353" s="30" t="s">
        <v>46</v>
      </c>
      <c r="H353" s="31"/>
      <c r="I353" s="31" t="s">
        <v>47</v>
      </c>
      <c r="J353" s="32" t="n">
        <v>1.0</v>
      </c>
      <c r="K353" s="33" t="n">
        <f>5190</f>
        <v>5190.0</v>
      </c>
      <c r="L353" s="34" t="s">
        <v>48</v>
      </c>
      <c r="M353" s="33" t="n">
        <f>5330</f>
        <v>5330.0</v>
      </c>
      <c r="N353" s="34" t="s">
        <v>59</v>
      </c>
      <c r="O353" s="33" t="n">
        <f>5091</f>
        <v>5091.0</v>
      </c>
      <c r="P353" s="34" t="s">
        <v>48</v>
      </c>
      <c r="Q353" s="33" t="n">
        <f>5146</f>
        <v>5146.0</v>
      </c>
      <c r="R353" s="34" t="s">
        <v>51</v>
      </c>
      <c r="S353" s="35" t="n">
        <f>5180.05</f>
        <v>5180.05</v>
      </c>
      <c r="T353" s="32" t="n">
        <f>498878</f>
        <v>498878.0</v>
      </c>
      <c r="U353" s="32" t="n">
        <f>488138</f>
        <v>488138.0</v>
      </c>
      <c r="V353" s="32" t="n">
        <f>2567052637</f>
        <v>2.567052637E9</v>
      </c>
      <c r="W353" s="32" t="n">
        <f>2511560538</f>
        <v>2.511560538E9</v>
      </c>
      <c r="X353" s="36" t="n">
        <f>22</f>
        <v>22.0</v>
      </c>
    </row>
    <row r="354">
      <c r="A354" s="27" t="s">
        <v>42</v>
      </c>
      <c r="B354" s="27" t="s">
        <v>1109</v>
      </c>
      <c r="C354" s="27" t="s">
        <v>1110</v>
      </c>
      <c r="D354" s="27" t="s">
        <v>1111</v>
      </c>
      <c r="E354" s="28" t="s">
        <v>46</v>
      </c>
      <c r="F354" s="29" t="s">
        <v>46</v>
      </c>
      <c r="G354" s="30" t="s">
        <v>46</v>
      </c>
      <c r="H354" s="31"/>
      <c r="I354" s="31" t="s">
        <v>47</v>
      </c>
      <c r="J354" s="32" t="n">
        <v>10.0</v>
      </c>
      <c r="K354" s="33" t="n">
        <f>333.9</f>
        <v>333.9</v>
      </c>
      <c r="L354" s="34" t="s">
        <v>48</v>
      </c>
      <c r="M354" s="33" t="n">
        <f>339</f>
        <v>339.0</v>
      </c>
      <c r="N354" s="34" t="s">
        <v>82</v>
      </c>
      <c r="O354" s="33" t="n">
        <f>326.7</f>
        <v>326.7</v>
      </c>
      <c r="P354" s="34" t="s">
        <v>63</v>
      </c>
      <c r="Q354" s="33" t="n">
        <f>337.2</f>
        <v>337.2</v>
      </c>
      <c r="R354" s="34" t="s">
        <v>51</v>
      </c>
      <c r="S354" s="35" t="n">
        <f>332.75</f>
        <v>332.75</v>
      </c>
      <c r="T354" s="32" t="n">
        <f>107580</f>
        <v>107580.0</v>
      </c>
      <c r="U354" s="32" t="n">
        <f>220</f>
        <v>220.0</v>
      </c>
      <c r="V354" s="32" t="n">
        <f>35627414</f>
        <v>3.5627414E7</v>
      </c>
      <c r="W354" s="32" t="n">
        <f>72888</f>
        <v>72888.0</v>
      </c>
      <c r="X354" s="36" t="n">
        <f>21</f>
        <v>21.0</v>
      </c>
    </row>
    <row r="355">
      <c r="A355" s="27" t="s">
        <v>42</v>
      </c>
      <c r="B355" s="27" t="s">
        <v>1112</v>
      </c>
      <c r="C355" s="27" t="s">
        <v>1113</v>
      </c>
      <c r="D355" s="27" t="s">
        <v>1114</v>
      </c>
      <c r="E355" s="28" t="s">
        <v>46</v>
      </c>
      <c r="F355" s="29" t="s">
        <v>46</v>
      </c>
      <c r="G355" s="30" t="s">
        <v>46</v>
      </c>
      <c r="H355" s="31"/>
      <c r="I355" s="31" t="s">
        <v>47</v>
      </c>
      <c r="J355" s="32" t="n">
        <v>10.0</v>
      </c>
      <c r="K355" s="33" t="n">
        <f>196.8</f>
        <v>196.8</v>
      </c>
      <c r="L355" s="34" t="s">
        <v>48</v>
      </c>
      <c r="M355" s="33" t="n">
        <f>199.4</f>
        <v>199.4</v>
      </c>
      <c r="N355" s="34" t="s">
        <v>51</v>
      </c>
      <c r="O355" s="33" t="n">
        <f>189.9</f>
        <v>189.9</v>
      </c>
      <c r="P355" s="34" t="s">
        <v>106</v>
      </c>
      <c r="Q355" s="33" t="n">
        <f>198.3</f>
        <v>198.3</v>
      </c>
      <c r="R355" s="34" t="s">
        <v>51</v>
      </c>
      <c r="S355" s="35" t="n">
        <f>194.83</f>
        <v>194.83</v>
      </c>
      <c r="T355" s="32" t="n">
        <f>342850</f>
        <v>342850.0</v>
      </c>
      <c r="U355" s="32" t="n">
        <f>28150</f>
        <v>28150.0</v>
      </c>
      <c r="V355" s="32" t="n">
        <f>66769804</f>
        <v>6.6769804E7</v>
      </c>
      <c r="W355" s="32" t="n">
        <f>5529669</f>
        <v>5529669.0</v>
      </c>
      <c r="X355" s="36" t="n">
        <f>22</f>
        <v>22.0</v>
      </c>
    </row>
    <row r="356">
      <c r="A356" s="27" t="s">
        <v>42</v>
      </c>
      <c r="B356" s="27" t="s">
        <v>1115</v>
      </c>
      <c r="C356" s="27" t="s">
        <v>1116</v>
      </c>
      <c r="D356" s="27" t="s">
        <v>1117</v>
      </c>
      <c r="E356" s="28" t="s">
        <v>46</v>
      </c>
      <c r="F356" s="29" t="s">
        <v>46</v>
      </c>
      <c r="G356" s="30" t="s">
        <v>46</v>
      </c>
      <c r="H356" s="31"/>
      <c r="I356" s="31" t="s">
        <v>47</v>
      </c>
      <c r="J356" s="32" t="n">
        <v>10.0</v>
      </c>
      <c r="K356" s="33" t="n">
        <f>643.3</f>
        <v>643.3</v>
      </c>
      <c r="L356" s="34" t="s">
        <v>48</v>
      </c>
      <c r="M356" s="33" t="n">
        <f>643.8</f>
        <v>643.8</v>
      </c>
      <c r="N356" s="34" t="s">
        <v>362</v>
      </c>
      <c r="O356" s="33" t="n">
        <f>635.6</f>
        <v>635.6</v>
      </c>
      <c r="P356" s="34" t="s">
        <v>75</v>
      </c>
      <c r="Q356" s="33" t="n">
        <f>639.8</f>
        <v>639.8</v>
      </c>
      <c r="R356" s="34" t="s">
        <v>51</v>
      </c>
      <c r="S356" s="35" t="n">
        <f>638.19</f>
        <v>638.19</v>
      </c>
      <c r="T356" s="32" t="n">
        <f>41990</f>
        <v>41990.0</v>
      </c>
      <c r="U356" s="32" t="n">
        <f>39270</f>
        <v>39270.0</v>
      </c>
      <c r="V356" s="32" t="n">
        <f>27016634</f>
        <v>2.7016634E7</v>
      </c>
      <c r="W356" s="32" t="n">
        <f>25283407</f>
        <v>2.5283407E7</v>
      </c>
      <c r="X356" s="36" t="n">
        <f>18</f>
        <v>18.0</v>
      </c>
    </row>
    <row r="357">
      <c r="A357" s="27" t="s">
        <v>42</v>
      </c>
      <c r="B357" s="27" t="s">
        <v>1118</v>
      </c>
      <c r="C357" s="27" t="s">
        <v>1119</v>
      </c>
      <c r="D357" s="27" t="s">
        <v>1120</v>
      </c>
      <c r="E357" s="28" t="s">
        <v>46</v>
      </c>
      <c r="F357" s="29" t="s">
        <v>46</v>
      </c>
      <c r="G357" s="30" t="s">
        <v>46</v>
      </c>
      <c r="H357" s="31"/>
      <c r="I357" s="31" t="s">
        <v>47</v>
      </c>
      <c r="J357" s="32" t="n">
        <v>1.0</v>
      </c>
      <c r="K357" s="33" t="n">
        <f>1991</f>
        <v>1991.0</v>
      </c>
      <c r="L357" s="34" t="s">
        <v>48</v>
      </c>
      <c r="M357" s="33" t="n">
        <f>2038</f>
        <v>2038.0</v>
      </c>
      <c r="N357" s="34" t="s">
        <v>90</v>
      </c>
      <c r="O357" s="33" t="n">
        <f>1913</f>
        <v>1913.0</v>
      </c>
      <c r="P357" s="34" t="s">
        <v>67</v>
      </c>
      <c r="Q357" s="33" t="n">
        <f>1980</f>
        <v>1980.0</v>
      </c>
      <c r="R357" s="34" t="s">
        <v>51</v>
      </c>
      <c r="S357" s="35" t="n">
        <f>1986.32</f>
        <v>1986.32</v>
      </c>
      <c r="T357" s="32" t="n">
        <f>163523</f>
        <v>163523.0</v>
      </c>
      <c r="U357" s="32" t="n">
        <f>860</f>
        <v>860.0</v>
      </c>
      <c r="V357" s="32" t="n">
        <f>324770543</f>
        <v>3.24770543E8</v>
      </c>
      <c r="W357" s="32" t="n">
        <f>1700016</f>
        <v>1700016.0</v>
      </c>
      <c r="X357" s="36" t="n">
        <f>22</f>
        <v>22.0</v>
      </c>
    </row>
    <row r="358">
      <c r="A358" s="27" t="s">
        <v>42</v>
      </c>
      <c r="B358" s="27" t="s">
        <v>1121</v>
      </c>
      <c r="C358" s="27" t="s">
        <v>1122</v>
      </c>
      <c r="D358" s="27" t="s">
        <v>1123</v>
      </c>
      <c r="E358" s="28" t="s">
        <v>46</v>
      </c>
      <c r="F358" s="29" t="s">
        <v>46</v>
      </c>
      <c r="G358" s="30" t="s">
        <v>46</v>
      </c>
      <c r="H358" s="31"/>
      <c r="I358" s="31" t="s">
        <v>47</v>
      </c>
      <c r="J358" s="32" t="n">
        <v>1.0</v>
      </c>
      <c r="K358" s="33" t="n">
        <f>1080</f>
        <v>1080.0</v>
      </c>
      <c r="L358" s="34" t="s">
        <v>48</v>
      </c>
      <c r="M358" s="33" t="n">
        <f>1080</f>
        <v>1080.0</v>
      </c>
      <c r="N358" s="34" t="s">
        <v>48</v>
      </c>
      <c r="O358" s="33" t="n">
        <f>1025</f>
        <v>1025.0</v>
      </c>
      <c r="P358" s="34" t="s">
        <v>106</v>
      </c>
      <c r="Q358" s="33" t="n">
        <f>1064</f>
        <v>1064.0</v>
      </c>
      <c r="R358" s="34" t="s">
        <v>51</v>
      </c>
      <c r="S358" s="35" t="n">
        <f>1049.91</f>
        <v>1049.91</v>
      </c>
      <c r="T358" s="32" t="n">
        <f>84174</f>
        <v>84174.0</v>
      </c>
      <c r="U358" s="32" t="n">
        <f>130</f>
        <v>130.0</v>
      </c>
      <c r="V358" s="32" t="n">
        <f>87805916</f>
        <v>8.7805916E7</v>
      </c>
      <c r="W358" s="32" t="n">
        <f>136860</f>
        <v>136860.0</v>
      </c>
      <c r="X358" s="36" t="n">
        <f>22</f>
        <v>22.0</v>
      </c>
    </row>
    <row r="359">
      <c r="A359" s="27" t="s">
        <v>42</v>
      </c>
      <c r="B359" s="27" t="s">
        <v>1124</v>
      </c>
      <c r="C359" s="27" t="s">
        <v>1125</v>
      </c>
      <c r="D359" s="27" t="s">
        <v>1126</v>
      </c>
      <c r="E359" s="28" t="s">
        <v>46</v>
      </c>
      <c r="F359" s="29" t="s">
        <v>46</v>
      </c>
      <c r="G359" s="30" t="s">
        <v>46</v>
      </c>
      <c r="H359" s="31"/>
      <c r="I359" s="31" t="s">
        <v>47</v>
      </c>
      <c r="J359" s="32" t="n">
        <v>10.0</v>
      </c>
      <c r="K359" s="33" t="n">
        <f>683.6</f>
        <v>683.6</v>
      </c>
      <c r="L359" s="34" t="s">
        <v>48</v>
      </c>
      <c r="M359" s="33" t="n">
        <f>683.7</f>
        <v>683.7</v>
      </c>
      <c r="N359" s="34" t="s">
        <v>48</v>
      </c>
      <c r="O359" s="33" t="n">
        <f>678.1</f>
        <v>678.1</v>
      </c>
      <c r="P359" s="34" t="s">
        <v>128</v>
      </c>
      <c r="Q359" s="33" t="n">
        <f>681.2</f>
        <v>681.2</v>
      </c>
      <c r="R359" s="34" t="s">
        <v>51</v>
      </c>
      <c r="S359" s="35" t="n">
        <f>680.46</f>
        <v>680.46</v>
      </c>
      <c r="T359" s="32" t="n">
        <f>1239250</f>
        <v>1239250.0</v>
      </c>
      <c r="U359" s="32" t="n">
        <f>870340</f>
        <v>870340.0</v>
      </c>
      <c r="V359" s="32" t="n">
        <f>842400432</f>
        <v>8.42400432E8</v>
      </c>
      <c r="W359" s="32" t="n">
        <f>591454238</f>
        <v>5.91454238E8</v>
      </c>
      <c r="X359" s="36" t="n">
        <f>22</f>
        <v>22.0</v>
      </c>
    </row>
    <row r="360">
      <c r="A360" s="27" t="s">
        <v>42</v>
      </c>
      <c r="B360" s="27" t="s">
        <v>1127</v>
      </c>
      <c r="C360" s="27" t="s">
        <v>1128</v>
      </c>
      <c r="D360" s="27" t="s">
        <v>1129</v>
      </c>
      <c r="E360" s="28" t="s">
        <v>46</v>
      </c>
      <c r="F360" s="29" t="s">
        <v>46</v>
      </c>
      <c r="G360" s="30" t="s">
        <v>46</v>
      </c>
      <c r="H360" s="31"/>
      <c r="I360" s="31" t="s">
        <v>47</v>
      </c>
      <c r="J360" s="32" t="n">
        <v>10.0</v>
      </c>
      <c r="K360" s="33" t="n">
        <f>651.3</f>
        <v>651.3</v>
      </c>
      <c r="L360" s="34" t="s">
        <v>48</v>
      </c>
      <c r="M360" s="33" t="n">
        <f>652.9</f>
        <v>652.9</v>
      </c>
      <c r="N360" s="34" t="s">
        <v>48</v>
      </c>
      <c r="O360" s="33" t="n">
        <f>639</f>
        <v>639.0</v>
      </c>
      <c r="P360" s="34" t="s">
        <v>59</v>
      </c>
      <c r="Q360" s="33" t="n">
        <f>642.5</f>
        <v>642.5</v>
      </c>
      <c r="R360" s="34" t="s">
        <v>51</v>
      </c>
      <c r="S360" s="35" t="n">
        <f>643.52</f>
        <v>643.52</v>
      </c>
      <c r="T360" s="32" t="n">
        <f>3603210</f>
        <v>3603210.0</v>
      </c>
      <c r="U360" s="32" t="n">
        <f>2183230</f>
        <v>2183230.0</v>
      </c>
      <c r="V360" s="32" t="n">
        <f>2317932615</f>
        <v>2.317932615E9</v>
      </c>
      <c r="W360" s="32" t="n">
        <f>1405416655</f>
        <v>1.405416655E9</v>
      </c>
      <c r="X360" s="36" t="n">
        <f>22</f>
        <v>22.0</v>
      </c>
    </row>
    <row r="361">
      <c r="A361" s="27" t="s">
        <v>42</v>
      </c>
      <c r="B361" s="27" t="s">
        <v>1130</v>
      </c>
      <c r="C361" s="27" t="s">
        <v>1131</v>
      </c>
      <c r="D361" s="27" t="s">
        <v>1132</v>
      </c>
      <c r="E361" s="28" t="s">
        <v>46</v>
      </c>
      <c r="F361" s="29" t="s">
        <v>46</v>
      </c>
      <c r="G361" s="30" t="s">
        <v>46</v>
      </c>
      <c r="H361" s="31"/>
      <c r="I361" s="31" t="s">
        <v>47</v>
      </c>
      <c r="J361" s="32" t="n">
        <v>1.0</v>
      </c>
      <c r="K361" s="33" t="n">
        <f>1288</f>
        <v>1288.0</v>
      </c>
      <c r="L361" s="34" t="s">
        <v>48</v>
      </c>
      <c r="M361" s="33" t="n">
        <f>1399</f>
        <v>1399.0</v>
      </c>
      <c r="N361" s="34" t="s">
        <v>51</v>
      </c>
      <c r="O361" s="33" t="n">
        <f>1257</f>
        <v>1257.0</v>
      </c>
      <c r="P361" s="34" t="s">
        <v>71</v>
      </c>
      <c r="Q361" s="33" t="n">
        <f>1340</f>
        <v>1340.0</v>
      </c>
      <c r="R361" s="34" t="s">
        <v>51</v>
      </c>
      <c r="S361" s="35" t="n">
        <f>1310.05</f>
        <v>1310.05</v>
      </c>
      <c r="T361" s="32" t="n">
        <f>22857</f>
        <v>22857.0</v>
      </c>
      <c r="U361" s="32" t="str">
        <f>"－"</f>
        <v>－</v>
      </c>
      <c r="V361" s="32" t="n">
        <f>29989790</f>
        <v>2.998979E7</v>
      </c>
      <c r="W361" s="32" t="str">
        <f>"－"</f>
        <v>－</v>
      </c>
      <c r="X361" s="36" t="n">
        <f>22</f>
        <v>22.0</v>
      </c>
    </row>
    <row r="362">
      <c r="A362" s="27" t="s">
        <v>42</v>
      </c>
      <c r="B362" s="27" t="s">
        <v>1133</v>
      </c>
      <c r="C362" s="27" t="s">
        <v>1134</v>
      </c>
      <c r="D362" s="27" t="s">
        <v>1135</v>
      </c>
      <c r="E362" s="28" t="s">
        <v>46</v>
      </c>
      <c r="F362" s="29" t="s">
        <v>46</v>
      </c>
      <c r="G362" s="30" t="s">
        <v>46</v>
      </c>
      <c r="H362" s="31"/>
      <c r="I362" s="31" t="s">
        <v>47</v>
      </c>
      <c r="J362" s="32" t="n">
        <v>1.0</v>
      </c>
      <c r="K362" s="33" t="n">
        <f>2869</f>
        <v>2869.0</v>
      </c>
      <c r="L362" s="34" t="s">
        <v>48</v>
      </c>
      <c r="M362" s="33" t="n">
        <f>2952</f>
        <v>2952.0</v>
      </c>
      <c r="N362" s="34" t="s">
        <v>51</v>
      </c>
      <c r="O362" s="33" t="n">
        <f>2850</f>
        <v>2850.0</v>
      </c>
      <c r="P362" s="34" t="s">
        <v>48</v>
      </c>
      <c r="Q362" s="33" t="n">
        <f>2903</f>
        <v>2903.0</v>
      </c>
      <c r="R362" s="34" t="s">
        <v>51</v>
      </c>
      <c r="S362" s="35" t="n">
        <f>2894.18</f>
        <v>2894.18</v>
      </c>
      <c r="T362" s="32" t="n">
        <f>75249</f>
        <v>75249.0</v>
      </c>
      <c r="U362" s="32" t="n">
        <f>7481</f>
        <v>7481.0</v>
      </c>
      <c r="V362" s="32" t="n">
        <f>218346850</f>
        <v>2.1834685E8</v>
      </c>
      <c r="W362" s="32" t="n">
        <f>21645945</f>
        <v>2.1645945E7</v>
      </c>
      <c r="X362" s="36" t="n">
        <f>22</f>
        <v>22.0</v>
      </c>
    </row>
    <row r="363">
      <c r="A363" s="27" t="s">
        <v>42</v>
      </c>
      <c r="B363" s="27" t="s">
        <v>1136</v>
      </c>
      <c r="C363" s="27" t="s">
        <v>1137</v>
      </c>
      <c r="D363" s="27" t="s">
        <v>1138</v>
      </c>
      <c r="E363" s="28" t="s">
        <v>46</v>
      </c>
      <c r="F363" s="29" t="s">
        <v>46</v>
      </c>
      <c r="G363" s="30" t="s">
        <v>46</v>
      </c>
      <c r="H363" s="31"/>
      <c r="I363" s="31" t="s">
        <v>47</v>
      </c>
      <c r="J363" s="32" t="n">
        <v>1.0</v>
      </c>
      <c r="K363" s="33" t="n">
        <f>3094</f>
        <v>3094.0</v>
      </c>
      <c r="L363" s="34" t="s">
        <v>48</v>
      </c>
      <c r="M363" s="33" t="n">
        <f>3165</f>
        <v>3165.0</v>
      </c>
      <c r="N363" s="34" t="s">
        <v>75</v>
      </c>
      <c r="O363" s="33" t="n">
        <f>3050</f>
        <v>3050.0</v>
      </c>
      <c r="P363" s="34" t="s">
        <v>181</v>
      </c>
      <c r="Q363" s="33" t="n">
        <f>3155</f>
        <v>3155.0</v>
      </c>
      <c r="R363" s="34" t="s">
        <v>51</v>
      </c>
      <c r="S363" s="35" t="n">
        <f>3123</f>
        <v>3123.0</v>
      </c>
      <c r="T363" s="32" t="n">
        <f>155436</f>
        <v>155436.0</v>
      </c>
      <c r="U363" s="32" t="n">
        <f>16687</f>
        <v>16687.0</v>
      </c>
      <c r="V363" s="32" t="n">
        <f>485151542</f>
        <v>4.85151542E8</v>
      </c>
      <c r="W363" s="32" t="n">
        <f>52122338</f>
        <v>5.2122338E7</v>
      </c>
      <c r="X363" s="36" t="n">
        <f>22</f>
        <v>22.0</v>
      </c>
    </row>
    <row r="364">
      <c r="A364" s="27" t="s">
        <v>42</v>
      </c>
      <c r="B364" s="27" t="s">
        <v>1139</v>
      </c>
      <c r="C364" s="27" t="s">
        <v>1140</v>
      </c>
      <c r="D364" s="27" t="s">
        <v>1141</v>
      </c>
      <c r="E364" s="28" t="s">
        <v>46</v>
      </c>
      <c r="F364" s="29" t="s">
        <v>46</v>
      </c>
      <c r="G364" s="30" t="s">
        <v>46</v>
      </c>
      <c r="H364" s="31"/>
      <c r="I364" s="31" t="s">
        <v>47</v>
      </c>
      <c r="J364" s="32" t="n">
        <v>1.0</v>
      </c>
      <c r="K364" s="33" t="n">
        <f>5812</f>
        <v>5812.0</v>
      </c>
      <c r="L364" s="34" t="s">
        <v>48</v>
      </c>
      <c r="M364" s="33" t="n">
        <f>5966</f>
        <v>5966.0</v>
      </c>
      <c r="N364" s="34" t="s">
        <v>210</v>
      </c>
      <c r="O364" s="33" t="n">
        <f>5766</f>
        <v>5766.0</v>
      </c>
      <c r="P364" s="34" t="s">
        <v>162</v>
      </c>
      <c r="Q364" s="33" t="n">
        <f>5870</f>
        <v>5870.0</v>
      </c>
      <c r="R364" s="34" t="s">
        <v>51</v>
      </c>
      <c r="S364" s="35" t="n">
        <f>5823.95</f>
        <v>5823.95</v>
      </c>
      <c r="T364" s="32" t="n">
        <f>73598</f>
        <v>73598.0</v>
      </c>
      <c r="U364" s="32" t="n">
        <f>72040</f>
        <v>72040.0</v>
      </c>
      <c r="V364" s="32" t="n">
        <f>429042301</f>
        <v>4.29042301E8</v>
      </c>
      <c r="W364" s="32" t="n">
        <f>419960284</f>
        <v>4.19960284E8</v>
      </c>
      <c r="X364" s="36" t="n">
        <f>22</f>
        <v>22.0</v>
      </c>
    </row>
    <row r="365">
      <c r="A365" s="27" t="s">
        <v>42</v>
      </c>
      <c r="B365" s="27" t="s">
        <v>1142</v>
      </c>
      <c r="C365" s="27" t="s">
        <v>1143</v>
      </c>
      <c r="D365" s="27" t="s">
        <v>1144</v>
      </c>
      <c r="E365" s="28" t="s">
        <v>46</v>
      </c>
      <c r="F365" s="29" t="s">
        <v>46</v>
      </c>
      <c r="G365" s="30" t="s">
        <v>46</v>
      </c>
      <c r="H365" s="31"/>
      <c r="I365" s="31" t="s">
        <v>47</v>
      </c>
      <c r="J365" s="32" t="n">
        <v>1.0</v>
      </c>
      <c r="K365" s="33" t="n">
        <f>4065</f>
        <v>4065.0</v>
      </c>
      <c r="L365" s="34" t="s">
        <v>48</v>
      </c>
      <c r="M365" s="33" t="n">
        <f>4112</f>
        <v>4112.0</v>
      </c>
      <c r="N365" s="34" t="s">
        <v>162</v>
      </c>
      <c r="O365" s="33" t="n">
        <f>3987</f>
        <v>3987.0</v>
      </c>
      <c r="P365" s="34" t="s">
        <v>59</v>
      </c>
      <c r="Q365" s="33" t="n">
        <f>4025</f>
        <v>4025.0</v>
      </c>
      <c r="R365" s="34" t="s">
        <v>51</v>
      </c>
      <c r="S365" s="35" t="n">
        <f>4019.83</f>
        <v>4019.83</v>
      </c>
      <c r="T365" s="32" t="n">
        <f>420139</f>
        <v>420139.0</v>
      </c>
      <c r="U365" s="32" t="n">
        <f>420000</f>
        <v>420000.0</v>
      </c>
      <c r="V365" s="32" t="n">
        <f>1685974192</f>
        <v>1.685974192E9</v>
      </c>
      <c r="W365" s="32" t="n">
        <f>1685414065</f>
        <v>1.685414065E9</v>
      </c>
      <c r="X365" s="36" t="n">
        <f>12</f>
        <v>12.0</v>
      </c>
    </row>
    <row r="366">
      <c r="A366" s="27" t="s">
        <v>42</v>
      </c>
      <c r="B366" s="27" t="s">
        <v>1145</v>
      </c>
      <c r="C366" s="27" t="s">
        <v>1146</v>
      </c>
      <c r="D366" s="27" t="s">
        <v>1147</v>
      </c>
      <c r="E366" s="28" t="s">
        <v>46</v>
      </c>
      <c r="F366" s="29" t="s">
        <v>46</v>
      </c>
      <c r="G366" s="30" t="s">
        <v>46</v>
      </c>
      <c r="H366" s="31"/>
      <c r="I366" s="31" t="s">
        <v>47</v>
      </c>
      <c r="J366" s="32" t="n">
        <v>1.0</v>
      </c>
      <c r="K366" s="33" t="n">
        <f>1270</f>
        <v>1270.0</v>
      </c>
      <c r="L366" s="34" t="s">
        <v>48</v>
      </c>
      <c r="M366" s="33" t="n">
        <f>1459</f>
        <v>1459.0</v>
      </c>
      <c r="N366" s="34" t="s">
        <v>210</v>
      </c>
      <c r="O366" s="33" t="n">
        <f>1252</f>
        <v>1252.0</v>
      </c>
      <c r="P366" s="34" t="s">
        <v>106</v>
      </c>
      <c r="Q366" s="33" t="n">
        <f>1290</f>
        <v>1290.0</v>
      </c>
      <c r="R366" s="34" t="s">
        <v>51</v>
      </c>
      <c r="S366" s="35" t="n">
        <f>1278.68</f>
        <v>1278.68</v>
      </c>
      <c r="T366" s="32" t="n">
        <f>33221</f>
        <v>33221.0</v>
      </c>
      <c r="U366" s="32" t="str">
        <f>"－"</f>
        <v>－</v>
      </c>
      <c r="V366" s="32" t="n">
        <f>42672767</f>
        <v>4.2672767E7</v>
      </c>
      <c r="W366" s="32" t="str">
        <f>"－"</f>
        <v>－</v>
      </c>
      <c r="X366" s="36" t="n">
        <f>22</f>
        <v>22.0</v>
      </c>
    </row>
    <row r="367">
      <c r="A367" s="27" t="s">
        <v>42</v>
      </c>
      <c r="B367" s="27" t="s">
        <v>1148</v>
      </c>
      <c r="C367" s="27" t="s">
        <v>1149</v>
      </c>
      <c r="D367" s="27" t="s">
        <v>1150</v>
      </c>
      <c r="E367" s="28" t="s">
        <v>46</v>
      </c>
      <c r="F367" s="29" t="s">
        <v>46</v>
      </c>
      <c r="G367" s="30" t="s">
        <v>46</v>
      </c>
      <c r="H367" s="31"/>
      <c r="I367" s="31" t="s">
        <v>47</v>
      </c>
      <c r="J367" s="32" t="n">
        <v>1.0</v>
      </c>
      <c r="K367" s="33" t="n">
        <f>1213</f>
        <v>1213.0</v>
      </c>
      <c r="L367" s="34" t="s">
        <v>48</v>
      </c>
      <c r="M367" s="33" t="n">
        <f>1230</f>
        <v>1230.0</v>
      </c>
      <c r="N367" s="34" t="s">
        <v>49</v>
      </c>
      <c r="O367" s="33" t="n">
        <f>1185</f>
        <v>1185.0</v>
      </c>
      <c r="P367" s="34" t="s">
        <v>200</v>
      </c>
      <c r="Q367" s="33" t="n">
        <f>1224</f>
        <v>1224.0</v>
      </c>
      <c r="R367" s="34" t="s">
        <v>51</v>
      </c>
      <c r="S367" s="35" t="n">
        <f>1205.77</f>
        <v>1205.77</v>
      </c>
      <c r="T367" s="32" t="n">
        <f>6772656</f>
        <v>6772656.0</v>
      </c>
      <c r="U367" s="32" t="n">
        <f>15407</f>
        <v>15407.0</v>
      </c>
      <c r="V367" s="32" t="n">
        <f>8174171955</f>
        <v>8.174171955E9</v>
      </c>
      <c r="W367" s="32" t="n">
        <f>18493868</f>
        <v>1.8493868E7</v>
      </c>
      <c r="X367" s="36" t="n">
        <f>22</f>
        <v>22.0</v>
      </c>
    </row>
    <row r="368">
      <c r="A368" s="27" t="s">
        <v>42</v>
      </c>
      <c r="B368" s="27" t="s">
        <v>1151</v>
      </c>
      <c r="C368" s="27" t="s">
        <v>1152</v>
      </c>
      <c r="D368" s="27" t="s">
        <v>1153</v>
      </c>
      <c r="E368" s="28" t="s">
        <v>46</v>
      </c>
      <c r="F368" s="29" t="s">
        <v>46</v>
      </c>
      <c r="G368" s="30" t="s">
        <v>46</v>
      </c>
      <c r="H368" s="31"/>
      <c r="I368" s="31" t="s">
        <v>47</v>
      </c>
      <c r="J368" s="32" t="n">
        <v>1.0</v>
      </c>
      <c r="K368" s="33" t="n">
        <f>995</f>
        <v>995.0</v>
      </c>
      <c r="L368" s="34" t="s">
        <v>48</v>
      </c>
      <c r="M368" s="33" t="n">
        <f>1012</f>
        <v>1012.0</v>
      </c>
      <c r="N368" s="34" t="s">
        <v>59</v>
      </c>
      <c r="O368" s="33" t="n">
        <f>985</f>
        <v>985.0</v>
      </c>
      <c r="P368" s="34" t="s">
        <v>48</v>
      </c>
      <c r="Q368" s="33" t="n">
        <f>1000</f>
        <v>1000.0</v>
      </c>
      <c r="R368" s="34" t="s">
        <v>51</v>
      </c>
      <c r="S368" s="35" t="n">
        <f>995</f>
        <v>995.0</v>
      </c>
      <c r="T368" s="32" t="n">
        <f>1090235</f>
        <v>1090235.0</v>
      </c>
      <c r="U368" s="32" t="n">
        <f>50</f>
        <v>50.0</v>
      </c>
      <c r="V368" s="32" t="n">
        <f>1083916782</f>
        <v>1.083916782E9</v>
      </c>
      <c r="W368" s="32" t="n">
        <f>46000</f>
        <v>46000.0</v>
      </c>
      <c r="X368" s="36" t="n">
        <f>22</f>
        <v>22.0</v>
      </c>
    </row>
    <row r="369">
      <c r="A369" s="27" t="s">
        <v>42</v>
      </c>
      <c r="B369" s="27" t="s">
        <v>1154</v>
      </c>
      <c r="C369" s="27" t="s">
        <v>1155</v>
      </c>
      <c r="D369" s="27" t="s">
        <v>1156</v>
      </c>
      <c r="E369" s="28" t="s">
        <v>46</v>
      </c>
      <c r="F369" s="29" t="s">
        <v>46</v>
      </c>
      <c r="G369" s="30" t="s">
        <v>46</v>
      </c>
      <c r="H369" s="31"/>
      <c r="I369" s="31" t="s">
        <v>47</v>
      </c>
      <c r="J369" s="32" t="n">
        <v>1.0</v>
      </c>
      <c r="K369" s="33" t="n">
        <f>1476</f>
        <v>1476.0</v>
      </c>
      <c r="L369" s="34" t="s">
        <v>48</v>
      </c>
      <c r="M369" s="33" t="n">
        <f>1830</f>
        <v>1830.0</v>
      </c>
      <c r="N369" s="34" t="s">
        <v>51</v>
      </c>
      <c r="O369" s="33" t="n">
        <f>1404</f>
        <v>1404.0</v>
      </c>
      <c r="P369" s="34" t="s">
        <v>181</v>
      </c>
      <c r="Q369" s="33" t="n">
        <f>1510</f>
        <v>1510.0</v>
      </c>
      <c r="R369" s="34" t="s">
        <v>51</v>
      </c>
      <c r="S369" s="35" t="n">
        <f>1473.41</f>
        <v>1473.41</v>
      </c>
      <c r="T369" s="32" t="n">
        <f>38438</f>
        <v>38438.0</v>
      </c>
      <c r="U369" s="32" t="str">
        <f>"－"</f>
        <v>－</v>
      </c>
      <c r="V369" s="32" t="n">
        <f>59592883</f>
        <v>5.9592883E7</v>
      </c>
      <c r="W369" s="32" t="str">
        <f>"－"</f>
        <v>－</v>
      </c>
      <c r="X369" s="36" t="n">
        <f>22</f>
        <v>22.0</v>
      </c>
    </row>
    <row r="370">
      <c r="A370" s="27" t="s">
        <v>42</v>
      </c>
      <c r="B370" s="27" t="s">
        <v>1157</v>
      </c>
      <c r="C370" s="27" t="s">
        <v>1158</v>
      </c>
      <c r="D370" s="27" t="s">
        <v>1159</v>
      </c>
      <c r="E370" s="28" t="s">
        <v>46</v>
      </c>
      <c r="F370" s="29" t="s">
        <v>46</v>
      </c>
      <c r="G370" s="30" t="s">
        <v>46</v>
      </c>
      <c r="H370" s="31"/>
      <c r="I370" s="31" t="s">
        <v>47</v>
      </c>
      <c r="J370" s="32" t="n">
        <v>1.0</v>
      </c>
      <c r="K370" s="33" t="n">
        <f>1100</f>
        <v>1100.0</v>
      </c>
      <c r="L370" s="34" t="s">
        <v>48</v>
      </c>
      <c r="M370" s="33" t="n">
        <f>1109</f>
        <v>1109.0</v>
      </c>
      <c r="N370" s="34" t="s">
        <v>82</v>
      </c>
      <c r="O370" s="33" t="n">
        <f>1078</f>
        <v>1078.0</v>
      </c>
      <c r="P370" s="34" t="s">
        <v>200</v>
      </c>
      <c r="Q370" s="33" t="n">
        <f>1105</f>
        <v>1105.0</v>
      </c>
      <c r="R370" s="34" t="s">
        <v>51</v>
      </c>
      <c r="S370" s="35" t="n">
        <f>1093.73</f>
        <v>1093.73</v>
      </c>
      <c r="T370" s="32" t="n">
        <f>1799834</f>
        <v>1799834.0</v>
      </c>
      <c r="U370" s="32" t="n">
        <f>208</f>
        <v>208.0</v>
      </c>
      <c r="V370" s="32" t="n">
        <f>1965904185</f>
        <v>1.965904185E9</v>
      </c>
      <c r="W370" s="32" t="n">
        <f>229851</f>
        <v>229851.0</v>
      </c>
      <c r="X370" s="36" t="n">
        <f>22</f>
        <v>22.0</v>
      </c>
    </row>
    <row r="371">
      <c r="A371" s="27" t="s">
        <v>42</v>
      </c>
      <c r="B371" s="27" t="s">
        <v>1160</v>
      </c>
      <c r="C371" s="27" t="s">
        <v>1161</v>
      </c>
      <c r="D371" s="27" t="s">
        <v>1162</v>
      </c>
      <c r="E371" s="28" t="s">
        <v>46</v>
      </c>
      <c r="F371" s="29" t="s">
        <v>46</v>
      </c>
      <c r="G371" s="30" t="s">
        <v>46</v>
      </c>
      <c r="H371" s="31"/>
      <c r="I371" s="31" t="s">
        <v>47</v>
      </c>
      <c r="J371" s="32" t="n">
        <v>1.0</v>
      </c>
      <c r="K371" s="33" t="n">
        <f>60020</f>
        <v>60020.0</v>
      </c>
      <c r="L371" s="34" t="s">
        <v>48</v>
      </c>
      <c r="M371" s="33" t="n">
        <f>61770</f>
        <v>61770.0</v>
      </c>
      <c r="N371" s="34" t="s">
        <v>162</v>
      </c>
      <c r="O371" s="33" t="n">
        <f>56240</f>
        <v>56240.0</v>
      </c>
      <c r="P371" s="34" t="s">
        <v>67</v>
      </c>
      <c r="Q371" s="33" t="n">
        <f>60120</f>
        <v>60120.0</v>
      </c>
      <c r="R371" s="34" t="s">
        <v>51</v>
      </c>
      <c r="S371" s="35" t="n">
        <f>59925.45</f>
        <v>59925.45</v>
      </c>
      <c r="T371" s="32" t="n">
        <f>226528</f>
        <v>226528.0</v>
      </c>
      <c r="U371" s="32" t="n">
        <f>2061</f>
        <v>2061.0</v>
      </c>
      <c r="V371" s="32" t="n">
        <f>13522408298</f>
        <v>1.3522408298E10</v>
      </c>
      <c r="W371" s="32" t="n">
        <f>122215748</f>
        <v>1.22215748E8</v>
      </c>
      <c r="X371" s="36" t="n">
        <f>22</f>
        <v>22.0</v>
      </c>
    </row>
    <row r="372">
      <c r="A372" s="27" t="s">
        <v>42</v>
      </c>
      <c r="B372" s="27" t="s">
        <v>1163</v>
      </c>
      <c r="C372" s="27" t="s">
        <v>1164</v>
      </c>
      <c r="D372" s="27" t="s">
        <v>1165</v>
      </c>
      <c r="E372" s="28" t="s">
        <v>46</v>
      </c>
      <c r="F372" s="29" t="s">
        <v>46</v>
      </c>
      <c r="G372" s="30" t="s">
        <v>46</v>
      </c>
      <c r="H372" s="31"/>
      <c r="I372" s="31" t="s">
        <v>47</v>
      </c>
      <c r="J372" s="32" t="n">
        <v>1.0</v>
      </c>
      <c r="K372" s="33" t="n">
        <f>10555</f>
        <v>10555.0</v>
      </c>
      <c r="L372" s="34" t="s">
        <v>48</v>
      </c>
      <c r="M372" s="33" t="n">
        <f>11270</f>
        <v>11270.0</v>
      </c>
      <c r="N372" s="34" t="s">
        <v>67</v>
      </c>
      <c r="O372" s="33" t="n">
        <f>10320</f>
        <v>10320.0</v>
      </c>
      <c r="P372" s="34" t="s">
        <v>162</v>
      </c>
      <c r="Q372" s="33" t="n">
        <f>10555</f>
        <v>10555.0</v>
      </c>
      <c r="R372" s="34" t="s">
        <v>51</v>
      </c>
      <c r="S372" s="35" t="n">
        <f>10613.18</f>
        <v>10613.18</v>
      </c>
      <c r="T372" s="32" t="n">
        <f>994408</f>
        <v>994408.0</v>
      </c>
      <c r="U372" s="32" t="n">
        <f>232497</f>
        <v>232497.0</v>
      </c>
      <c r="V372" s="32" t="n">
        <f>10575087994</f>
        <v>1.0575087994E10</v>
      </c>
      <c r="W372" s="32" t="n">
        <f>2420962259</f>
        <v>2.420962259E9</v>
      </c>
      <c r="X372" s="36" t="n">
        <f>22</f>
        <v>22.0</v>
      </c>
    </row>
    <row r="373">
      <c r="A373" s="27" t="s">
        <v>42</v>
      </c>
      <c r="B373" s="27" t="s">
        <v>1166</v>
      </c>
      <c r="C373" s="27" t="s">
        <v>1167</v>
      </c>
      <c r="D373" s="27" t="s">
        <v>1168</v>
      </c>
      <c r="E373" s="28" t="s">
        <v>46</v>
      </c>
      <c r="F373" s="29" t="s">
        <v>46</v>
      </c>
      <c r="G373" s="30" t="s">
        <v>46</v>
      </c>
      <c r="H373" s="31"/>
      <c r="I373" s="31" t="s">
        <v>47</v>
      </c>
      <c r="J373" s="32" t="n">
        <v>1.0</v>
      </c>
      <c r="K373" s="33" t="n">
        <f>2516</f>
        <v>2516.0</v>
      </c>
      <c r="L373" s="34" t="s">
        <v>48</v>
      </c>
      <c r="M373" s="33" t="n">
        <f>2554</f>
        <v>2554.0</v>
      </c>
      <c r="N373" s="34" t="s">
        <v>49</v>
      </c>
      <c r="O373" s="33" t="n">
        <f>2489</f>
        <v>2489.0</v>
      </c>
      <c r="P373" s="34" t="s">
        <v>181</v>
      </c>
      <c r="Q373" s="33" t="n">
        <f>2529</f>
        <v>2529.0</v>
      </c>
      <c r="R373" s="34" t="s">
        <v>82</v>
      </c>
      <c r="S373" s="35" t="n">
        <f>2519.44</f>
        <v>2519.44</v>
      </c>
      <c r="T373" s="32" t="n">
        <f>1212</f>
        <v>1212.0</v>
      </c>
      <c r="U373" s="32" t="str">
        <f>"－"</f>
        <v>－</v>
      </c>
      <c r="V373" s="32" t="n">
        <f>3053736</f>
        <v>3053736.0</v>
      </c>
      <c r="W373" s="32" t="str">
        <f>"－"</f>
        <v>－</v>
      </c>
      <c r="X373" s="36" t="n">
        <f>16</f>
        <v>16.0</v>
      </c>
    </row>
    <row r="374">
      <c r="A374" s="27" t="s">
        <v>42</v>
      </c>
      <c r="B374" s="27" t="s">
        <v>1169</v>
      </c>
      <c r="C374" s="27" t="s">
        <v>1170</v>
      </c>
      <c r="D374" s="27" t="s">
        <v>1171</v>
      </c>
      <c r="E374" s="28" t="s">
        <v>46</v>
      </c>
      <c r="F374" s="29" t="s">
        <v>46</v>
      </c>
      <c r="G374" s="30" t="s">
        <v>46</v>
      </c>
      <c r="H374" s="31"/>
      <c r="I374" s="31" t="s">
        <v>47</v>
      </c>
      <c r="J374" s="32" t="n">
        <v>1.0</v>
      </c>
      <c r="K374" s="33" t="n">
        <f>10145</f>
        <v>10145.0</v>
      </c>
      <c r="L374" s="34" t="s">
        <v>48</v>
      </c>
      <c r="M374" s="33" t="n">
        <f>10145</f>
        <v>10145.0</v>
      </c>
      <c r="N374" s="34" t="s">
        <v>48</v>
      </c>
      <c r="O374" s="33" t="n">
        <f>9173</f>
        <v>9173.0</v>
      </c>
      <c r="P374" s="34" t="s">
        <v>63</v>
      </c>
      <c r="Q374" s="33" t="n">
        <f>9340</f>
        <v>9340.0</v>
      </c>
      <c r="R374" s="34" t="s">
        <v>51</v>
      </c>
      <c r="S374" s="35" t="n">
        <f>9326.86</f>
        <v>9326.86</v>
      </c>
      <c r="T374" s="32" t="n">
        <f>1263</f>
        <v>1263.0</v>
      </c>
      <c r="U374" s="32" t="str">
        <f>"－"</f>
        <v>－</v>
      </c>
      <c r="V374" s="32" t="n">
        <f>11789202</f>
        <v>1.1789202E7</v>
      </c>
      <c r="W374" s="32" t="str">
        <f>"－"</f>
        <v>－</v>
      </c>
      <c r="X374" s="36" t="n">
        <f>22</f>
        <v>22.0</v>
      </c>
    </row>
    <row r="375">
      <c r="A375" s="27" t="s">
        <v>42</v>
      </c>
      <c r="B375" s="27" t="s">
        <v>1172</v>
      </c>
      <c r="C375" s="27" t="s">
        <v>1173</v>
      </c>
      <c r="D375" s="27" t="s">
        <v>1174</v>
      </c>
      <c r="E375" s="28" t="s">
        <v>46</v>
      </c>
      <c r="F375" s="29" t="s">
        <v>46</v>
      </c>
      <c r="G375" s="30" t="s">
        <v>46</v>
      </c>
      <c r="H375" s="31"/>
      <c r="I375" s="31" t="s">
        <v>47</v>
      </c>
      <c r="J375" s="32" t="n">
        <v>1.0</v>
      </c>
      <c r="K375" s="33" t="n">
        <f>127200</f>
        <v>127200.0</v>
      </c>
      <c r="L375" s="34" t="s">
        <v>48</v>
      </c>
      <c r="M375" s="33" t="n">
        <f>129800</f>
        <v>129800.0</v>
      </c>
      <c r="N375" s="34" t="s">
        <v>82</v>
      </c>
      <c r="O375" s="33" t="n">
        <f>123400</f>
        <v>123400.0</v>
      </c>
      <c r="P375" s="34" t="s">
        <v>162</v>
      </c>
      <c r="Q375" s="33" t="n">
        <f>128700</f>
        <v>128700.0</v>
      </c>
      <c r="R375" s="34" t="s">
        <v>51</v>
      </c>
      <c r="S375" s="35" t="n">
        <f>127159.09</f>
        <v>127159.09</v>
      </c>
      <c r="T375" s="32" t="n">
        <f>17252</f>
        <v>17252.0</v>
      </c>
      <c r="U375" s="32" t="n">
        <f>2715</f>
        <v>2715.0</v>
      </c>
      <c r="V375" s="32" t="n">
        <f>2195365199</f>
        <v>2.195365199E9</v>
      </c>
      <c r="W375" s="32" t="n">
        <f>345440699</f>
        <v>3.45440699E8</v>
      </c>
      <c r="X375" s="36" t="n">
        <f>22</f>
        <v>22.0</v>
      </c>
    </row>
    <row r="376">
      <c r="A376" s="27" t="s">
        <v>42</v>
      </c>
      <c r="B376" s="27" t="s">
        <v>1175</v>
      </c>
      <c r="C376" s="27" t="s">
        <v>1176</v>
      </c>
      <c r="D376" s="27" t="s">
        <v>1177</v>
      </c>
      <c r="E376" s="28" t="s">
        <v>46</v>
      </c>
      <c r="F376" s="29" t="s">
        <v>46</v>
      </c>
      <c r="G376" s="30" t="s">
        <v>46</v>
      </c>
      <c r="H376" s="31"/>
      <c r="I376" s="31" t="s">
        <v>418</v>
      </c>
      <c r="J376" s="32" t="n">
        <v>1.0</v>
      </c>
      <c r="K376" s="33" t="n">
        <f>102600</f>
        <v>102600.0</v>
      </c>
      <c r="L376" s="34" t="s">
        <v>48</v>
      </c>
      <c r="M376" s="33" t="n">
        <f>105100</f>
        <v>105100.0</v>
      </c>
      <c r="N376" s="34" t="s">
        <v>71</v>
      </c>
      <c r="O376" s="33" t="n">
        <f>100500</f>
        <v>100500.0</v>
      </c>
      <c r="P376" s="34" t="s">
        <v>50</v>
      </c>
      <c r="Q376" s="33" t="n">
        <f>103900</f>
        <v>103900.0</v>
      </c>
      <c r="R376" s="34" t="s">
        <v>51</v>
      </c>
      <c r="S376" s="35" t="n">
        <f>102768.18</f>
        <v>102768.18</v>
      </c>
      <c r="T376" s="32" t="n">
        <f>29732</f>
        <v>29732.0</v>
      </c>
      <c r="U376" s="32" t="n">
        <f>5442</f>
        <v>5442.0</v>
      </c>
      <c r="V376" s="32" t="n">
        <f>3055630007</f>
        <v>3.055630007E9</v>
      </c>
      <c r="W376" s="32" t="n">
        <f>559353607</f>
        <v>5.59353607E8</v>
      </c>
      <c r="X376" s="36" t="n">
        <f>22</f>
        <v>22.0</v>
      </c>
    </row>
    <row r="377">
      <c r="A377" s="27" t="s">
        <v>42</v>
      </c>
      <c r="B377" s="27" t="s">
        <v>1178</v>
      </c>
      <c r="C377" s="27" t="s">
        <v>1179</v>
      </c>
      <c r="D377" s="27" t="s">
        <v>1180</v>
      </c>
      <c r="E377" s="28" t="s">
        <v>46</v>
      </c>
      <c r="F377" s="29" t="s">
        <v>46</v>
      </c>
      <c r="G377" s="30" t="s">
        <v>46</v>
      </c>
      <c r="H377" s="31"/>
      <c r="I377" s="31" t="s">
        <v>47</v>
      </c>
      <c r="J377" s="32" t="n">
        <v>1.0</v>
      </c>
      <c r="K377" s="33" t="n">
        <f>123500</f>
        <v>123500.0</v>
      </c>
      <c r="L377" s="34" t="s">
        <v>48</v>
      </c>
      <c r="M377" s="33" t="n">
        <f>127800</f>
        <v>127800.0</v>
      </c>
      <c r="N377" s="34" t="s">
        <v>51</v>
      </c>
      <c r="O377" s="33" t="n">
        <f>119100</f>
        <v>119100.0</v>
      </c>
      <c r="P377" s="34" t="s">
        <v>106</v>
      </c>
      <c r="Q377" s="33" t="n">
        <f>126300</f>
        <v>126300.0</v>
      </c>
      <c r="R377" s="34" t="s">
        <v>51</v>
      </c>
      <c r="S377" s="35" t="n">
        <f>122886.36</f>
        <v>122886.36</v>
      </c>
      <c r="T377" s="32" t="n">
        <f>45589</f>
        <v>45589.0</v>
      </c>
      <c r="U377" s="32" t="n">
        <f>6712</f>
        <v>6712.0</v>
      </c>
      <c r="V377" s="32" t="n">
        <f>5604702338</f>
        <v>5.604702338E9</v>
      </c>
      <c r="W377" s="32" t="n">
        <f>823454738</f>
        <v>8.23454738E8</v>
      </c>
      <c r="X377" s="36" t="n">
        <f>22</f>
        <v>22.0</v>
      </c>
    </row>
    <row r="378">
      <c r="A378" s="27" t="s">
        <v>42</v>
      </c>
      <c r="B378" s="27" t="s">
        <v>1181</v>
      </c>
      <c r="C378" s="27" t="s">
        <v>1182</v>
      </c>
      <c r="D378" s="27" t="s">
        <v>1183</v>
      </c>
      <c r="E378" s="28" t="s">
        <v>46</v>
      </c>
      <c r="F378" s="29" t="s">
        <v>46</v>
      </c>
      <c r="G378" s="30" t="s">
        <v>46</v>
      </c>
      <c r="H378" s="31"/>
      <c r="I378" s="31" t="s">
        <v>418</v>
      </c>
      <c r="J378" s="32" t="n">
        <v>1.0</v>
      </c>
      <c r="K378" s="33" t="n">
        <f>117100</f>
        <v>117100.0</v>
      </c>
      <c r="L378" s="34" t="s">
        <v>48</v>
      </c>
      <c r="M378" s="33" t="n">
        <f>117300</f>
        <v>117300.0</v>
      </c>
      <c r="N378" s="34" t="s">
        <v>48</v>
      </c>
      <c r="O378" s="33" t="n">
        <f>112400</f>
        <v>112400.0</v>
      </c>
      <c r="P378" s="34" t="s">
        <v>162</v>
      </c>
      <c r="Q378" s="33" t="n">
        <f>115700</f>
        <v>115700.0</v>
      </c>
      <c r="R378" s="34" t="s">
        <v>51</v>
      </c>
      <c r="S378" s="35" t="n">
        <f>113972.73</f>
        <v>113972.73</v>
      </c>
      <c r="T378" s="32" t="n">
        <f>21698</f>
        <v>21698.0</v>
      </c>
      <c r="U378" s="32" t="n">
        <f>2055</f>
        <v>2055.0</v>
      </c>
      <c r="V378" s="32" t="n">
        <f>2474411934</f>
        <v>2.474411934E9</v>
      </c>
      <c r="W378" s="32" t="n">
        <f>234555634</f>
        <v>2.34555634E8</v>
      </c>
      <c r="X378" s="36" t="n">
        <f>22</f>
        <v>22.0</v>
      </c>
    </row>
    <row r="379">
      <c r="A379" s="27" t="s">
        <v>42</v>
      </c>
      <c r="B379" s="27" t="s">
        <v>1184</v>
      </c>
      <c r="C379" s="27" t="s">
        <v>1185</v>
      </c>
      <c r="D379" s="27" t="s">
        <v>1186</v>
      </c>
      <c r="E379" s="28" t="s">
        <v>46</v>
      </c>
      <c r="F379" s="29" t="s">
        <v>46</v>
      </c>
      <c r="G379" s="30" t="s">
        <v>46</v>
      </c>
      <c r="H379" s="31"/>
      <c r="I379" s="31" t="s">
        <v>47</v>
      </c>
      <c r="J379" s="32" t="n">
        <v>10.0</v>
      </c>
      <c r="K379" s="33" t="n">
        <f>243</f>
        <v>243.0</v>
      </c>
      <c r="L379" s="34" t="s">
        <v>48</v>
      </c>
      <c r="M379" s="33" t="n">
        <f>244.8</f>
        <v>244.8</v>
      </c>
      <c r="N379" s="34" t="s">
        <v>210</v>
      </c>
      <c r="O379" s="33" t="n">
        <f>223.7</f>
        <v>223.7</v>
      </c>
      <c r="P379" s="34" t="s">
        <v>200</v>
      </c>
      <c r="Q379" s="33" t="n">
        <f>242.5</f>
        <v>242.5</v>
      </c>
      <c r="R379" s="34" t="s">
        <v>51</v>
      </c>
      <c r="S379" s="35" t="n">
        <f>240.5</f>
        <v>240.5</v>
      </c>
      <c r="T379" s="32" t="n">
        <f>4832060</f>
        <v>4832060.0</v>
      </c>
      <c r="U379" s="32" t="str">
        <f>"－"</f>
        <v>－</v>
      </c>
      <c r="V379" s="32" t="n">
        <f>1155378716</f>
        <v>1.155378716E9</v>
      </c>
      <c r="W379" s="32" t="str">
        <f>"－"</f>
        <v>－</v>
      </c>
      <c r="X379" s="36" t="n">
        <f>22</f>
        <v>22.0</v>
      </c>
    </row>
    <row r="380">
      <c r="A380" s="27" t="s">
        <v>42</v>
      </c>
      <c r="B380" s="27" t="s">
        <v>1187</v>
      </c>
      <c r="C380" s="27" t="s">
        <v>1188</v>
      </c>
      <c r="D380" s="27" t="s">
        <v>1189</v>
      </c>
      <c r="E380" s="28" t="s">
        <v>46</v>
      </c>
      <c r="F380" s="29" t="s">
        <v>46</v>
      </c>
      <c r="G380" s="30" t="s">
        <v>46</v>
      </c>
      <c r="H380" s="31"/>
      <c r="I380" s="31" t="s">
        <v>47</v>
      </c>
      <c r="J380" s="32" t="n">
        <v>10.0</v>
      </c>
      <c r="K380" s="33" t="n">
        <f>312.3</f>
        <v>312.3</v>
      </c>
      <c r="L380" s="34" t="s">
        <v>48</v>
      </c>
      <c r="M380" s="33" t="n">
        <f>336.1</f>
        <v>336.1</v>
      </c>
      <c r="N380" s="34" t="s">
        <v>82</v>
      </c>
      <c r="O380" s="33" t="n">
        <f>307.5</f>
        <v>307.5</v>
      </c>
      <c r="P380" s="34" t="s">
        <v>90</v>
      </c>
      <c r="Q380" s="33" t="n">
        <f>323.2</f>
        <v>323.2</v>
      </c>
      <c r="R380" s="34" t="s">
        <v>51</v>
      </c>
      <c r="S380" s="35" t="n">
        <f>319.09</f>
        <v>319.09</v>
      </c>
      <c r="T380" s="32" t="n">
        <f>123247350</f>
        <v>1.2324735E8</v>
      </c>
      <c r="U380" s="32" t="n">
        <f>8569420</f>
        <v>8569420.0</v>
      </c>
      <c r="V380" s="32" t="n">
        <f>39604911100</f>
        <v>3.96049111E10</v>
      </c>
      <c r="W380" s="32" t="n">
        <f>2718389483</f>
        <v>2.718389483E9</v>
      </c>
      <c r="X380" s="36" t="n">
        <f>22</f>
        <v>22.0</v>
      </c>
    </row>
    <row r="381">
      <c r="A381" s="27" t="s">
        <v>42</v>
      </c>
      <c r="B381" s="27" t="s">
        <v>1190</v>
      </c>
      <c r="C381" s="27" t="s">
        <v>1191</v>
      </c>
      <c r="D381" s="27" t="s">
        <v>1192</v>
      </c>
      <c r="E381" s="28" t="s">
        <v>46</v>
      </c>
      <c r="F381" s="29" t="s">
        <v>46</v>
      </c>
      <c r="G381" s="30" t="s">
        <v>46</v>
      </c>
      <c r="H381" s="31"/>
      <c r="I381" s="31" t="s">
        <v>47</v>
      </c>
      <c r="J381" s="32" t="n">
        <v>1.0</v>
      </c>
      <c r="K381" s="33" t="n">
        <f>1296</f>
        <v>1296.0</v>
      </c>
      <c r="L381" s="34" t="s">
        <v>48</v>
      </c>
      <c r="M381" s="33" t="n">
        <f>1380</f>
        <v>1380.0</v>
      </c>
      <c r="N381" s="34" t="s">
        <v>55</v>
      </c>
      <c r="O381" s="33" t="n">
        <f>1290</f>
        <v>1290.0</v>
      </c>
      <c r="P381" s="34" t="s">
        <v>48</v>
      </c>
      <c r="Q381" s="33" t="n">
        <f>1351</f>
        <v>1351.0</v>
      </c>
      <c r="R381" s="34" t="s">
        <v>51</v>
      </c>
      <c r="S381" s="35" t="n">
        <f>1336.27</f>
        <v>1336.27</v>
      </c>
      <c r="T381" s="32" t="n">
        <f>3814471</f>
        <v>3814471.0</v>
      </c>
      <c r="U381" s="32" t="n">
        <f>2110210</f>
        <v>2110210.0</v>
      </c>
      <c r="V381" s="32" t="n">
        <f>5113269821</f>
        <v>5.113269821E9</v>
      </c>
      <c r="W381" s="32" t="n">
        <f>2851200390</f>
        <v>2.85120039E9</v>
      </c>
      <c r="X381" s="36" t="n">
        <f>22</f>
        <v>22.0</v>
      </c>
    </row>
    <row r="382">
      <c r="A382" s="27" t="s">
        <v>42</v>
      </c>
      <c r="B382" s="27" t="s">
        <v>1193</v>
      </c>
      <c r="C382" s="27" t="s">
        <v>1194</v>
      </c>
      <c r="D382" s="27" t="s">
        <v>1195</v>
      </c>
      <c r="E382" s="28" t="s">
        <v>46</v>
      </c>
      <c r="F382" s="29" t="s">
        <v>46</v>
      </c>
      <c r="G382" s="30" t="s">
        <v>46</v>
      </c>
      <c r="H382" s="31"/>
      <c r="I382" s="31" t="s">
        <v>47</v>
      </c>
      <c r="J382" s="32" t="n">
        <v>1.0</v>
      </c>
      <c r="K382" s="33" t="n">
        <f>2400</f>
        <v>2400.0</v>
      </c>
      <c r="L382" s="34" t="s">
        <v>48</v>
      </c>
      <c r="M382" s="33" t="n">
        <f>2411</f>
        <v>2411.0</v>
      </c>
      <c r="N382" s="34" t="s">
        <v>128</v>
      </c>
      <c r="O382" s="33" t="n">
        <f>2232</f>
        <v>2232.0</v>
      </c>
      <c r="P382" s="34" t="s">
        <v>67</v>
      </c>
      <c r="Q382" s="33" t="n">
        <f>2299</f>
        <v>2299.0</v>
      </c>
      <c r="R382" s="34" t="s">
        <v>51</v>
      </c>
      <c r="S382" s="35" t="n">
        <f>2337</f>
        <v>2337.0</v>
      </c>
      <c r="T382" s="32" t="n">
        <f>9907121</f>
        <v>9907121.0</v>
      </c>
      <c r="U382" s="32" t="n">
        <f>138846</f>
        <v>138846.0</v>
      </c>
      <c r="V382" s="32" t="n">
        <f>23096602343</f>
        <v>2.3096602343E10</v>
      </c>
      <c r="W382" s="32" t="n">
        <f>318964497</f>
        <v>3.18964497E8</v>
      </c>
      <c r="X382" s="36" t="n">
        <f>22</f>
        <v>22.0</v>
      </c>
    </row>
    <row r="383">
      <c r="A383" s="27" t="s">
        <v>42</v>
      </c>
      <c r="B383" s="27" t="s">
        <v>1196</v>
      </c>
      <c r="C383" s="27" t="s">
        <v>1197</v>
      </c>
      <c r="D383" s="27" t="s">
        <v>1198</v>
      </c>
      <c r="E383" s="28" t="s">
        <v>46</v>
      </c>
      <c r="F383" s="29" t="s">
        <v>46</v>
      </c>
      <c r="G383" s="30" t="s">
        <v>46</v>
      </c>
      <c r="H383" s="31"/>
      <c r="I383" s="31" t="s">
        <v>47</v>
      </c>
      <c r="J383" s="32" t="n">
        <v>10.0</v>
      </c>
      <c r="K383" s="33" t="n">
        <f>654.5</f>
        <v>654.5</v>
      </c>
      <c r="L383" s="34" t="s">
        <v>48</v>
      </c>
      <c r="M383" s="33" t="n">
        <f>666.5</f>
        <v>666.5</v>
      </c>
      <c r="N383" s="34" t="s">
        <v>48</v>
      </c>
      <c r="O383" s="33" t="n">
        <f>534.4</f>
        <v>534.4</v>
      </c>
      <c r="P383" s="34" t="s">
        <v>51</v>
      </c>
      <c r="Q383" s="33" t="n">
        <f>545</f>
        <v>545.0</v>
      </c>
      <c r="R383" s="34" t="s">
        <v>51</v>
      </c>
      <c r="S383" s="35" t="n">
        <f>593.61</f>
        <v>593.61</v>
      </c>
      <c r="T383" s="32" t="n">
        <f>28943160</f>
        <v>2.894316E7</v>
      </c>
      <c r="U383" s="32" t="n">
        <f>39350</f>
        <v>39350.0</v>
      </c>
      <c r="V383" s="32" t="n">
        <f>17338544467</f>
        <v>1.7338544467E10</v>
      </c>
      <c r="W383" s="32" t="n">
        <f>24060214</f>
        <v>2.4060214E7</v>
      </c>
      <c r="X383" s="36" t="n">
        <f>22</f>
        <v>22.0</v>
      </c>
    </row>
    <row r="384">
      <c r="A384" s="27" t="s">
        <v>42</v>
      </c>
      <c r="B384" s="27" t="s">
        <v>1199</v>
      </c>
      <c r="C384" s="27" t="s">
        <v>1200</v>
      </c>
      <c r="D384" s="27" t="s">
        <v>1201</v>
      </c>
      <c r="E384" s="28" t="s">
        <v>46</v>
      </c>
      <c r="F384" s="29" t="s">
        <v>46</v>
      </c>
      <c r="G384" s="30" t="s">
        <v>46</v>
      </c>
      <c r="H384" s="31"/>
      <c r="I384" s="31" t="s">
        <v>47</v>
      </c>
      <c r="J384" s="32" t="n">
        <v>1.0</v>
      </c>
      <c r="K384" s="33" t="n">
        <f>132700</f>
        <v>132700.0</v>
      </c>
      <c r="L384" s="34" t="s">
        <v>48</v>
      </c>
      <c r="M384" s="33" t="n">
        <f>136700</f>
        <v>136700.0</v>
      </c>
      <c r="N384" s="34" t="s">
        <v>51</v>
      </c>
      <c r="O384" s="33" t="n">
        <f>127900</f>
        <v>127900.0</v>
      </c>
      <c r="P384" s="34" t="s">
        <v>106</v>
      </c>
      <c r="Q384" s="33" t="n">
        <f>134400</f>
        <v>134400.0</v>
      </c>
      <c r="R384" s="34" t="s">
        <v>51</v>
      </c>
      <c r="S384" s="35" t="n">
        <f>132195.45</f>
        <v>132195.45</v>
      </c>
      <c r="T384" s="32" t="n">
        <f>118451</f>
        <v>118451.0</v>
      </c>
      <c r="U384" s="32" t="n">
        <f>27793</f>
        <v>27793.0</v>
      </c>
      <c r="V384" s="32" t="n">
        <f>15642827762</f>
        <v>1.5642827762E10</v>
      </c>
      <c r="W384" s="32" t="n">
        <f>3679600062</f>
        <v>3.679600062E9</v>
      </c>
      <c r="X384" s="36" t="n">
        <f>22</f>
        <v>22.0</v>
      </c>
    </row>
    <row r="385">
      <c r="A385" s="27" t="s">
        <v>42</v>
      </c>
      <c r="B385" s="27" t="s">
        <v>1202</v>
      </c>
      <c r="C385" s="27" t="s">
        <v>1203</v>
      </c>
      <c r="D385" s="27" t="s">
        <v>1204</v>
      </c>
      <c r="E385" s="28" t="s">
        <v>46</v>
      </c>
      <c r="F385" s="29" t="s">
        <v>46</v>
      </c>
      <c r="G385" s="30" t="s">
        <v>46</v>
      </c>
      <c r="H385" s="31"/>
      <c r="I385" s="31" t="s">
        <v>47</v>
      </c>
      <c r="J385" s="32" t="n">
        <v>1.0</v>
      </c>
      <c r="K385" s="33" t="n">
        <f>150400</f>
        <v>150400.0</v>
      </c>
      <c r="L385" s="34" t="s">
        <v>48</v>
      </c>
      <c r="M385" s="33" t="n">
        <f>151300</f>
        <v>151300.0</v>
      </c>
      <c r="N385" s="34" t="s">
        <v>210</v>
      </c>
      <c r="O385" s="33" t="n">
        <f>143100</f>
        <v>143100.0</v>
      </c>
      <c r="P385" s="34" t="s">
        <v>106</v>
      </c>
      <c r="Q385" s="33" t="n">
        <f>149000</f>
        <v>149000.0</v>
      </c>
      <c r="R385" s="34" t="s">
        <v>51</v>
      </c>
      <c r="S385" s="35" t="n">
        <f>147504.55</f>
        <v>147504.55</v>
      </c>
      <c r="T385" s="32" t="n">
        <f>97844</f>
        <v>97844.0</v>
      </c>
      <c r="U385" s="32" t="n">
        <f>26600</f>
        <v>26600.0</v>
      </c>
      <c r="V385" s="32" t="n">
        <f>14419639225</f>
        <v>1.4419639225E10</v>
      </c>
      <c r="W385" s="32" t="n">
        <f>3915479525</f>
        <v>3.915479525E9</v>
      </c>
      <c r="X385" s="36" t="n">
        <f>22</f>
        <v>22.0</v>
      </c>
    </row>
    <row r="386">
      <c r="A386" s="27" t="s">
        <v>42</v>
      </c>
      <c r="B386" s="27" t="s">
        <v>1205</v>
      </c>
      <c r="C386" s="27" t="s">
        <v>1206</v>
      </c>
      <c r="D386" s="27" t="s">
        <v>1207</v>
      </c>
      <c r="E386" s="28" t="s">
        <v>46</v>
      </c>
      <c r="F386" s="29" t="s">
        <v>46</v>
      </c>
      <c r="G386" s="30" t="s">
        <v>46</v>
      </c>
      <c r="H386" s="31"/>
      <c r="I386" s="31" t="s">
        <v>47</v>
      </c>
      <c r="J386" s="32" t="n">
        <v>1.0</v>
      </c>
      <c r="K386" s="33" t="n">
        <f>151000</f>
        <v>151000.0</v>
      </c>
      <c r="L386" s="34" t="s">
        <v>48</v>
      </c>
      <c r="M386" s="33" t="n">
        <f>156000</f>
        <v>156000.0</v>
      </c>
      <c r="N386" s="34" t="s">
        <v>49</v>
      </c>
      <c r="O386" s="33" t="n">
        <f>145100</f>
        <v>145100.0</v>
      </c>
      <c r="P386" s="34" t="s">
        <v>90</v>
      </c>
      <c r="Q386" s="33" t="n">
        <f>154200</f>
        <v>154200.0</v>
      </c>
      <c r="R386" s="34" t="s">
        <v>51</v>
      </c>
      <c r="S386" s="35" t="n">
        <f>150150</f>
        <v>150150.0</v>
      </c>
      <c r="T386" s="32" t="n">
        <f>208745</f>
        <v>208745.0</v>
      </c>
      <c r="U386" s="32" t="n">
        <f>46622</f>
        <v>46622.0</v>
      </c>
      <c r="V386" s="32" t="n">
        <f>31291957786</f>
        <v>3.1291957786E10</v>
      </c>
      <c r="W386" s="32" t="n">
        <f>7002163686</f>
        <v>7.002163686E9</v>
      </c>
      <c r="X386" s="36" t="n">
        <f>22</f>
        <v>22.0</v>
      </c>
    </row>
    <row r="387">
      <c r="A387" s="27" t="s">
        <v>42</v>
      </c>
      <c r="B387" s="27" t="s">
        <v>1208</v>
      </c>
      <c r="C387" s="27" t="s">
        <v>1209</v>
      </c>
      <c r="D387" s="27" t="s">
        <v>1210</v>
      </c>
      <c r="E387" s="28" t="s">
        <v>46</v>
      </c>
      <c r="F387" s="29" t="s">
        <v>46</v>
      </c>
      <c r="G387" s="30" t="s">
        <v>46</v>
      </c>
      <c r="H387" s="31"/>
      <c r="I387" s="31" t="s">
        <v>47</v>
      </c>
      <c r="J387" s="32" t="n">
        <v>1.0</v>
      </c>
      <c r="K387" s="33" t="n">
        <f>171200</f>
        <v>171200.0</v>
      </c>
      <c r="L387" s="34" t="s">
        <v>48</v>
      </c>
      <c r="M387" s="33" t="n">
        <f>174300</f>
        <v>174300.0</v>
      </c>
      <c r="N387" s="34" t="s">
        <v>51</v>
      </c>
      <c r="O387" s="33" t="n">
        <f>164700</f>
        <v>164700.0</v>
      </c>
      <c r="P387" s="34" t="s">
        <v>106</v>
      </c>
      <c r="Q387" s="33" t="n">
        <f>171400</f>
        <v>171400.0</v>
      </c>
      <c r="R387" s="34" t="s">
        <v>51</v>
      </c>
      <c r="S387" s="35" t="n">
        <f>169813.64</f>
        <v>169813.64</v>
      </c>
      <c r="T387" s="32" t="n">
        <f>149551</f>
        <v>149551.0</v>
      </c>
      <c r="U387" s="32" t="n">
        <f>33994</f>
        <v>33994.0</v>
      </c>
      <c r="V387" s="32" t="n">
        <f>25388346790</f>
        <v>2.538834679E10</v>
      </c>
      <c r="W387" s="32" t="n">
        <f>5775380590</f>
        <v>5.77538059E9</v>
      </c>
      <c r="X387" s="36" t="n">
        <f>22</f>
        <v>22.0</v>
      </c>
    </row>
    <row r="388">
      <c r="A388" s="27" t="s">
        <v>42</v>
      </c>
      <c r="B388" s="27" t="s">
        <v>1211</v>
      </c>
      <c r="C388" s="27" t="s">
        <v>1212</v>
      </c>
      <c r="D388" s="27" t="s">
        <v>1213</v>
      </c>
      <c r="E388" s="28" t="s">
        <v>46</v>
      </c>
      <c r="F388" s="29" t="s">
        <v>46</v>
      </c>
      <c r="G388" s="30" t="s">
        <v>46</v>
      </c>
      <c r="H388" s="31"/>
      <c r="I388" s="31" t="s">
        <v>47</v>
      </c>
      <c r="J388" s="32" t="n">
        <v>1.0</v>
      </c>
      <c r="K388" s="33" t="n">
        <f>142300</f>
        <v>142300.0</v>
      </c>
      <c r="L388" s="34" t="s">
        <v>48</v>
      </c>
      <c r="M388" s="33" t="n">
        <f>143100</f>
        <v>143100.0</v>
      </c>
      <c r="N388" s="34" t="s">
        <v>48</v>
      </c>
      <c r="O388" s="33" t="n">
        <f>137500</f>
        <v>137500.0</v>
      </c>
      <c r="P388" s="34" t="s">
        <v>362</v>
      </c>
      <c r="Q388" s="33" t="n">
        <f>140800</f>
        <v>140800.0</v>
      </c>
      <c r="R388" s="34" t="s">
        <v>51</v>
      </c>
      <c r="S388" s="35" t="n">
        <f>140318.18</f>
        <v>140318.18</v>
      </c>
      <c r="T388" s="32" t="n">
        <f>151180</f>
        <v>151180.0</v>
      </c>
      <c r="U388" s="32" t="n">
        <f>39902</f>
        <v>39902.0</v>
      </c>
      <c r="V388" s="32" t="n">
        <f>21205511680</f>
        <v>2.120551168E10</v>
      </c>
      <c r="W388" s="32" t="n">
        <f>5594567480</f>
        <v>5.59456748E9</v>
      </c>
      <c r="X388" s="36" t="n">
        <f>22</f>
        <v>22.0</v>
      </c>
    </row>
    <row r="389">
      <c r="A389" s="27" t="s">
        <v>42</v>
      </c>
      <c r="B389" s="27" t="s">
        <v>1214</v>
      </c>
      <c r="C389" s="27" t="s">
        <v>1215</v>
      </c>
      <c r="D389" s="27" t="s">
        <v>1216</v>
      </c>
      <c r="E389" s="28" t="s">
        <v>46</v>
      </c>
      <c r="F389" s="29" t="s">
        <v>46</v>
      </c>
      <c r="G389" s="30" t="s">
        <v>46</v>
      </c>
      <c r="H389" s="31"/>
      <c r="I389" s="31" t="s">
        <v>47</v>
      </c>
      <c r="J389" s="32" t="n">
        <v>1.0</v>
      </c>
      <c r="K389" s="33" t="n">
        <f>148000</f>
        <v>148000.0</v>
      </c>
      <c r="L389" s="34" t="s">
        <v>48</v>
      </c>
      <c r="M389" s="33" t="n">
        <f>150000</f>
        <v>150000.0</v>
      </c>
      <c r="N389" s="34" t="s">
        <v>82</v>
      </c>
      <c r="O389" s="33" t="n">
        <f>141800</f>
        <v>141800.0</v>
      </c>
      <c r="P389" s="34" t="s">
        <v>106</v>
      </c>
      <c r="Q389" s="33" t="n">
        <f>148900</f>
        <v>148900.0</v>
      </c>
      <c r="R389" s="34" t="s">
        <v>51</v>
      </c>
      <c r="S389" s="35" t="n">
        <f>145945.45</f>
        <v>145945.45</v>
      </c>
      <c r="T389" s="32" t="n">
        <f>225156</f>
        <v>225156.0</v>
      </c>
      <c r="U389" s="32" t="n">
        <f>46614</f>
        <v>46614.0</v>
      </c>
      <c r="V389" s="32" t="n">
        <f>32844726842</f>
        <v>3.2844726842E10</v>
      </c>
      <c r="W389" s="32" t="n">
        <f>6808296942</f>
        <v>6.808296942E9</v>
      </c>
      <c r="X389" s="36" t="n">
        <f>22</f>
        <v>22.0</v>
      </c>
    </row>
    <row r="390">
      <c r="A390" s="27" t="s">
        <v>42</v>
      </c>
      <c r="B390" s="27" t="s">
        <v>1217</v>
      </c>
      <c r="C390" s="27" t="s">
        <v>1218</v>
      </c>
      <c r="D390" s="27" t="s">
        <v>1219</v>
      </c>
      <c r="E390" s="28" t="s">
        <v>46</v>
      </c>
      <c r="F390" s="29" t="s">
        <v>46</v>
      </c>
      <c r="G390" s="30" t="s">
        <v>46</v>
      </c>
      <c r="H390" s="31"/>
      <c r="I390" s="31" t="s">
        <v>47</v>
      </c>
      <c r="J390" s="32" t="n">
        <v>1.0</v>
      </c>
      <c r="K390" s="33" t="n">
        <f>331500</f>
        <v>331500.0</v>
      </c>
      <c r="L390" s="34" t="s">
        <v>48</v>
      </c>
      <c r="M390" s="33" t="n">
        <f>337500</f>
        <v>337500.0</v>
      </c>
      <c r="N390" s="34" t="s">
        <v>51</v>
      </c>
      <c r="O390" s="33" t="n">
        <f>318000</f>
        <v>318000.0</v>
      </c>
      <c r="P390" s="34" t="s">
        <v>106</v>
      </c>
      <c r="Q390" s="33" t="n">
        <f>333500</f>
        <v>333500.0</v>
      </c>
      <c r="R390" s="34" t="s">
        <v>51</v>
      </c>
      <c r="S390" s="35" t="n">
        <f>329340.91</f>
        <v>329340.91</v>
      </c>
      <c r="T390" s="32" t="n">
        <f>47912</f>
        <v>47912.0</v>
      </c>
      <c r="U390" s="32" t="n">
        <f>15388</f>
        <v>15388.0</v>
      </c>
      <c r="V390" s="32" t="n">
        <f>15765921580</f>
        <v>1.576592158E10</v>
      </c>
      <c r="W390" s="32" t="n">
        <f>5062530080</f>
        <v>5.06253008E9</v>
      </c>
      <c r="X390" s="36" t="n">
        <f>22</f>
        <v>22.0</v>
      </c>
    </row>
    <row r="391">
      <c r="A391" s="27" t="s">
        <v>42</v>
      </c>
      <c r="B391" s="27" t="s">
        <v>1220</v>
      </c>
      <c r="C391" s="27" t="s">
        <v>1221</v>
      </c>
      <c r="D391" s="27" t="s">
        <v>1222</v>
      </c>
      <c r="E391" s="28" t="s">
        <v>46</v>
      </c>
      <c r="F391" s="29" t="s">
        <v>46</v>
      </c>
      <c r="G391" s="30" t="s">
        <v>46</v>
      </c>
      <c r="H391" s="31"/>
      <c r="I391" s="31" t="s">
        <v>47</v>
      </c>
      <c r="J391" s="32" t="n">
        <v>1.0</v>
      </c>
      <c r="K391" s="33" t="n">
        <f>94200</f>
        <v>94200.0</v>
      </c>
      <c r="L391" s="34" t="s">
        <v>48</v>
      </c>
      <c r="M391" s="33" t="n">
        <f>94700</f>
        <v>94700.0</v>
      </c>
      <c r="N391" s="34" t="s">
        <v>51</v>
      </c>
      <c r="O391" s="33" t="n">
        <f>89000</f>
        <v>89000.0</v>
      </c>
      <c r="P391" s="34" t="s">
        <v>106</v>
      </c>
      <c r="Q391" s="33" t="n">
        <f>92900</f>
        <v>92900.0</v>
      </c>
      <c r="R391" s="34" t="s">
        <v>51</v>
      </c>
      <c r="S391" s="35" t="n">
        <f>91972.73</f>
        <v>91972.73</v>
      </c>
      <c r="T391" s="32" t="n">
        <f>367544</f>
        <v>367544.0</v>
      </c>
      <c r="U391" s="32" t="n">
        <f>90235</f>
        <v>90235.0</v>
      </c>
      <c r="V391" s="32" t="n">
        <f>33752925091</f>
        <v>3.3752925091E10</v>
      </c>
      <c r="W391" s="32" t="n">
        <f>8316726391</f>
        <v>8.316726391E9</v>
      </c>
      <c r="X391" s="36" t="n">
        <f>22</f>
        <v>22.0</v>
      </c>
    </row>
    <row r="392">
      <c r="A392" s="27" t="s">
        <v>42</v>
      </c>
      <c r="B392" s="27" t="s">
        <v>1223</v>
      </c>
      <c r="C392" s="27" t="s">
        <v>1224</v>
      </c>
      <c r="D392" s="27" t="s">
        <v>1225</v>
      </c>
      <c r="E392" s="28" t="s">
        <v>46</v>
      </c>
      <c r="F392" s="29" t="s">
        <v>46</v>
      </c>
      <c r="G392" s="30" t="s">
        <v>46</v>
      </c>
      <c r="H392" s="31"/>
      <c r="I392" s="31" t="s">
        <v>47</v>
      </c>
      <c r="J392" s="32" t="n">
        <v>1.0</v>
      </c>
      <c r="K392" s="33" t="n">
        <f>253900</f>
        <v>253900.0</v>
      </c>
      <c r="L392" s="34" t="s">
        <v>48</v>
      </c>
      <c r="M392" s="33" t="n">
        <f>265000</f>
        <v>265000.0</v>
      </c>
      <c r="N392" s="34" t="s">
        <v>51</v>
      </c>
      <c r="O392" s="33" t="n">
        <f>245200</f>
        <v>245200.0</v>
      </c>
      <c r="P392" s="34" t="s">
        <v>63</v>
      </c>
      <c r="Q392" s="33" t="n">
        <f>261200</f>
        <v>261200.0</v>
      </c>
      <c r="R392" s="34" t="s">
        <v>51</v>
      </c>
      <c r="S392" s="35" t="n">
        <f>252790.91</f>
        <v>252790.91</v>
      </c>
      <c r="T392" s="32" t="n">
        <f>50519</f>
        <v>50519.0</v>
      </c>
      <c r="U392" s="32" t="n">
        <f>8853</f>
        <v>8853.0</v>
      </c>
      <c r="V392" s="32" t="n">
        <f>12776980875</f>
        <v>1.2776980875E10</v>
      </c>
      <c r="W392" s="32" t="n">
        <f>2249186975</f>
        <v>2.249186975E9</v>
      </c>
      <c r="X392" s="36" t="n">
        <f>22</f>
        <v>22.0</v>
      </c>
    </row>
    <row r="393">
      <c r="A393" s="27" t="s">
        <v>42</v>
      </c>
      <c r="B393" s="27" t="s">
        <v>1226</v>
      </c>
      <c r="C393" s="27" t="s">
        <v>1227</v>
      </c>
      <c r="D393" s="27" t="s">
        <v>1228</v>
      </c>
      <c r="E393" s="28" t="s">
        <v>46</v>
      </c>
      <c r="F393" s="29" t="s">
        <v>46</v>
      </c>
      <c r="G393" s="30" t="s">
        <v>46</v>
      </c>
      <c r="H393" s="31"/>
      <c r="I393" s="31" t="s">
        <v>47</v>
      </c>
      <c r="J393" s="32" t="n">
        <v>1.0</v>
      </c>
      <c r="K393" s="33" t="n">
        <f>1318</f>
        <v>1318.0</v>
      </c>
      <c r="L393" s="34" t="s">
        <v>48</v>
      </c>
      <c r="M393" s="33" t="n">
        <f>1334</f>
        <v>1334.0</v>
      </c>
      <c r="N393" s="34" t="s">
        <v>55</v>
      </c>
      <c r="O393" s="33" t="n">
        <f>1272</f>
        <v>1272.0</v>
      </c>
      <c r="P393" s="34" t="s">
        <v>67</v>
      </c>
      <c r="Q393" s="33" t="n">
        <f>1294</f>
        <v>1294.0</v>
      </c>
      <c r="R393" s="34" t="s">
        <v>51</v>
      </c>
      <c r="S393" s="35" t="n">
        <f>1293.32</f>
        <v>1293.32</v>
      </c>
      <c r="T393" s="32" t="n">
        <f>16910</f>
        <v>16910.0</v>
      </c>
      <c r="U393" s="32" t="n">
        <f>4</f>
        <v>4.0</v>
      </c>
      <c r="V393" s="32" t="n">
        <f>21859663</f>
        <v>2.1859663E7</v>
      </c>
      <c r="W393" s="32" t="n">
        <f>5144</f>
        <v>5144.0</v>
      </c>
      <c r="X393" s="36" t="n">
        <f>22</f>
        <v>22.0</v>
      </c>
    </row>
    <row r="394">
      <c r="A394" s="27" t="s">
        <v>42</v>
      </c>
      <c r="B394" s="27" t="s">
        <v>1229</v>
      </c>
      <c r="C394" s="27" t="s">
        <v>1230</v>
      </c>
      <c r="D394" s="27" t="s">
        <v>1231</v>
      </c>
      <c r="E394" s="28" t="s">
        <v>46</v>
      </c>
      <c r="F394" s="29" t="s">
        <v>46</v>
      </c>
      <c r="G394" s="30" t="s">
        <v>46</v>
      </c>
      <c r="H394" s="31"/>
      <c r="I394" s="31" t="s">
        <v>47</v>
      </c>
      <c r="J394" s="32" t="n">
        <v>1.0</v>
      </c>
      <c r="K394" s="33" t="n">
        <f>91900</f>
        <v>91900.0</v>
      </c>
      <c r="L394" s="34" t="s">
        <v>48</v>
      </c>
      <c r="M394" s="33" t="n">
        <f>91900</f>
        <v>91900.0</v>
      </c>
      <c r="N394" s="34" t="s">
        <v>48</v>
      </c>
      <c r="O394" s="33" t="n">
        <f>87100</f>
        <v>87100.0</v>
      </c>
      <c r="P394" s="34" t="s">
        <v>106</v>
      </c>
      <c r="Q394" s="33" t="n">
        <f>90900</f>
        <v>90900.0</v>
      </c>
      <c r="R394" s="34" t="s">
        <v>51</v>
      </c>
      <c r="S394" s="35" t="n">
        <f>89850</f>
        <v>89850.0</v>
      </c>
      <c r="T394" s="32" t="n">
        <f>31988</f>
        <v>31988.0</v>
      </c>
      <c r="U394" s="32" t="n">
        <f>5405</f>
        <v>5405.0</v>
      </c>
      <c r="V394" s="32" t="n">
        <f>2867650991</f>
        <v>2.867650991E9</v>
      </c>
      <c r="W394" s="32" t="n">
        <f>484627591</f>
        <v>4.84627591E8</v>
      </c>
      <c r="X394" s="36" t="n">
        <f>22</f>
        <v>22.0</v>
      </c>
    </row>
    <row r="395">
      <c r="A395" s="27" t="s">
        <v>42</v>
      </c>
      <c r="B395" s="27" t="s">
        <v>1232</v>
      </c>
      <c r="C395" s="27" t="s">
        <v>1233</v>
      </c>
      <c r="D395" s="27" t="s">
        <v>1234</v>
      </c>
      <c r="E395" s="28" t="s">
        <v>46</v>
      </c>
      <c r="F395" s="29" t="s">
        <v>46</v>
      </c>
      <c r="G395" s="30" t="s">
        <v>46</v>
      </c>
      <c r="H395" s="31"/>
      <c r="I395" s="31" t="s">
        <v>47</v>
      </c>
      <c r="J395" s="32" t="n">
        <v>1.0</v>
      </c>
      <c r="K395" s="33" t="n">
        <f>136000</f>
        <v>136000.0</v>
      </c>
      <c r="L395" s="34" t="s">
        <v>48</v>
      </c>
      <c r="M395" s="33" t="n">
        <f>138600</f>
        <v>138600.0</v>
      </c>
      <c r="N395" s="34" t="s">
        <v>51</v>
      </c>
      <c r="O395" s="33" t="n">
        <f>131400</f>
        <v>131400.0</v>
      </c>
      <c r="P395" s="34" t="s">
        <v>106</v>
      </c>
      <c r="Q395" s="33" t="n">
        <f>137300</f>
        <v>137300.0</v>
      </c>
      <c r="R395" s="34" t="s">
        <v>51</v>
      </c>
      <c r="S395" s="35" t="n">
        <f>135040.91</f>
        <v>135040.91</v>
      </c>
      <c r="T395" s="32" t="n">
        <f>104844</f>
        <v>104844.0</v>
      </c>
      <c r="U395" s="32" t="n">
        <f>25343</f>
        <v>25343.0</v>
      </c>
      <c r="V395" s="32" t="n">
        <f>14156564567</f>
        <v>1.4156564567E10</v>
      </c>
      <c r="W395" s="32" t="n">
        <f>3428891467</f>
        <v>3.428891467E9</v>
      </c>
      <c r="X395" s="36" t="n">
        <f>22</f>
        <v>22.0</v>
      </c>
    </row>
    <row r="396">
      <c r="A396" s="27" t="s">
        <v>42</v>
      </c>
      <c r="B396" s="27" t="s">
        <v>1235</v>
      </c>
      <c r="C396" s="27" t="s">
        <v>1236</v>
      </c>
      <c r="D396" s="27" t="s">
        <v>1237</v>
      </c>
      <c r="E396" s="28" t="s">
        <v>46</v>
      </c>
      <c r="F396" s="29" t="s">
        <v>46</v>
      </c>
      <c r="G396" s="30" t="s">
        <v>46</v>
      </c>
      <c r="H396" s="31"/>
      <c r="I396" s="31" t="s">
        <v>47</v>
      </c>
      <c r="J396" s="32" t="n">
        <v>1.0</v>
      </c>
      <c r="K396" s="33" t="n">
        <f>177700</f>
        <v>177700.0</v>
      </c>
      <c r="L396" s="34" t="s">
        <v>48</v>
      </c>
      <c r="M396" s="33" t="n">
        <f>178700</f>
        <v>178700.0</v>
      </c>
      <c r="N396" s="34" t="s">
        <v>82</v>
      </c>
      <c r="O396" s="33" t="n">
        <f>170900</f>
        <v>170900.0</v>
      </c>
      <c r="P396" s="34" t="s">
        <v>106</v>
      </c>
      <c r="Q396" s="33" t="n">
        <f>176500</f>
        <v>176500.0</v>
      </c>
      <c r="R396" s="34" t="s">
        <v>51</v>
      </c>
      <c r="S396" s="35" t="n">
        <f>175227.27</f>
        <v>175227.27</v>
      </c>
      <c r="T396" s="32" t="n">
        <f>66045</f>
        <v>66045.0</v>
      </c>
      <c r="U396" s="32" t="n">
        <f>14017</f>
        <v>14017.0</v>
      </c>
      <c r="V396" s="32" t="n">
        <f>11573852575</f>
        <v>1.1573852575E10</v>
      </c>
      <c r="W396" s="32" t="n">
        <f>2461073375</f>
        <v>2.461073375E9</v>
      </c>
      <c r="X396" s="36" t="n">
        <f>22</f>
        <v>22.0</v>
      </c>
    </row>
    <row r="397">
      <c r="A397" s="27" t="s">
        <v>42</v>
      </c>
      <c r="B397" s="27" t="s">
        <v>1238</v>
      </c>
      <c r="C397" s="27" t="s">
        <v>1239</v>
      </c>
      <c r="D397" s="27" t="s">
        <v>1240</v>
      </c>
      <c r="E397" s="28" t="s">
        <v>46</v>
      </c>
      <c r="F397" s="29" t="s">
        <v>46</v>
      </c>
      <c r="G397" s="30" t="s">
        <v>46</v>
      </c>
      <c r="H397" s="31"/>
      <c r="I397" s="31" t="s">
        <v>47</v>
      </c>
      <c r="J397" s="32" t="n">
        <v>1.0</v>
      </c>
      <c r="K397" s="33" t="n">
        <f>102900</f>
        <v>102900.0</v>
      </c>
      <c r="L397" s="34" t="s">
        <v>48</v>
      </c>
      <c r="M397" s="33" t="n">
        <f>103100</f>
        <v>103100.0</v>
      </c>
      <c r="N397" s="34" t="s">
        <v>48</v>
      </c>
      <c r="O397" s="33" t="n">
        <f>97200</f>
        <v>97200.0</v>
      </c>
      <c r="P397" s="34" t="s">
        <v>106</v>
      </c>
      <c r="Q397" s="33" t="n">
        <f>98800</f>
        <v>98800.0</v>
      </c>
      <c r="R397" s="34" t="s">
        <v>51</v>
      </c>
      <c r="S397" s="35" t="n">
        <f>100050</f>
        <v>100050.0</v>
      </c>
      <c r="T397" s="32" t="n">
        <f>118915</f>
        <v>118915.0</v>
      </c>
      <c r="U397" s="32" t="n">
        <f>30583</f>
        <v>30583.0</v>
      </c>
      <c r="V397" s="32" t="n">
        <f>11902214400</f>
        <v>1.19022144E10</v>
      </c>
      <c r="W397" s="32" t="n">
        <f>3062633000</f>
        <v>3.062633E9</v>
      </c>
      <c r="X397" s="36" t="n">
        <f>22</f>
        <v>22.0</v>
      </c>
    </row>
    <row r="398">
      <c r="A398" s="27" t="s">
        <v>42</v>
      </c>
      <c r="B398" s="27" t="s">
        <v>1241</v>
      </c>
      <c r="C398" s="27" t="s">
        <v>1242</v>
      </c>
      <c r="D398" s="27" t="s">
        <v>1243</v>
      </c>
      <c r="E398" s="28" t="s">
        <v>46</v>
      </c>
      <c r="F398" s="29" t="s">
        <v>46</v>
      </c>
      <c r="G398" s="30" t="s">
        <v>46</v>
      </c>
      <c r="H398" s="31"/>
      <c r="I398" s="31" t="s">
        <v>47</v>
      </c>
      <c r="J398" s="32" t="n">
        <v>1.0</v>
      </c>
      <c r="K398" s="33" t="n">
        <f>79700</f>
        <v>79700.0</v>
      </c>
      <c r="L398" s="34" t="s">
        <v>48</v>
      </c>
      <c r="M398" s="33" t="n">
        <f>90400</f>
        <v>90400.0</v>
      </c>
      <c r="N398" s="34" t="s">
        <v>51</v>
      </c>
      <c r="O398" s="33" t="n">
        <f>77600</f>
        <v>77600.0</v>
      </c>
      <c r="P398" s="34" t="s">
        <v>162</v>
      </c>
      <c r="Q398" s="33" t="n">
        <f>90000</f>
        <v>90000.0</v>
      </c>
      <c r="R398" s="34" t="s">
        <v>51</v>
      </c>
      <c r="S398" s="35" t="n">
        <f>83163.64</f>
        <v>83163.64</v>
      </c>
      <c r="T398" s="32" t="n">
        <f>469606</f>
        <v>469606.0</v>
      </c>
      <c r="U398" s="32" t="n">
        <f>155933</f>
        <v>155933.0</v>
      </c>
      <c r="V398" s="32" t="n">
        <f>39188779874</f>
        <v>3.9188779874E10</v>
      </c>
      <c r="W398" s="32" t="n">
        <f>12818457274</f>
        <v>1.2818457274E10</v>
      </c>
      <c r="X398" s="36" t="n">
        <f>22</f>
        <v>22.0</v>
      </c>
    </row>
    <row r="399">
      <c r="A399" s="27" t="s">
        <v>42</v>
      </c>
      <c r="B399" s="27" t="s">
        <v>1244</v>
      </c>
      <c r="C399" s="27" t="s">
        <v>1245</v>
      </c>
      <c r="D399" s="27" t="s">
        <v>1246</v>
      </c>
      <c r="E399" s="28" t="s">
        <v>46</v>
      </c>
      <c r="F399" s="29" t="s">
        <v>46</v>
      </c>
      <c r="G399" s="30" t="s">
        <v>46</v>
      </c>
      <c r="H399" s="31"/>
      <c r="I399" s="31" t="s">
        <v>418</v>
      </c>
      <c r="J399" s="32" t="n">
        <v>1.0</v>
      </c>
      <c r="K399" s="33" t="n">
        <f>148000</f>
        <v>148000.0</v>
      </c>
      <c r="L399" s="34" t="s">
        <v>48</v>
      </c>
      <c r="M399" s="33" t="n">
        <f>148100</f>
        <v>148100.0</v>
      </c>
      <c r="N399" s="34" t="s">
        <v>48</v>
      </c>
      <c r="O399" s="33" t="n">
        <f>142900</f>
        <v>142900.0</v>
      </c>
      <c r="P399" s="34" t="s">
        <v>106</v>
      </c>
      <c r="Q399" s="33" t="n">
        <f>146100</f>
        <v>146100.0</v>
      </c>
      <c r="R399" s="34" t="s">
        <v>51</v>
      </c>
      <c r="S399" s="35" t="n">
        <f>145418.18</f>
        <v>145418.18</v>
      </c>
      <c r="T399" s="32" t="n">
        <f>22075</f>
        <v>22075.0</v>
      </c>
      <c r="U399" s="32" t="n">
        <f>2843</f>
        <v>2843.0</v>
      </c>
      <c r="V399" s="32" t="n">
        <f>3208210971</f>
        <v>3.208210971E9</v>
      </c>
      <c r="W399" s="32" t="n">
        <f>413662871</f>
        <v>4.13662871E8</v>
      </c>
      <c r="X399" s="36" t="n">
        <f>22</f>
        <v>22.0</v>
      </c>
    </row>
    <row r="400">
      <c r="A400" s="27" t="s">
        <v>42</v>
      </c>
      <c r="B400" s="27" t="s">
        <v>1247</v>
      </c>
      <c r="C400" s="27" t="s">
        <v>1248</v>
      </c>
      <c r="D400" s="27" t="s">
        <v>1249</v>
      </c>
      <c r="E400" s="28" t="s">
        <v>46</v>
      </c>
      <c r="F400" s="29" t="s">
        <v>46</v>
      </c>
      <c r="G400" s="30" t="s">
        <v>46</v>
      </c>
      <c r="H400" s="31"/>
      <c r="I400" s="31" t="s">
        <v>47</v>
      </c>
      <c r="J400" s="32" t="n">
        <v>1.0</v>
      </c>
      <c r="K400" s="33" t="n">
        <f>119800</f>
        <v>119800.0</v>
      </c>
      <c r="L400" s="34" t="s">
        <v>48</v>
      </c>
      <c r="M400" s="33" t="n">
        <f>119800</f>
        <v>119800.0</v>
      </c>
      <c r="N400" s="34" t="s">
        <v>48</v>
      </c>
      <c r="O400" s="33" t="n">
        <f>114600</f>
        <v>114600.0</v>
      </c>
      <c r="P400" s="34" t="s">
        <v>200</v>
      </c>
      <c r="Q400" s="33" t="n">
        <f>117700</f>
        <v>117700.0</v>
      </c>
      <c r="R400" s="34" t="s">
        <v>51</v>
      </c>
      <c r="S400" s="35" t="n">
        <f>116118.18</f>
        <v>116118.18</v>
      </c>
      <c r="T400" s="32" t="n">
        <f>26949</f>
        <v>26949.0</v>
      </c>
      <c r="U400" s="32" t="n">
        <f>3262</f>
        <v>3262.0</v>
      </c>
      <c r="V400" s="32" t="n">
        <f>3127266134</f>
        <v>3.127266134E9</v>
      </c>
      <c r="W400" s="32" t="n">
        <f>377171434</f>
        <v>3.77171434E8</v>
      </c>
      <c r="X400" s="36" t="n">
        <f>22</f>
        <v>22.0</v>
      </c>
    </row>
    <row r="401">
      <c r="A401" s="27" t="s">
        <v>42</v>
      </c>
      <c r="B401" s="27" t="s">
        <v>1250</v>
      </c>
      <c r="C401" s="27" t="s">
        <v>1251</v>
      </c>
      <c r="D401" s="27" t="s">
        <v>1252</v>
      </c>
      <c r="E401" s="28" t="s">
        <v>46</v>
      </c>
      <c r="F401" s="29" t="s">
        <v>46</v>
      </c>
      <c r="G401" s="30" t="s">
        <v>46</v>
      </c>
      <c r="H401" s="31"/>
      <c r="I401" s="31" t="s">
        <v>47</v>
      </c>
      <c r="J401" s="32" t="n">
        <v>1.0</v>
      </c>
      <c r="K401" s="33" t="n">
        <f>117100</f>
        <v>117100.0</v>
      </c>
      <c r="L401" s="34" t="s">
        <v>48</v>
      </c>
      <c r="M401" s="33" t="n">
        <f>118000</f>
        <v>118000.0</v>
      </c>
      <c r="N401" s="34" t="s">
        <v>63</v>
      </c>
      <c r="O401" s="33" t="n">
        <f>113800</f>
        <v>113800.0</v>
      </c>
      <c r="P401" s="34" t="s">
        <v>162</v>
      </c>
      <c r="Q401" s="33" t="n">
        <f>116500</f>
        <v>116500.0</v>
      </c>
      <c r="R401" s="34" t="s">
        <v>51</v>
      </c>
      <c r="S401" s="35" t="n">
        <f>116081.82</f>
        <v>116081.82</v>
      </c>
      <c r="T401" s="32" t="n">
        <f>22591</f>
        <v>22591.0</v>
      </c>
      <c r="U401" s="32" t="n">
        <f>3675</f>
        <v>3675.0</v>
      </c>
      <c r="V401" s="32" t="n">
        <f>2620931124</f>
        <v>2.620931124E9</v>
      </c>
      <c r="W401" s="32" t="n">
        <f>426591924</f>
        <v>4.26591924E8</v>
      </c>
      <c r="X401" s="36" t="n">
        <f>22</f>
        <v>22.0</v>
      </c>
    </row>
    <row r="402">
      <c r="A402" s="27" t="s">
        <v>42</v>
      </c>
      <c r="B402" s="27" t="s">
        <v>1253</v>
      </c>
      <c r="C402" s="27" t="s">
        <v>1254</v>
      </c>
      <c r="D402" s="27" t="s">
        <v>1255</v>
      </c>
      <c r="E402" s="28" t="s">
        <v>46</v>
      </c>
      <c r="F402" s="29" t="s">
        <v>46</v>
      </c>
      <c r="G402" s="30" t="s">
        <v>46</v>
      </c>
      <c r="H402" s="31"/>
      <c r="I402" s="31" t="s">
        <v>418</v>
      </c>
      <c r="J402" s="32" t="n">
        <v>1.0</v>
      </c>
      <c r="K402" s="33" t="n">
        <f>12965</f>
        <v>12965.0</v>
      </c>
      <c r="L402" s="34" t="s">
        <v>48</v>
      </c>
      <c r="M402" s="33" t="n">
        <f>13375</f>
        <v>13375.0</v>
      </c>
      <c r="N402" s="34" t="s">
        <v>82</v>
      </c>
      <c r="O402" s="33" t="n">
        <f>12700</f>
        <v>12700.0</v>
      </c>
      <c r="P402" s="34" t="s">
        <v>48</v>
      </c>
      <c r="Q402" s="33" t="n">
        <f>13220</f>
        <v>13220.0</v>
      </c>
      <c r="R402" s="34" t="s">
        <v>51</v>
      </c>
      <c r="S402" s="35" t="n">
        <f>13074.32</f>
        <v>13074.32</v>
      </c>
      <c r="T402" s="32" t="n">
        <f>53383</f>
        <v>53383.0</v>
      </c>
      <c r="U402" s="32" t="str">
        <f>"－"</f>
        <v>－</v>
      </c>
      <c r="V402" s="32" t="n">
        <f>698300175</f>
        <v>6.98300175E8</v>
      </c>
      <c r="W402" s="32" t="str">
        <f>"－"</f>
        <v>－</v>
      </c>
      <c r="X402" s="36" t="n">
        <f>22</f>
        <v>22.0</v>
      </c>
    </row>
    <row r="403">
      <c r="A403" s="27" t="s">
        <v>42</v>
      </c>
      <c r="B403" s="27" t="s">
        <v>1256</v>
      </c>
      <c r="C403" s="27" t="s">
        <v>1257</v>
      </c>
      <c r="D403" s="27" t="s">
        <v>1258</v>
      </c>
      <c r="E403" s="28" t="s">
        <v>46</v>
      </c>
      <c r="F403" s="29" t="s">
        <v>46</v>
      </c>
      <c r="G403" s="30" t="s">
        <v>46</v>
      </c>
      <c r="H403" s="31"/>
      <c r="I403" s="31" t="s">
        <v>47</v>
      </c>
      <c r="J403" s="32" t="n">
        <v>1.0</v>
      </c>
      <c r="K403" s="33" t="n">
        <f>171000</f>
        <v>171000.0</v>
      </c>
      <c r="L403" s="34" t="s">
        <v>48</v>
      </c>
      <c r="M403" s="33" t="n">
        <f>174500</f>
        <v>174500.0</v>
      </c>
      <c r="N403" s="34" t="s">
        <v>51</v>
      </c>
      <c r="O403" s="33" t="n">
        <f>164300</f>
        <v>164300.0</v>
      </c>
      <c r="P403" s="34" t="s">
        <v>106</v>
      </c>
      <c r="Q403" s="33" t="n">
        <f>173100</f>
        <v>173100.0</v>
      </c>
      <c r="R403" s="34" t="s">
        <v>51</v>
      </c>
      <c r="S403" s="35" t="n">
        <f>169609.09</f>
        <v>169609.09</v>
      </c>
      <c r="T403" s="32" t="n">
        <f>223621</f>
        <v>223621.0</v>
      </c>
      <c r="U403" s="32" t="n">
        <f>50944</f>
        <v>50944.0</v>
      </c>
      <c r="V403" s="32" t="n">
        <f>37887013579</f>
        <v>3.7887013579E10</v>
      </c>
      <c r="W403" s="32" t="n">
        <f>8652552579</f>
        <v>8.652552579E9</v>
      </c>
      <c r="X403" s="36" t="n">
        <f>22</f>
        <v>22.0</v>
      </c>
    </row>
    <row r="404">
      <c r="A404" s="27" t="s">
        <v>42</v>
      </c>
      <c r="B404" s="27" t="s">
        <v>1259</v>
      </c>
      <c r="C404" s="27" t="s">
        <v>1260</v>
      </c>
      <c r="D404" s="27" t="s">
        <v>1261</v>
      </c>
      <c r="E404" s="28" t="s">
        <v>46</v>
      </c>
      <c r="F404" s="29" t="s">
        <v>46</v>
      </c>
      <c r="G404" s="30" t="s">
        <v>46</v>
      </c>
      <c r="H404" s="31"/>
      <c r="I404" s="31" t="s">
        <v>418</v>
      </c>
      <c r="J404" s="32" t="n">
        <v>1.0</v>
      </c>
      <c r="K404" s="33" t="n">
        <f>128800</f>
        <v>128800.0</v>
      </c>
      <c r="L404" s="34" t="s">
        <v>48</v>
      </c>
      <c r="M404" s="33" t="n">
        <f>128800</f>
        <v>128800.0</v>
      </c>
      <c r="N404" s="34" t="s">
        <v>48</v>
      </c>
      <c r="O404" s="33" t="n">
        <f>124600</f>
        <v>124600.0</v>
      </c>
      <c r="P404" s="34" t="s">
        <v>67</v>
      </c>
      <c r="Q404" s="33" t="n">
        <f>127200</f>
        <v>127200.0</v>
      </c>
      <c r="R404" s="34" t="s">
        <v>51</v>
      </c>
      <c r="S404" s="35" t="n">
        <f>126463.64</f>
        <v>126463.64</v>
      </c>
      <c r="T404" s="32" t="n">
        <f>33764</f>
        <v>33764.0</v>
      </c>
      <c r="U404" s="32" t="n">
        <f>3296</f>
        <v>3296.0</v>
      </c>
      <c r="V404" s="32" t="n">
        <f>4272907716</f>
        <v>4.272907716E9</v>
      </c>
      <c r="W404" s="32" t="n">
        <f>416619016</f>
        <v>4.16619016E8</v>
      </c>
      <c r="X404" s="36" t="n">
        <f>22</f>
        <v>22.0</v>
      </c>
    </row>
    <row r="405">
      <c r="A405" s="27" t="s">
        <v>42</v>
      </c>
      <c r="B405" s="27" t="s">
        <v>1262</v>
      </c>
      <c r="C405" s="27" t="s">
        <v>1263</v>
      </c>
      <c r="D405" s="27" t="s">
        <v>1264</v>
      </c>
      <c r="E405" s="28" t="s">
        <v>46</v>
      </c>
      <c r="F405" s="29" t="s">
        <v>46</v>
      </c>
      <c r="G405" s="30" t="s">
        <v>46</v>
      </c>
      <c r="H405" s="31"/>
      <c r="I405" s="31" t="s">
        <v>47</v>
      </c>
      <c r="J405" s="32" t="n">
        <v>1.0</v>
      </c>
      <c r="K405" s="33" t="n">
        <f>156600</f>
        <v>156600.0</v>
      </c>
      <c r="L405" s="34" t="s">
        <v>48</v>
      </c>
      <c r="M405" s="33" t="n">
        <f>160200</f>
        <v>160200.0</v>
      </c>
      <c r="N405" s="34" t="s">
        <v>82</v>
      </c>
      <c r="O405" s="33" t="n">
        <f>151700</f>
        <v>151700.0</v>
      </c>
      <c r="P405" s="34" t="s">
        <v>90</v>
      </c>
      <c r="Q405" s="33" t="n">
        <f>158600</f>
        <v>158600.0</v>
      </c>
      <c r="R405" s="34" t="s">
        <v>51</v>
      </c>
      <c r="S405" s="35" t="n">
        <f>155736.36</f>
        <v>155736.36</v>
      </c>
      <c r="T405" s="32" t="n">
        <f>112995</f>
        <v>112995.0</v>
      </c>
      <c r="U405" s="32" t="n">
        <f>25730</f>
        <v>25730.0</v>
      </c>
      <c r="V405" s="32" t="n">
        <f>17566161705</f>
        <v>1.7566161705E10</v>
      </c>
      <c r="W405" s="32" t="n">
        <f>4004019505</f>
        <v>4.004019505E9</v>
      </c>
      <c r="X405" s="36" t="n">
        <f>22</f>
        <v>22.0</v>
      </c>
    </row>
    <row r="406">
      <c r="A406" s="27" t="s">
        <v>42</v>
      </c>
      <c r="B406" s="27" t="s">
        <v>1265</v>
      </c>
      <c r="C406" s="27" t="s">
        <v>1266</v>
      </c>
      <c r="D406" s="27" t="s">
        <v>1267</v>
      </c>
      <c r="E406" s="28" t="s">
        <v>46</v>
      </c>
      <c r="F406" s="29" t="s">
        <v>46</v>
      </c>
      <c r="G406" s="30" t="s">
        <v>46</v>
      </c>
      <c r="H406" s="31"/>
      <c r="I406" s="31" t="s">
        <v>47</v>
      </c>
      <c r="J406" s="32" t="n">
        <v>1.0</v>
      </c>
      <c r="K406" s="33" t="n">
        <f>62500</f>
        <v>62500.0</v>
      </c>
      <c r="L406" s="34" t="s">
        <v>48</v>
      </c>
      <c r="M406" s="33" t="n">
        <f>62700</f>
        <v>62700.0</v>
      </c>
      <c r="N406" s="34" t="s">
        <v>48</v>
      </c>
      <c r="O406" s="33" t="n">
        <f>59700</f>
        <v>59700.0</v>
      </c>
      <c r="P406" s="34" t="s">
        <v>106</v>
      </c>
      <c r="Q406" s="33" t="n">
        <f>61700</f>
        <v>61700.0</v>
      </c>
      <c r="R406" s="34" t="s">
        <v>51</v>
      </c>
      <c r="S406" s="35" t="n">
        <f>61222.73</f>
        <v>61222.73</v>
      </c>
      <c r="T406" s="32" t="n">
        <f>158447</f>
        <v>158447.0</v>
      </c>
      <c r="U406" s="32" t="n">
        <f>39045</f>
        <v>39045.0</v>
      </c>
      <c r="V406" s="32" t="n">
        <f>9700712254</f>
        <v>9.700712254E9</v>
      </c>
      <c r="W406" s="32" t="n">
        <f>2391432554</f>
        <v>2.391432554E9</v>
      </c>
      <c r="X406" s="36" t="n">
        <f>22</f>
        <v>22.0</v>
      </c>
    </row>
    <row r="407">
      <c r="A407" s="27" t="s">
        <v>42</v>
      </c>
      <c r="B407" s="27" t="s">
        <v>1268</v>
      </c>
      <c r="C407" s="27" t="s">
        <v>1269</v>
      </c>
      <c r="D407" s="27" t="s">
        <v>1270</v>
      </c>
      <c r="E407" s="28" t="s">
        <v>46</v>
      </c>
      <c r="F407" s="29" t="s">
        <v>46</v>
      </c>
      <c r="G407" s="30" t="s">
        <v>46</v>
      </c>
      <c r="H407" s="31"/>
      <c r="I407" s="31" t="s">
        <v>47</v>
      </c>
      <c r="J407" s="32" t="n">
        <v>1.0</v>
      </c>
      <c r="K407" s="33" t="n">
        <f>3450</f>
        <v>3450.0</v>
      </c>
      <c r="L407" s="34" t="s">
        <v>48</v>
      </c>
      <c r="M407" s="33" t="n">
        <f>3570</f>
        <v>3570.0</v>
      </c>
      <c r="N407" s="34" t="s">
        <v>362</v>
      </c>
      <c r="O407" s="33" t="n">
        <f>3145</f>
        <v>3145.0</v>
      </c>
      <c r="P407" s="34" t="s">
        <v>67</v>
      </c>
      <c r="Q407" s="33" t="n">
        <f>3404</f>
        <v>3404.0</v>
      </c>
      <c r="R407" s="34" t="s">
        <v>51</v>
      </c>
      <c r="S407" s="35" t="n">
        <f>3389.05</f>
        <v>3389.05</v>
      </c>
      <c r="T407" s="32" t="n">
        <f>491310</f>
        <v>491310.0</v>
      </c>
      <c r="U407" s="32" t="n">
        <f>131</f>
        <v>131.0</v>
      </c>
      <c r="V407" s="32" t="n">
        <f>1673730218</f>
        <v>1.673730218E9</v>
      </c>
      <c r="W407" s="32" t="n">
        <f>437059</f>
        <v>437059.0</v>
      </c>
      <c r="X407" s="36" t="n">
        <f>22</f>
        <v>22.0</v>
      </c>
    </row>
    <row r="408">
      <c r="A408" s="27" t="s">
        <v>42</v>
      </c>
      <c r="B408" s="27" t="s">
        <v>1271</v>
      </c>
      <c r="C408" s="27" t="s">
        <v>1272</v>
      </c>
      <c r="D408" s="27" t="s">
        <v>1273</v>
      </c>
      <c r="E408" s="28" t="s">
        <v>46</v>
      </c>
      <c r="F408" s="29" t="s">
        <v>46</v>
      </c>
      <c r="G408" s="30" t="s">
        <v>46</v>
      </c>
      <c r="H408" s="31"/>
      <c r="I408" s="31" t="s">
        <v>418</v>
      </c>
      <c r="J408" s="32" t="n">
        <v>1.0</v>
      </c>
      <c r="K408" s="33" t="n">
        <f>114700</f>
        <v>114700.0</v>
      </c>
      <c r="L408" s="34" t="s">
        <v>48</v>
      </c>
      <c r="M408" s="33" t="n">
        <f>114900</f>
        <v>114900.0</v>
      </c>
      <c r="N408" s="34" t="s">
        <v>48</v>
      </c>
      <c r="O408" s="33" t="n">
        <f>109200</f>
        <v>109200.0</v>
      </c>
      <c r="P408" s="34" t="s">
        <v>51</v>
      </c>
      <c r="Q408" s="33" t="n">
        <f>109200</f>
        <v>109200.0</v>
      </c>
      <c r="R408" s="34" t="s">
        <v>51</v>
      </c>
      <c r="S408" s="35" t="n">
        <f>111572.73</f>
        <v>111572.73</v>
      </c>
      <c r="T408" s="32" t="n">
        <f>27196</f>
        <v>27196.0</v>
      </c>
      <c r="U408" s="32" t="n">
        <f>2561</f>
        <v>2561.0</v>
      </c>
      <c r="V408" s="32" t="n">
        <f>3030567232</f>
        <v>3.030567232E9</v>
      </c>
      <c r="W408" s="32" t="n">
        <f>284613832</f>
        <v>2.84613832E8</v>
      </c>
      <c r="X408" s="36" t="n">
        <f>22</f>
        <v>22.0</v>
      </c>
    </row>
    <row r="409">
      <c r="A409" s="27" t="s">
        <v>42</v>
      </c>
      <c r="B409" s="27" t="s">
        <v>1274</v>
      </c>
      <c r="C409" s="27" t="s">
        <v>1275</v>
      </c>
      <c r="D409" s="27" t="s">
        <v>1276</v>
      </c>
      <c r="E409" s="28" t="s">
        <v>46</v>
      </c>
      <c r="F409" s="29" t="s">
        <v>46</v>
      </c>
      <c r="G409" s="30" t="s">
        <v>46</v>
      </c>
      <c r="H409" s="31"/>
      <c r="I409" s="31" t="s">
        <v>47</v>
      </c>
      <c r="J409" s="32" t="n">
        <v>1.0</v>
      </c>
      <c r="K409" s="33" t="n">
        <f>121400</f>
        <v>121400.0</v>
      </c>
      <c r="L409" s="34" t="s">
        <v>48</v>
      </c>
      <c r="M409" s="33" t="n">
        <f>123600</f>
        <v>123600.0</v>
      </c>
      <c r="N409" s="34" t="s">
        <v>82</v>
      </c>
      <c r="O409" s="33" t="n">
        <f>117000</f>
        <v>117000.0</v>
      </c>
      <c r="P409" s="34" t="s">
        <v>106</v>
      </c>
      <c r="Q409" s="33" t="n">
        <f>122100</f>
        <v>122100.0</v>
      </c>
      <c r="R409" s="34" t="s">
        <v>51</v>
      </c>
      <c r="S409" s="35" t="n">
        <f>120127.27</f>
        <v>120127.27</v>
      </c>
      <c r="T409" s="32" t="n">
        <f>224635</f>
        <v>224635.0</v>
      </c>
      <c r="U409" s="32" t="n">
        <f>50613</f>
        <v>50613.0</v>
      </c>
      <c r="V409" s="32" t="n">
        <f>26976113126</f>
        <v>2.6976113126E10</v>
      </c>
      <c r="W409" s="32" t="n">
        <f>6081758526</f>
        <v>6.081758526E9</v>
      </c>
      <c r="X409" s="36" t="n">
        <f>22</f>
        <v>22.0</v>
      </c>
    </row>
    <row r="410">
      <c r="A410" s="27" t="s">
        <v>42</v>
      </c>
      <c r="B410" s="27" t="s">
        <v>1277</v>
      </c>
      <c r="C410" s="27" t="s">
        <v>1278</v>
      </c>
      <c r="D410" s="27" t="s">
        <v>1279</v>
      </c>
      <c r="E410" s="28" t="s">
        <v>46</v>
      </c>
      <c r="F410" s="29" t="s">
        <v>46</v>
      </c>
      <c r="G410" s="30" t="s">
        <v>46</v>
      </c>
      <c r="H410" s="31"/>
      <c r="I410" s="31" t="s">
        <v>418</v>
      </c>
      <c r="J410" s="32" t="n">
        <v>1.0</v>
      </c>
      <c r="K410" s="33" t="n">
        <f>79500</f>
        <v>79500.0</v>
      </c>
      <c r="L410" s="34" t="s">
        <v>48</v>
      </c>
      <c r="M410" s="33" t="n">
        <f>81300</f>
        <v>81300.0</v>
      </c>
      <c r="N410" s="34" t="s">
        <v>48</v>
      </c>
      <c r="O410" s="33" t="n">
        <f>74400</f>
        <v>74400.0</v>
      </c>
      <c r="P410" s="34" t="s">
        <v>362</v>
      </c>
      <c r="Q410" s="33" t="n">
        <f>76000</f>
        <v>76000.0</v>
      </c>
      <c r="R410" s="34" t="s">
        <v>51</v>
      </c>
      <c r="S410" s="35" t="n">
        <f>75809.09</f>
        <v>75809.09</v>
      </c>
      <c r="T410" s="32" t="n">
        <f>144724</f>
        <v>144724.0</v>
      </c>
      <c r="U410" s="32" t="n">
        <f>25070</f>
        <v>25070.0</v>
      </c>
      <c r="V410" s="32" t="n">
        <f>11274597175</f>
        <v>1.1274597175E10</v>
      </c>
      <c r="W410" s="32" t="n">
        <f>2017577675</f>
        <v>2.017577675E9</v>
      </c>
      <c r="X410" s="36" t="n">
        <f>22</f>
        <v>22.0</v>
      </c>
    </row>
    <row r="411">
      <c r="A411" s="27" t="s">
        <v>42</v>
      </c>
      <c r="B411" s="27" t="s">
        <v>1280</v>
      </c>
      <c r="C411" s="27" t="s">
        <v>1281</v>
      </c>
      <c r="D411" s="27" t="s">
        <v>1282</v>
      </c>
      <c r="E411" s="28" t="s">
        <v>46</v>
      </c>
      <c r="F411" s="29" t="s">
        <v>46</v>
      </c>
      <c r="G411" s="30" t="s">
        <v>46</v>
      </c>
      <c r="H411" s="31"/>
      <c r="I411" s="31" t="s">
        <v>47</v>
      </c>
      <c r="J411" s="32" t="n">
        <v>1.0</v>
      </c>
      <c r="K411" s="33" t="n">
        <f>50400</f>
        <v>50400.0</v>
      </c>
      <c r="L411" s="34" t="s">
        <v>48</v>
      </c>
      <c r="M411" s="33" t="n">
        <f>51100</f>
        <v>51100.0</v>
      </c>
      <c r="N411" s="34" t="s">
        <v>51</v>
      </c>
      <c r="O411" s="33" t="n">
        <f>48650</f>
        <v>48650.0</v>
      </c>
      <c r="P411" s="34" t="s">
        <v>362</v>
      </c>
      <c r="Q411" s="33" t="n">
        <f>50400</f>
        <v>50400.0</v>
      </c>
      <c r="R411" s="34" t="s">
        <v>51</v>
      </c>
      <c r="S411" s="35" t="n">
        <f>49859.09</f>
        <v>49859.09</v>
      </c>
      <c r="T411" s="32" t="n">
        <f>103618</f>
        <v>103618.0</v>
      </c>
      <c r="U411" s="32" t="n">
        <f>22121</f>
        <v>22121.0</v>
      </c>
      <c r="V411" s="32" t="n">
        <f>5158360320</f>
        <v>5.15836032E9</v>
      </c>
      <c r="W411" s="32" t="n">
        <f>1100758770</f>
        <v>1.10075877E9</v>
      </c>
      <c r="X411" s="36" t="n">
        <f>22</f>
        <v>22.0</v>
      </c>
    </row>
    <row r="412">
      <c r="A412" s="27" t="s">
        <v>42</v>
      </c>
      <c r="B412" s="27" t="s">
        <v>1283</v>
      </c>
      <c r="C412" s="27" t="s">
        <v>1284</v>
      </c>
      <c r="D412" s="27" t="s">
        <v>1285</v>
      </c>
      <c r="E412" s="28" t="s">
        <v>46</v>
      </c>
      <c r="F412" s="29" t="s">
        <v>46</v>
      </c>
      <c r="G412" s="30" t="s">
        <v>46</v>
      </c>
      <c r="H412" s="31"/>
      <c r="I412" s="31" t="s">
        <v>47</v>
      </c>
      <c r="J412" s="32" t="n">
        <v>1.0</v>
      </c>
      <c r="K412" s="33" t="n">
        <f>131500</f>
        <v>131500.0</v>
      </c>
      <c r="L412" s="34" t="s">
        <v>48</v>
      </c>
      <c r="M412" s="33" t="n">
        <f>134400</f>
        <v>134400.0</v>
      </c>
      <c r="N412" s="34" t="s">
        <v>49</v>
      </c>
      <c r="O412" s="33" t="n">
        <f>126200</f>
        <v>126200.0</v>
      </c>
      <c r="P412" s="34" t="s">
        <v>106</v>
      </c>
      <c r="Q412" s="33" t="n">
        <f>132900</f>
        <v>132900.0</v>
      </c>
      <c r="R412" s="34" t="s">
        <v>51</v>
      </c>
      <c r="S412" s="35" t="n">
        <f>130586.36</f>
        <v>130586.36</v>
      </c>
      <c r="T412" s="32" t="n">
        <f>79170</f>
        <v>79170.0</v>
      </c>
      <c r="U412" s="32" t="n">
        <f>16903</f>
        <v>16903.0</v>
      </c>
      <c r="V412" s="32" t="n">
        <f>10326028092</f>
        <v>1.0326028092E10</v>
      </c>
      <c r="W412" s="32" t="n">
        <f>2205731692</f>
        <v>2.205731692E9</v>
      </c>
      <c r="X412" s="36" t="n">
        <f>22</f>
        <v>22.0</v>
      </c>
    </row>
    <row r="413">
      <c r="A413" s="27" t="s">
        <v>42</v>
      </c>
      <c r="B413" s="27" t="s">
        <v>1286</v>
      </c>
      <c r="C413" s="27" t="s">
        <v>1287</v>
      </c>
      <c r="D413" s="27" t="s">
        <v>1288</v>
      </c>
      <c r="E413" s="28" t="s">
        <v>46</v>
      </c>
      <c r="F413" s="29" t="s">
        <v>46</v>
      </c>
      <c r="G413" s="30" t="s">
        <v>46</v>
      </c>
      <c r="H413" s="31"/>
      <c r="I413" s="31" t="s">
        <v>47</v>
      </c>
      <c r="J413" s="32" t="n">
        <v>1.0</v>
      </c>
      <c r="K413" s="33" t="n">
        <f>165700</f>
        <v>165700.0</v>
      </c>
      <c r="L413" s="34" t="s">
        <v>48</v>
      </c>
      <c r="M413" s="33" t="n">
        <f>173800</f>
        <v>173800.0</v>
      </c>
      <c r="N413" s="34" t="s">
        <v>49</v>
      </c>
      <c r="O413" s="33" t="n">
        <f>162400</f>
        <v>162400.0</v>
      </c>
      <c r="P413" s="34" t="s">
        <v>106</v>
      </c>
      <c r="Q413" s="33" t="n">
        <f>168600</f>
        <v>168600.0</v>
      </c>
      <c r="R413" s="34" t="s">
        <v>51</v>
      </c>
      <c r="S413" s="35" t="n">
        <f>167772.73</f>
        <v>167772.73</v>
      </c>
      <c r="T413" s="32" t="n">
        <f>59020</f>
        <v>59020.0</v>
      </c>
      <c r="U413" s="32" t="n">
        <f>12372</f>
        <v>12372.0</v>
      </c>
      <c r="V413" s="32" t="n">
        <f>9892735182</f>
        <v>9.892735182E9</v>
      </c>
      <c r="W413" s="32" t="n">
        <f>2069611582</f>
        <v>2.069611582E9</v>
      </c>
      <c r="X413" s="36" t="n">
        <f>22</f>
        <v>22.0</v>
      </c>
    </row>
    <row r="414">
      <c r="A414" s="27" t="s">
        <v>42</v>
      </c>
      <c r="B414" s="27" t="s">
        <v>1289</v>
      </c>
      <c r="C414" s="27" t="s">
        <v>1290</v>
      </c>
      <c r="D414" s="27" t="s">
        <v>1291</v>
      </c>
      <c r="E414" s="28" t="s">
        <v>46</v>
      </c>
      <c r="F414" s="29" t="s">
        <v>46</v>
      </c>
      <c r="G414" s="30" t="s">
        <v>46</v>
      </c>
      <c r="H414" s="31"/>
      <c r="I414" s="31" t="s">
        <v>418</v>
      </c>
      <c r="J414" s="32" t="n">
        <v>1.0</v>
      </c>
      <c r="K414" s="33" t="n">
        <f>117900</f>
        <v>117900.0</v>
      </c>
      <c r="L414" s="34" t="s">
        <v>48</v>
      </c>
      <c r="M414" s="33" t="n">
        <f>117900</f>
        <v>117900.0</v>
      </c>
      <c r="N414" s="34" t="s">
        <v>48</v>
      </c>
      <c r="O414" s="33" t="n">
        <f>114400</f>
        <v>114400.0</v>
      </c>
      <c r="P414" s="34" t="s">
        <v>362</v>
      </c>
      <c r="Q414" s="33" t="n">
        <f>116200</f>
        <v>116200.0</v>
      </c>
      <c r="R414" s="34" t="s">
        <v>51</v>
      </c>
      <c r="S414" s="35" t="n">
        <f>115745.45</f>
        <v>115745.45</v>
      </c>
      <c r="T414" s="32" t="n">
        <f>19551</f>
        <v>19551.0</v>
      </c>
      <c r="U414" s="32" t="n">
        <f>1871</f>
        <v>1871.0</v>
      </c>
      <c r="V414" s="32" t="n">
        <f>2262873799</f>
        <v>2.262873799E9</v>
      </c>
      <c r="W414" s="32" t="n">
        <f>215409499</f>
        <v>2.15409499E8</v>
      </c>
      <c r="X414" s="36" t="n">
        <f>22</f>
        <v>22.0</v>
      </c>
    </row>
    <row r="415">
      <c r="A415" s="27" t="s">
        <v>42</v>
      </c>
      <c r="B415" s="27" t="s">
        <v>1292</v>
      </c>
      <c r="C415" s="27" t="s">
        <v>1293</v>
      </c>
      <c r="D415" s="27" t="s">
        <v>1294</v>
      </c>
      <c r="E415" s="28" t="s">
        <v>46</v>
      </c>
      <c r="F415" s="29" t="s">
        <v>46</v>
      </c>
      <c r="G415" s="30" t="s">
        <v>46</v>
      </c>
      <c r="H415" s="31"/>
      <c r="I415" s="31" t="s">
        <v>47</v>
      </c>
      <c r="J415" s="32" t="n">
        <v>10.0</v>
      </c>
      <c r="K415" s="33" t="n">
        <f>245.9</f>
        <v>245.9</v>
      </c>
      <c r="L415" s="34" t="s">
        <v>48</v>
      </c>
      <c r="M415" s="33" t="n">
        <f>252.9</f>
        <v>252.9</v>
      </c>
      <c r="N415" s="34" t="s">
        <v>51</v>
      </c>
      <c r="O415" s="33" t="n">
        <f>240</f>
        <v>240.0</v>
      </c>
      <c r="P415" s="34" t="s">
        <v>67</v>
      </c>
      <c r="Q415" s="33" t="n">
        <f>248.1</f>
        <v>248.1</v>
      </c>
      <c r="R415" s="34" t="s">
        <v>51</v>
      </c>
      <c r="S415" s="35" t="n">
        <f>245.89</f>
        <v>245.89</v>
      </c>
      <c r="T415" s="32" t="n">
        <f>826560</f>
        <v>826560.0</v>
      </c>
      <c r="U415" s="32" t="n">
        <f>160</f>
        <v>160.0</v>
      </c>
      <c r="V415" s="32" t="n">
        <f>203757461</f>
        <v>2.03757461E8</v>
      </c>
      <c r="W415" s="32" t="n">
        <f>40576</f>
        <v>40576.0</v>
      </c>
      <c r="X415" s="36" t="n">
        <f>22</f>
        <v>22.0</v>
      </c>
    </row>
    <row r="416">
      <c r="A416" s="27" t="s">
        <v>42</v>
      </c>
      <c r="B416" s="27" t="s">
        <v>1295</v>
      </c>
      <c r="C416" s="27" t="s">
        <v>1296</v>
      </c>
      <c r="D416" s="27" t="s">
        <v>1297</v>
      </c>
      <c r="E416" s="28" t="s">
        <v>46</v>
      </c>
      <c r="F416" s="29" t="s">
        <v>46</v>
      </c>
      <c r="G416" s="30" t="s">
        <v>46</v>
      </c>
      <c r="H416" s="31"/>
      <c r="I416" s="31" t="s">
        <v>47</v>
      </c>
      <c r="J416" s="32" t="n">
        <v>1.0</v>
      </c>
      <c r="K416" s="33" t="n">
        <f>94600</f>
        <v>94600.0</v>
      </c>
      <c r="L416" s="34" t="s">
        <v>48</v>
      </c>
      <c r="M416" s="33" t="n">
        <f>94900</f>
        <v>94900.0</v>
      </c>
      <c r="N416" s="34" t="s">
        <v>48</v>
      </c>
      <c r="O416" s="33" t="n">
        <f>92000</f>
        <v>92000.0</v>
      </c>
      <c r="P416" s="34" t="s">
        <v>106</v>
      </c>
      <c r="Q416" s="33" t="n">
        <f>93500</f>
        <v>93500.0</v>
      </c>
      <c r="R416" s="34" t="s">
        <v>51</v>
      </c>
      <c r="S416" s="35" t="n">
        <f>93250</f>
        <v>93250.0</v>
      </c>
      <c r="T416" s="32" t="n">
        <f>77802</f>
        <v>77802.0</v>
      </c>
      <c r="U416" s="32" t="n">
        <f>10015</f>
        <v>10015.0</v>
      </c>
      <c r="V416" s="32" t="n">
        <f>7250277049</f>
        <v>7.250277049E9</v>
      </c>
      <c r="W416" s="32" t="n">
        <f>930209949</f>
        <v>9.30209949E8</v>
      </c>
      <c r="X416" s="36" t="n">
        <f>22</f>
        <v>22.0</v>
      </c>
    </row>
    <row r="417">
      <c r="A417" s="27" t="s">
        <v>42</v>
      </c>
      <c r="B417" s="27" t="s">
        <v>1298</v>
      </c>
      <c r="C417" s="27" t="s">
        <v>1299</v>
      </c>
      <c r="D417" s="27" t="s">
        <v>1300</v>
      </c>
      <c r="E417" s="28" t="s">
        <v>46</v>
      </c>
      <c r="F417" s="29" t="s">
        <v>46</v>
      </c>
      <c r="G417" s="30" t="s">
        <v>46</v>
      </c>
      <c r="H417" s="31"/>
      <c r="I417" s="31" t="s">
        <v>47</v>
      </c>
      <c r="J417" s="32" t="n">
        <v>10.0</v>
      </c>
      <c r="K417" s="33" t="n">
        <f>656.7</f>
        <v>656.7</v>
      </c>
      <c r="L417" s="34" t="s">
        <v>48</v>
      </c>
      <c r="M417" s="33" t="n">
        <f>661.4</f>
        <v>661.4</v>
      </c>
      <c r="N417" s="34" t="s">
        <v>51</v>
      </c>
      <c r="O417" s="33" t="n">
        <f>624.8</f>
        <v>624.8</v>
      </c>
      <c r="P417" s="34" t="s">
        <v>63</v>
      </c>
      <c r="Q417" s="33" t="n">
        <f>661.4</f>
        <v>661.4</v>
      </c>
      <c r="R417" s="34" t="s">
        <v>51</v>
      </c>
      <c r="S417" s="35" t="n">
        <f>640.35</f>
        <v>640.35</v>
      </c>
      <c r="T417" s="32" t="n">
        <f>290470</f>
        <v>290470.0</v>
      </c>
      <c r="U417" s="32" t="str">
        <f>"－"</f>
        <v>－</v>
      </c>
      <c r="V417" s="32" t="n">
        <f>186135489</f>
        <v>1.86135489E8</v>
      </c>
      <c r="W417" s="32" t="str">
        <f>"－"</f>
        <v>－</v>
      </c>
      <c r="X417" s="36" t="n">
        <f>22</f>
        <v>22.0</v>
      </c>
    </row>
    <row r="418">
      <c r="A418" s="27" t="s">
        <v>42</v>
      </c>
      <c r="B418" s="27" t="s">
        <v>1301</v>
      </c>
      <c r="C418" s="27" t="s">
        <v>1302</v>
      </c>
      <c r="D418" s="27" t="s">
        <v>1303</v>
      </c>
      <c r="E418" s="28" t="s">
        <v>46</v>
      </c>
      <c r="F418" s="29" t="s">
        <v>46</v>
      </c>
      <c r="G418" s="30" t="s">
        <v>46</v>
      </c>
      <c r="H418" s="31"/>
      <c r="I418" s="31" t="s">
        <v>47</v>
      </c>
      <c r="J418" s="32" t="n">
        <v>1.0</v>
      </c>
      <c r="K418" s="33" t="n">
        <f>2652</f>
        <v>2652.0</v>
      </c>
      <c r="L418" s="34" t="s">
        <v>48</v>
      </c>
      <c r="M418" s="33" t="n">
        <f>2769</f>
        <v>2769.0</v>
      </c>
      <c r="N418" s="34" t="s">
        <v>51</v>
      </c>
      <c r="O418" s="33" t="n">
        <f>2610</f>
        <v>2610.0</v>
      </c>
      <c r="P418" s="34" t="s">
        <v>50</v>
      </c>
      <c r="Q418" s="33" t="n">
        <f>2730</f>
        <v>2730.0</v>
      </c>
      <c r="R418" s="34" t="s">
        <v>51</v>
      </c>
      <c r="S418" s="35" t="n">
        <f>2688.45</f>
        <v>2688.45</v>
      </c>
      <c r="T418" s="32" t="n">
        <f>1953138</f>
        <v>1953138.0</v>
      </c>
      <c r="U418" s="32" t="n">
        <f>1104555</f>
        <v>1104555.0</v>
      </c>
      <c r="V418" s="32" t="n">
        <f>5250178427</f>
        <v>5.250178427E9</v>
      </c>
      <c r="W418" s="32" t="n">
        <f>2962852568</f>
        <v>2.962852568E9</v>
      </c>
      <c r="X418" s="36" t="n">
        <f>22</f>
        <v>22.0</v>
      </c>
    </row>
    <row r="419">
      <c r="A419" s="27" t="s">
        <v>42</v>
      </c>
      <c r="B419" s="27" t="s">
        <v>1304</v>
      </c>
      <c r="C419" s="27" t="s">
        <v>1305</v>
      </c>
      <c r="D419" s="27" t="s">
        <v>1306</v>
      </c>
      <c r="E419" s="28" t="s">
        <v>46</v>
      </c>
      <c r="F419" s="29" t="s">
        <v>46</v>
      </c>
      <c r="G419" s="30" t="s">
        <v>46</v>
      </c>
      <c r="H419" s="31"/>
      <c r="I419" s="31" t="s">
        <v>47</v>
      </c>
      <c r="J419" s="32" t="n">
        <v>1.0</v>
      </c>
      <c r="K419" s="33" t="n">
        <f>1414</f>
        <v>1414.0</v>
      </c>
      <c r="L419" s="34" t="s">
        <v>48</v>
      </c>
      <c r="M419" s="33" t="n">
        <f>1474</f>
        <v>1474.0</v>
      </c>
      <c r="N419" s="34" t="s">
        <v>210</v>
      </c>
      <c r="O419" s="33" t="n">
        <f>1364</f>
        <v>1364.0</v>
      </c>
      <c r="P419" s="34" t="s">
        <v>67</v>
      </c>
      <c r="Q419" s="33" t="n">
        <f>1406</f>
        <v>1406.0</v>
      </c>
      <c r="R419" s="34" t="s">
        <v>51</v>
      </c>
      <c r="S419" s="35" t="n">
        <f>1389.36</f>
        <v>1389.36</v>
      </c>
      <c r="T419" s="32" t="n">
        <f>102004</f>
        <v>102004.0</v>
      </c>
      <c r="U419" s="32" t="str">
        <f>"－"</f>
        <v>－</v>
      </c>
      <c r="V419" s="32" t="n">
        <f>141718903</f>
        <v>1.41718903E8</v>
      </c>
      <c r="W419" s="32" t="str">
        <f>"－"</f>
        <v>－</v>
      </c>
      <c r="X419" s="36" t="n">
        <f>22</f>
        <v>22.0</v>
      </c>
    </row>
    <row r="420">
      <c r="A420" s="27" t="s">
        <v>42</v>
      </c>
      <c r="B420" s="27" t="s">
        <v>1307</v>
      </c>
      <c r="C420" s="27" t="s">
        <v>1308</v>
      </c>
      <c r="D420" s="27" t="s">
        <v>1309</v>
      </c>
      <c r="E420" s="28" t="s">
        <v>46</v>
      </c>
      <c r="F420" s="29" t="s">
        <v>46</v>
      </c>
      <c r="G420" s="30" t="s">
        <v>46</v>
      </c>
      <c r="H420" s="31"/>
      <c r="I420" s="31" t="s">
        <v>47</v>
      </c>
      <c r="J420" s="32" t="n">
        <v>10.0</v>
      </c>
      <c r="K420" s="33" t="n">
        <f>1186</f>
        <v>1186.0</v>
      </c>
      <c r="L420" s="34" t="s">
        <v>48</v>
      </c>
      <c r="M420" s="33" t="n">
        <f>1258.5</f>
        <v>1258.5</v>
      </c>
      <c r="N420" s="34" t="s">
        <v>210</v>
      </c>
      <c r="O420" s="33" t="n">
        <f>1175</f>
        <v>1175.0</v>
      </c>
      <c r="P420" s="34" t="s">
        <v>106</v>
      </c>
      <c r="Q420" s="33" t="n">
        <f>1220</f>
        <v>1220.0</v>
      </c>
      <c r="R420" s="34" t="s">
        <v>51</v>
      </c>
      <c r="S420" s="35" t="n">
        <f>1195.85</f>
        <v>1195.85</v>
      </c>
      <c r="T420" s="32" t="n">
        <f>2274290</f>
        <v>2274290.0</v>
      </c>
      <c r="U420" s="32" t="n">
        <f>2271870</f>
        <v>2271870.0</v>
      </c>
      <c r="V420" s="32" t="n">
        <f>2687356549</f>
        <v>2.687356549E9</v>
      </c>
      <c r="W420" s="32" t="n">
        <f>2684475309</f>
        <v>2.684475309E9</v>
      </c>
      <c r="X420" s="36" t="n">
        <f>17</f>
        <v>17.0</v>
      </c>
    </row>
    <row r="421">
      <c r="A421" s="27" t="s">
        <v>42</v>
      </c>
      <c r="B421" s="27" t="s">
        <v>1310</v>
      </c>
      <c r="C421" s="27" t="s">
        <v>1311</v>
      </c>
      <c r="D421" s="27" t="s">
        <v>1312</v>
      </c>
      <c r="E421" s="28" t="s">
        <v>46</v>
      </c>
      <c r="F421" s="29" t="s">
        <v>46</v>
      </c>
      <c r="G421" s="30" t="s">
        <v>46</v>
      </c>
      <c r="H421" s="31"/>
      <c r="I421" s="31" t="s">
        <v>47</v>
      </c>
      <c r="J421" s="32" t="n">
        <v>1.0</v>
      </c>
      <c r="K421" s="33" t="n">
        <f>2399</f>
        <v>2399.0</v>
      </c>
      <c r="L421" s="34" t="s">
        <v>48</v>
      </c>
      <c r="M421" s="33" t="n">
        <f>2960</f>
        <v>2960.0</v>
      </c>
      <c r="N421" s="34" t="s">
        <v>210</v>
      </c>
      <c r="O421" s="33" t="n">
        <f>2354</f>
        <v>2354.0</v>
      </c>
      <c r="P421" s="34" t="s">
        <v>181</v>
      </c>
      <c r="Q421" s="33" t="n">
        <f>2461</f>
        <v>2461.0</v>
      </c>
      <c r="R421" s="34" t="s">
        <v>51</v>
      </c>
      <c r="S421" s="35" t="n">
        <f>2409.91</f>
        <v>2409.91</v>
      </c>
      <c r="T421" s="32" t="n">
        <f>50557</f>
        <v>50557.0</v>
      </c>
      <c r="U421" s="32" t="n">
        <f>8404</f>
        <v>8404.0</v>
      </c>
      <c r="V421" s="32" t="n">
        <f>123362720</f>
        <v>1.2336272E8</v>
      </c>
      <c r="W421" s="32" t="n">
        <f>19998158</f>
        <v>1.9998158E7</v>
      </c>
      <c r="X421" s="36" t="n">
        <f>22</f>
        <v>22.0</v>
      </c>
    </row>
    <row r="422">
      <c r="A422" s="27" t="s">
        <v>42</v>
      </c>
      <c r="B422" s="27" t="s">
        <v>1313</v>
      </c>
      <c r="C422" s="27" t="s">
        <v>1314</v>
      </c>
      <c r="D422" s="27" t="s">
        <v>1315</v>
      </c>
      <c r="E422" s="28" t="s">
        <v>46</v>
      </c>
      <c r="F422" s="29" t="s">
        <v>46</v>
      </c>
      <c r="G422" s="30" t="s">
        <v>46</v>
      </c>
      <c r="H422" s="31"/>
      <c r="I422" s="31" t="s">
        <v>47</v>
      </c>
      <c r="J422" s="32" t="n">
        <v>1.0</v>
      </c>
      <c r="K422" s="33" t="n">
        <f>2281</f>
        <v>2281.0</v>
      </c>
      <c r="L422" s="34" t="s">
        <v>48</v>
      </c>
      <c r="M422" s="33" t="n">
        <f>2288</f>
        <v>2288.0</v>
      </c>
      <c r="N422" s="34" t="s">
        <v>82</v>
      </c>
      <c r="O422" s="33" t="n">
        <f>2203</f>
        <v>2203.0</v>
      </c>
      <c r="P422" s="34" t="s">
        <v>86</v>
      </c>
      <c r="Q422" s="33" t="n">
        <f>2264</f>
        <v>2264.0</v>
      </c>
      <c r="R422" s="34" t="s">
        <v>51</v>
      </c>
      <c r="S422" s="35" t="n">
        <f>2244.41</f>
        <v>2244.41</v>
      </c>
      <c r="T422" s="32" t="n">
        <f>159682</f>
        <v>159682.0</v>
      </c>
      <c r="U422" s="32" t="str">
        <f>"－"</f>
        <v>－</v>
      </c>
      <c r="V422" s="32" t="n">
        <f>358224860</f>
        <v>3.5822486E8</v>
      </c>
      <c r="W422" s="32" t="str">
        <f>"－"</f>
        <v>－</v>
      </c>
      <c r="X422" s="36" t="n">
        <f>22</f>
        <v>22.0</v>
      </c>
    </row>
    <row r="423">
      <c r="A423" s="27" t="s">
        <v>42</v>
      </c>
      <c r="B423" s="27" t="s">
        <v>1316</v>
      </c>
      <c r="C423" s="27" t="s">
        <v>1317</v>
      </c>
      <c r="D423" s="27" t="s">
        <v>1318</v>
      </c>
      <c r="E423" s="28" t="s">
        <v>46</v>
      </c>
      <c r="F423" s="29" t="s">
        <v>46</v>
      </c>
      <c r="G423" s="30" t="s">
        <v>46</v>
      </c>
      <c r="H423" s="31"/>
      <c r="I423" s="31" t="s">
        <v>47</v>
      </c>
      <c r="J423" s="32" t="n">
        <v>1.0</v>
      </c>
      <c r="K423" s="33" t="n">
        <f>5144</f>
        <v>5144.0</v>
      </c>
      <c r="L423" s="34" t="s">
        <v>48</v>
      </c>
      <c r="M423" s="33" t="n">
        <f>5600</f>
        <v>5600.0</v>
      </c>
      <c r="N423" s="34" t="s">
        <v>210</v>
      </c>
      <c r="O423" s="33" t="n">
        <f>5086</f>
        <v>5086.0</v>
      </c>
      <c r="P423" s="34" t="s">
        <v>128</v>
      </c>
      <c r="Q423" s="33" t="n">
        <f>5117</f>
        <v>5117.0</v>
      </c>
      <c r="R423" s="34" t="s">
        <v>51</v>
      </c>
      <c r="S423" s="35" t="n">
        <f>5107.91</f>
        <v>5107.91</v>
      </c>
      <c r="T423" s="32" t="n">
        <f>2226</f>
        <v>2226.0</v>
      </c>
      <c r="U423" s="32" t="str">
        <f>"－"</f>
        <v>－</v>
      </c>
      <c r="V423" s="32" t="n">
        <f>11493674</f>
        <v>1.1493674E7</v>
      </c>
      <c r="W423" s="32" t="str">
        <f>"－"</f>
        <v>－</v>
      </c>
      <c r="X423" s="36" t="n">
        <f>11</f>
        <v>11.0</v>
      </c>
    </row>
    <row r="424">
      <c r="A424" s="27" t="s">
        <v>42</v>
      </c>
      <c r="B424" s="27" t="s">
        <v>1319</v>
      </c>
      <c r="C424" s="27" t="s">
        <v>1320</v>
      </c>
      <c r="D424" s="27" t="s">
        <v>1321</v>
      </c>
      <c r="E424" s="28" t="s">
        <v>46</v>
      </c>
      <c r="F424" s="29" t="s">
        <v>46</v>
      </c>
      <c r="G424" s="30" t="s">
        <v>46</v>
      </c>
      <c r="H424" s="31"/>
      <c r="I424" s="31" t="s">
        <v>47</v>
      </c>
      <c r="J424" s="32" t="n">
        <v>1.0</v>
      </c>
      <c r="K424" s="33" t="n">
        <f>1223</f>
        <v>1223.0</v>
      </c>
      <c r="L424" s="34" t="s">
        <v>48</v>
      </c>
      <c r="M424" s="33" t="n">
        <f>1277</f>
        <v>1277.0</v>
      </c>
      <c r="N424" s="34" t="s">
        <v>82</v>
      </c>
      <c r="O424" s="33" t="n">
        <f>1192</f>
        <v>1192.0</v>
      </c>
      <c r="P424" s="34" t="s">
        <v>55</v>
      </c>
      <c r="Q424" s="33" t="n">
        <f>1243</f>
        <v>1243.0</v>
      </c>
      <c r="R424" s="34" t="s">
        <v>51</v>
      </c>
      <c r="S424" s="35" t="n">
        <f>1223.18</f>
        <v>1223.18</v>
      </c>
      <c r="T424" s="32" t="n">
        <f>36709</f>
        <v>36709.0</v>
      </c>
      <c r="U424" s="32" t="str">
        <f>"－"</f>
        <v>－</v>
      </c>
      <c r="V424" s="32" t="n">
        <f>44864055</f>
        <v>4.4864055E7</v>
      </c>
      <c r="W424" s="32" t="str">
        <f>"－"</f>
        <v>－</v>
      </c>
      <c r="X424" s="36" t="n">
        <f>22</f>
        <v>22.0</v>
      </c>
    </row>
    <row r="425">
      <c r="A425" s="27" t="s">
        <v>42</v>
      </c>
      <c r="B425" s="27" t="s">
        <v>1322</v>
      </c>
      <c r="C425" s="27" t="s">
        <v>1323</v>
      </c>
      <c r="D425" s="27" t="s">
        <v>1324</v>
      </c>
      <c r="E425" s="28" t="s">
        <v>46</v>
      </c>
      <c r="F425" s="29" t="s">
        <v>46</v>
      </c>
      <c r="G425" s="30" t="s">
        <v>46</v>
      </c>
      <c r="H425" s="31"/>
      <c r="I425" s="31" t="s">
        <v>47</v>
      </c>
      <c r="J425" s="32" t="n">
        <v>1.0</v>
      </c>
      <c r="K425" s="33" t="n">
        <f>1172</f>
        <v>1172.0</v>
      </c>
      <c r="L425" s="34" t="s">
        <v>48</v>
      </c>
      <c r="M425" s="33" t="n">
        <f>1181</f>
        <v>1181.0</v>
      </c>
      <c r="N425" s="34" t="s">
        <v>106</v>
      </c>
      <c r="O425" s="33" t="n">
        <f>1105</f>
        <v>1105.0</v>
      </c>
      <c r="P425" s="34" t="s">
        <v>200</v>
      </c>
      <c r="Q425" s="33" t="n">
        <f>1165</f>
        <v>1165.0</v>
      </c>
      <c r="R425" s="34" t="s">
        <v>51</v>
      </c>
      <c r="S425" s="35" t="n">
        <f>1151.77</f>
        <v>1151.77</v>
      </c>
      <c r="T425" s="32" t="n">
        <f>2523003</f>
        <v>2523003.0</v>
      </c>
      <c r="U425" s="32" t="str">
        <f>"－"</f>
        <v>－</v>
      </c>
      <c r="V425" s="32" t="n">
        <f>2907858249</f>
        <v>2.907858249E9</v>
      </c>
      <c r="W425" s="32" t="str">
        <f>"－"</f>
        <v>－</v>
      </c>
      <c r="X425" s="36" t="n">
        <f>22</f>
        <v>22.0</v>
      </c>
    </row>
    <row r="426">
      <c r="A426" s="27" t="s">
        <v>42</v>
      </c>
      <c r="B426" s="27" t="s">
        <v>1325</v>
      </c>
      <c r="C426" s="27" t="s">
        <v>1326</v>
      </c>
      <c r="D426" s="27" t="s">
        <v>1327</v>
      </c>
      <c r="E426" s="28" t="s">
        <v>46</v>
      </c>
      <c r="F426" s="29" t="s">
        <v>46</v>
      </c>
      <c r="G426" s="30" t="s">
        <v>46</v>
      </c>
      <c r="H426" s="31"/>
      <c r="I426" s="31" t="s">
        <v>47</v>
      </c>
      <c r="J426" s="32" t="n">
        <v>1.0</v>
      </c>
      <c r="K426" s="33" t="n">
        <f>2254</f>
        <v>2254.0</v>
      </c>
      <c r="L426" s="34" t="s">
        <v>48</v>
      </c>
      <c r="M426" s="33" t="n">
        <f>2300</f>
        <v>2300.0</v>
      </c>
      <c r="N426" s="34" t="s">
        <v>82</v>
      </c>
      <c r="O426" s="33" t="n">
        <f>2178</f>
        <v>2178.0</v>
      </c>
      <c r="P426" s="34" t="s">
        <v>63</v>
      </c>
      <c r="Q426" s="33" t="n">
        <f>2207</f>
        <v>2207.0</v>
      </c>
      <c r="R426" s="34" t="s">
        <v>51</v>
      </c>
      <c r="S426" s="35" t="n">
        <f>2194.45</f>
        <v>2194.45</v>
      </c>
      <c r="T426" s="32" t="n">
        <f>2922545</f>
        <v>2922545.0</v>
      </c>
      <c r="U426" s="32" t="n">
        <f>2275000</f>
        <v>2275000.0</v>
      </c>
      <c r="V426" s="32" t="n">
        <f>6426152849</f>
        <v>6.426152849E9</v>
      </c>
      <c r="W426" s="32" t="n">
        <f>5002034310</f>
        <v>5.00203431E9</v>
      </c>
      <c r="X426" s="36" t="n">
        <f>22</f>
        <v>22.0</v>
      </c>
    </row>
    <row r="427">
      <c r="A427" s="27" t="s">
        <v>42</v>
      </c>
      <c r="B427" s="27" t="s">
        <v>1328</v>
      </c>
      <c r="C427" s="27" t="s">
        <v>1329</v>
      </c>
      <c r="D427" s="27" t="s">
        <v>1330</v>
      </c>
      <c r="E427" s="28" t="s">
        <v>46</v>
      </c>
      <c r="F427" s="29" t="s">
        <v>46</v>
      </c>
      <c r="G427" s="30" t="s">
        <v>46</v>
      </c>
      <c r="H427" s="31"/>
      <c r="I427" s="31" t="s">
        <v>47</v>
      </c>
      <c r="J427" s="32" t="n">
        <v>1.0</v>
      </c>
      <c r="K427" s="33" t="n">
        <f>2014</f>
        <v>2014.0</v>
      </c>
      <c r="L427" s="34" t="s">
        <v>48</v>
      </c>
      <c r="M427" s="33" t="n">
        <f>2026</f>
        <v>2026.0</v>
      </c>
      <c r="N427" s="34" t="s">
        <v>86</v>
      </c>
      <c r="O427" s="33" t="n">
        <f>1986</f>
        <v>1986.0</v>
      </c>
      <c r="P427" s="34" t="s">
        <v>210</v>
      </c>
      <c r="Q427" s="33" t="n">
        <f>2008</f>
        <v>2008.0</v>
      </c>
      <c r="R427" s="34" t="s">
        <v>51</v>
      </c>
      <c r="S427" s="35" t="n">
        <f>2005.95</f>
        <v>2005.95</v>
      </c>
      <c r="T427" s="32" t="n">
        <f>30702</f>
        <v>30702.0</v>
      </c>
      <c r="U427" s="32" t="str">
        <f>"－"</f>
        <v>－</v>
      </c>
      <c r="V427" s="32" t="n">
        <f>61574107</f>
        <v>6.1574107E7</v>
      </c>
      <c r="W427" s="32" t="str">
        <f>"－"</f>
        <v>－</v>
      </c>
      <c r="X427" s="36" t="n">
        <f>21</f>
        <v>21.0</v>
      </c>
    </row>
    <row r="428">
      <c r="A428" s="27" t="s">
        <v>42</v>
      </c>
      <c r="B428" s="27" t="s">
        <v>1331</v>
      </c>
      <c r="C428" s="27" t="s">
        <v>1332</v>
      </c>
      <c r="D428" s="27" t="s">
        <v>1333</v>
      </c>
      <c r="E428" s="28" t="s">
        <v>46</v>
      </c>
      <c r="F428" s="29" t="s">
        <v>46</v>
      </c>
      <c r="G428" s="30" t="s">
        <v>46</v>
      </c>
      <c r="H428" s="31"/>
      <c r="I428" s="31" t="s">
        <v>47</v>
      </c>
      <c r="J428" s="32" t="n">
        <v>1.0</v>
      </c>
      <c r="K428" s="33" t="n">
        <f>2422</f>
        <v>2422.0</v>
      </c>
      <c r="L428" s="34" t="s">
        <v>48</v>
      </c>
      <c r="M428" s="33" t="n">
        <f>2422</f>
        <v>2422.0</v>
      </c>
      <c r="N428" s="34" t="s">
        <v>48</v>
      </c>
      <c r="O428" s="33" t="n">
        <f>2253</f>
        <v>2253.0</v>
      </c>
      <c r="P428" s="34" t="s">
        <v>67</v>
      </c>
      <c r="Q428" s="33" t="n">
        <f>2313</f>
        <v>2313.0</v>
      </c>
      <c r="R428" s="34" t="s">
        <v>51</v>
      </c>
      <c r="S428" s="35" t="n">
        <f>2297.23</f>
        <v>2297.23</v>
      </c>
      <c r="T428" s="32" t="n">
        <f>94063</f>
        <v>94063.0</v>
      </c>
      <c r="U428" s="32" t="str">
        <f>"－"</f>
        <v>－</v>
      </c>
      <c r="V428" s="32" t="n">
        <f>215528627</f>
        <v>2.15528627E8</v>
      </c>
      <c r="W428" s="32" t="str">
        <f>"－"</f>
        <v>－</v>
      </c>
      <c r="X428" s="36" t="n">
        <f>22</f>
        <v>22.0</v>
      </c>
    </row>
    <row r="429">
      <c r="A429" s="27" t="s">
        <v>42</v>
      </c>
      <c r="B429" s="27" t="s">
        <v>1334</v>
      </c>
      <c r="C429" s="27" t="s">
        <v>1335</v>
      </c>
      <c r="D429" s="27" t="s">
        <v>1336</v>
      </c>
      <c r="E429" s="28" t="s">
        <v>46</v>
      </c>
      <c r="F429" s="29" t="s">
        <v>46</v>
      </c>
      <c r="G429" s="30" t="s">
        <v>46</v>
      </c>
      <c r="H429" s="31"/>
      <c r="I429" s="31" t="s">
        <v>418</v>
      </c>
      <c r="J429" s="32" t="n">
        <v>10.0</v>
      </c>
      <c r="K429" s="33" t="n">
        <f>235</f>
        <v>235.0</v>
      </c>
      <c r="L429" s="34" t="s">
        <v>48</v>
      </c>
      <c r="M429" s="33" t="n">
        <f>236.5</f>
        <v>236.5</v>
      </c>
      <c r="N429" s="34" t="s">
        <v>49</v>
      </c>
      <c r="O429" s="33" t="n">
        <f>224.6</f>
        <v>224.6</v>
      </c>
      <c r="P429" s="34" t="s">
        <v>200</v>
      </c>
      <c r="Q429" s="33" t="n">
        <f>234.5</f>
        <v>234.5</v>
      </c>
      <c r="R429" s="34" t="s">
        <v>51</v>
      </c>
      <c r="S429" s="35" t="n">
        <f>232.4</f>
        <v>232.4</v>
      </c>
      <c r="T429" s="32" t="n">
        <f>3609180</f>
        <v>3609180.0</v>
      </c>
      <c r="U429" s="32" t="n">
        <f>1100</f>
        <v>1100.0</v>
      </c>
      <c r="V429" s="32" t="n">
        <f>838758825</f>
        <v>8.38758825E8</v>
      </c>
      <c r="W429" s="32" t="n">
        <f>253730</f>
        <v>253730.0</v>
      </c>
      <c r="X429" s="36" t="n">
        <f>22</f>
        <v>22.0</v>
      </c>
    </row>
    <row r="430">
      <c r="A430" s="27" t="s">
        <v>42</v>
      </c>
      <c r="B430" s="27" t="s">
        <v>1337</v>
      </c>
      <c r="C430" s="27" t="s">
        <v>1338</v>
      </c>
      <c r="D430" s="27" t="s">
        <v>1339</v>
      </c>
      <c r="E430" s="28" t="s">
        <v>46</v>
      </c>
      <c r="F430" s="29" t="s">
        <v>46</v>
      </c>
      <c r="G430" s="30" t="s">
        <v>46</v>
      </c>
      <c r="H430" s="31"/>
      <c r="I430" s="31" t="s">
        <v>418</v>
      </c>
      <c r="J430" s="32" t="n">
        <v>10.0</v>
      </c>
      <c r="K430" s="33" t="n">
        <f>575</f>
        <v>575.0</v>
      </c>
      <c r="L430" s="34" t="s">
        <v>48</v>
      </c>
      <c r="M430" s="33" t="n">
        <f>579.5</f>
        <v>579.5</v>
      </c>
      <c r="N430" s="34" t="s">
        <v>48</v>
      </c>
      <c r="O430" s="33" t="n">
        <f>538</f>
        <v>538.0</v>
      </c>
      <c r="P430" s="34" t="s">
        <v>75</v>
      </c>
      <c r="Q430" s="33" t="n">
        <f>563.7</f>
        <v>563.7</v>
      </c>
      <c r="R430" s="34" t="s">
        <v>51</v>
      </c>
      <c r="S430" s="35" t="n">
        <f>561.41</f>
        <v>561.41</v>
      </c>
      <c r="T430" s="32" t="n">
        <f>4690</f>
        <v>4690.0</v>
      </c>
      <c r="U430" s="32" t="str">
        <f>"－"</f>
        <v>－</v>
      </c>
      <c r="V430" s="32" t="n">
        <f>2635373</f>
        <v>2635373.0</v>
      </c>
      <c r="W430" s="32" t="str">
        <f>"－"</f>
        <v>－</v>
      </c>
      <c r="X430" s="36" t="n">
        <f>22</f>
        <v>22.0</v>
      </c>
    </row>
    <row r="431">
      <c r="A431" s="27" t="s">
        <v>42</v>
      </c>
      <c r="B431" s="27" t="s">
        <v>1340</v>
      </c>
      <c r="C431" s="27" t="s">
        <v>1341</v>
      </c>
      <c r="D431" s="27" t="s">
        <v>1342</v>
      </c>
      <c r="E431" s="28" t="s">
        <v>46</v>
      </c>
      <c r="F431" s="29" t="s">
        <v>46</v>
      </c>
      <c r="G431" s="30" t="s">
        <v>46</v>
      </c>
      <c r="H431" s="31"/>
      <c r="I431" s="31" t="s">
        <v>418</v>
      </c>
      <c r="J431" s="32" t="n">
        <v>10.0</v>
      </c>
      <c r="K431" s="33" t="n">
        <f>671.2</f>
        <v>671.2</v>
      </c>
      <c r="L431" s="34" t="s">
        <v>48</v>
      </c>
      <c r="M431" s="33" t="n">
        <f>700</f>
        <v>700.0</v>
      </c>
      <c r="N431" s="34" t="s">
        <v>55</v>
      </c>
      <c r="O431" s="33" t="n">
        <f>651.9</f>
        <v>651.9</v>
      </c>
      <c r="P431" s="34" t="s">
        <v>50</v>
      </c>
      <c r="Q431" s="33" t="n">
        <f>687.2</f>
        <v>687.2</v>
      </c>
      <c r="R431" s="34" t="s">
        <v>51</v>
      </c>
      <c r="S431" s="35" t="n">
        <f>679.95</f>
        <v>679.95</v>
      </c>
      <c r="T431" s="32" t="n">
        <f>1012180</f>
        <v>1012180.0</v>
      </c>
      <c r="U431" s="32" t="n">
        <f>14700</f>
        <v>14700.0</v>
      </c>
      <c r="V431" s="32" t="n">
        <f>683793537</f>
        <v>6.83793537E8</v>
      </c>
      <c r="W431" s="32" t="n">
        <f>9990468</f>
        <v>9990468.0</v>
      </c>
      <c r="X431" s="36" t="n">
        <f>22</f>
        <v>22.0</v>
      </c>
    </row>
    <row r="432">
      <c r="A432" s="27" t="s">
        <v>42</v>
      </c>
      <c r="B432" s="27" t="s">
        <v>1343</v>
      </c>
      <c r="C432" s="27" t="s">
        <v>1344</v>
      </c>
      <c r="D432" s="27" t="s">
        <v>1345</v>
      </c>
      <c r="E432" s="28" t="s">
        <v>46</v>
      </c>
      <c r="F432" s="29" t="s">
        <v>46</v>
      </c>
      <c r="G432" s="30" t="s">
        <v>46</v>
      </c>
      <c r="H432" s="31"/>
      <c r="I432" s="31" t="s">
        <v>418</v>
      </c>
      <c r="J432" s="32" t="n">
        <v>10.0</v>
      </c>
      <c r="K432" s="33" t="n">
        <f>538</f>
        <v>538.0</v>
      </c>
      <c r="L432" s="34" t="s">
        <v>48</v>
      </c>
      <c r="M432" s="33" t="n">
        <f>550</f>
        <v>550.0</v>
      </c>
      <c r="N432" s="34" t="s">
        <v>48</v>
      </c>
      <c r="O432" s="33" t="n">
        <f>527.1</f>
        <v>527.1</v>
      </c>
      <c r="P432" s="34" t="s">
        <v>75</v>
      </c>
      <c r="Q432" s="33" t="n">
        <f>548.7</f>
        <v>548.7</v>
      </c>
      <c r="R432" s="34" t="s">
        <v>51</v>
      </c>
      <c r="S432" s="35" t="n">
        <f>539.01</f>
        <v>539.01</v>
      </c>
      <c r="T432" s="32" t="n">
        <f>11050</f>
        <v>11050.0</v>
      </c>
      <c r="U432" s="32" t="str">
        <f>"－"</f>
        <v>－</v>
      </c>
      <c r="V432" s="32" t="n">
        <f>5949408</f>
        <v>5949408.0</v>
      </c>
      <c r="W432" s="32" t="str">
        <f>"－"</f>
        <v>－</v>
      </c>
      <c r="X432" s="36" t="n">
        <f>21</f>
        <v>21.0</v>
      </c>
    </row>
    <row r="433">
      <c r="A433" s="27" t="s">
        <v>42</v>
      </c>
      <c r="B433" s="27" t="s">
        <v>1346</v>
      </c>
      <c r="C433" s="27" t="s">
        <v>1347</v>
      </c>
      <c r="D433" s="27" t="s">
        <v>1348</v>
      </c>
      <c r="E433" s="28" t="s">
        <v>46</v>
      </c>
      <c r="F433" s="29" t="s">
        <v>46</v>
      </c>
      <c r="G433" s="30" t="s">
        <v>46</v>
      </c>
      <c r="H433" s="31"/>
      <c r="I433" s="31" t="s">
        <v>418</v>
      </c>
      <c r="J433" s="32" t="n">
        <v>1.0</v>
      </c>
      <c r="K433" s="33" t="n">
        <f>1838</f>
        <v>1838.0</v>
      </c>
      <c r="L433" s="34" t="s">
        <v>48</v>
      </c>
      <c r="M433" s="33" t="n">
        <f>1900</f>
        <v>1900.0</v>
      </c>
      <c r="N433" s="34" t="s">
        <v>82</v>
      </c>
      <c r="O433" s="33" t="n">
        <f>1811</f>
        <v>1811.0</v>
      </c>
      <c r="P433" s="34" t="s">
        <v>50</v>
      </c>
      <c r="Q433" s="33" t="n">
        <f>1888</f>
        <v>1888.0</v>
      </c>
      <c r="R433" s="34" t="s">
        <v>51</v>
      </c>
      <c r="S433" s="35" t="n">
        <f>1860.5</f>
        <v>1860.5</v>
      </c>
      <c r="T433" s="32" t="n">
        <f>1247969</f>
        <v>1247969.0</v>
      </c>
      <c r="U433" s="32" t="n">
        <f>220089</f>
        <v>220089.0</v>
      </c>
      <c r="V433" s="32" t="n">
        <f>2329284778</f>
        <v>2.329284778E9</v>
      </c>
      <c r="W433" s="32" t="n">
        <f>409241415</f>
        <v>4.09241415E8</v>
      </c>
      <c r="X433" s="36" t="n">
        <f>22</f>
        <v>22.0</v>
      </c>
    </row>
    <row r="434">
      <c r="A434" s="27" t="s">
        <v>42</v>
      </c>
      <c r="B434" s="27" t="s">
        <v>1349</v>
      </c>
      <c r="C434" s="27" t="s">
        <v>1350</v>
      </c>
      <c r="D434" s="27" t="s">
        <v>1351</v>
      </c>
      <c r="E434" s="28" t="s">
        <v>46</v>
      </c>
      <c r="F434" s="29" t="s">
        <v>46</v>
      </c>
      <c r="G434" s="30" t="s">
        <v>46</v>
      </c>
      <c r="H434" s="31"/>
      <c r="I434" s="31" t="s">
        <v>418</v>
      </c>
      <c r="J434" s="32" t="n">
        <v>1.0</v>
      </c>
      <c r="K434" s="33" t="n">
        <f>104300</f>
        <v>104300.0</v>
      </c>
      <c r="L434" s="34" t="s">
        <v>48</v>
      </c>
      <c r="M434" s="33" t="n">
        <f>106600</f>
        <v>106600.0</v>
      </c>
      <c r="N434" s="34" t="s">
        <v>82</v>
      </c>
      <c r="O434" s="33" t="n">
        <f>100800</f>
        <v>100800.0</v>
      </c>
      <c r="P434" s="34" t="s">
        <v>362</v>
      </c>
      <c r="Q434" s="33" t="n">
        <f>106500</f>
        <v>106500.0</v>
      </c>
      <c r="R434" s="34" t="s">
        <v>51</v>
      </c>
      <c r="S434" s="35" t="n">
        <f>103213.64</f>
        <v>103213.64</v>
      </c>
      <c r="T434" s="32" t="n">
        <f>57705</f>
        <v>57705.0</v>
      </c>
      <c r="U434" s="32" t="n">
        <f>4868</f>
        <v>4868.0</v>
      </c>
      <c r="V434" s="32" t="n">
        <f>5940192228</f>
        <v>5.940192228E9</v>
      </c>
      <c r="W434" s="32" t="n">
        <f>502239528</f>
        <v>5.02239528E8</v>
      </c>
      <c r="X434" s="36" t="n">
        <f>22</f>
        <v>22.0</v>
      </c>
    </row>
    <row r="435">
      <c r="A435" s="27" t="s">
        <v>42</v>
      </c>
      <c r="B435" s="27" t="s">
        <v>1352</v>
      </c>
      <c r="C435" s="27" t="s">
        <v>1353</v>
      </c>
      <c r="D435" s="27" t="s">
        <v>1354</v>
      </c>
      <c r="E435" s="28" t="s">
        <v>46</v>
      </c>
      <c r="F435" s="29" t="s">
        <v>46</v>
      </c>
      <c r="G435" s="30" t="s">
        <v>46</v>
      </c>
      <c r="H435" s="31"/>
      <c r="I435" s="31" t="s">
        <v>418</v>
      </c>
      <c r="J435" s="32" t="n">
        <v>1.0</v>
      </c>
      <c r="K435" s="33" t="n">
        <f>1171</f>
        <v>1171.0</v>
      </c>
      <c r="L435" s="34" t="s">
        <v>48</v>
      </c>
      <c r="M435" s="33" t="n">
        <f>1205</f>
        <v>1205.0</v>
      </c>
      <c r="N435" s="34" t="s">
        <v>106</v>
      </c>
      <c r="O435" s="33" t="n">
        <f>1093</f>
        <v>1093.0</v>
      </c>
      <c r="P435" s="34" t="s">
        <v>200</v>
      </c>
      <c r="Q435" s="33" t="n">
        <f>1147</f>
        <v>1147.0</v>
      </c>
      <c r="R435" s="34" t="s">
        <v>51</v>
      </c>
      <c r="S435" s="35" t="n">
        <f>1148.95</f>
        <v>1148.95</v>
      </c>
      <c r="T435" s="32" t="n">
        <f>1401659</f>
        <v>1401659.0</v>
      </c>
      <c r="U435" s="32" t="n">
        <f>2300</f>
        <v>2300.0</v>
      </c>
      <c r="V435" s="32" t="n">
        <f>1634239167</f>
        <v>1.634239167E9</v>
      </c>
      <c r="W435" s="32" t="n">
        <f>2542550</f>
        <v>2542550.0</v>
      </c>
      <c r="X435" s="36" t="n">
        <f>22</f>
        <v>22.0</v>
      </c>
    </row>
    <row r="436">
      <c r="A436" s="27" t="s">
        <v>42</v>
      </c>
      <c r="B436" s="27" t="s">
        <v>1355</v>
      </c>
      <c r="C436" s="27" t="s">
        <v>1356</v>
      </c>
      <c r="D436" s="27" t="s">
        <v>1357</v>
      </c>
      <c r="E436" s="28" t="s">
        <v>46</v>
      </c>
      <c r="F436" s="29" t="s">
        <v>46</v>
      </c>
      <c r="G436" s="30" t="s">
        <v>46</v>
      </c>
      <c r="H436" s="31"/>
      <c r="I436" s="31" t="s">
        <v>418</v>
      </c>
      <c r="J436" s="32" t="n">
        <v>10.0</v>
      </c>
      <c r="K436" s="33" t="n">
        <f>222</f>
        <v>222.0</v>
      </c>
      <c r="L436" s="34" t="s">
        <v>48</v>
      </c>
      <c r="M436" s="33" t="n">
        <f>229.3</f>
        <v>229.3</v>
      </c>
      <c r="N436" s="34" t="s">
        <v>128</v>
      </c>
      <c r="O436" s="33" t="n">
        <f>205.3</f>
        <v>205.3</v>
      </c>
      <c r="P436" s="34" t="s">
        <v>67</v>
      </c>
      <c r="Q436" s="33" t="n">
        <f>220</f>
        <v>220.0</v>
      </c>
      <c r="R436" s="34" t="s">
        <v>51</v>
      </c>
      <c r="S436" s="35" t="n">
        <f>219.9</f>
        <v>219.9</v>
      </c>
      <c r="T436" s="32" t="n">
        <f>8826990</f>
        <v>8826990.0</v>
      </c>
      <c r="U436" s="32" t="n">
        <f>990420</f>
        <v>990420.0</v>
      </c>
      <c r="V436" s="32" t="n">
        <f>1915568661</f>
        <v>1.915568661E9</v>
      </c>
      <c r="W436" s="32" t="n">
        <f>206699906</f>
        <v>2.06699906E8</v>
      </c>
      <c r="X436" s="36" t="n">
        <f>22</f>
        <v>22.0</v>
      </c>
    </row>
    <row r="437">
      <c r="A437" s="27" t="s">
        <v>42</v>
      </c>
      <c r="B437" s="27" t="s">
        <v>1358</v>
      </c>
      <c r="C437" s="27" t="s">
        <v>1359</v>
      </c>
      <c r="D437" s="27" t="s">
        <v>1360</v>
      </c>
      <c r="E437" s="28" t="s">
        <v>46</v>
      </c>
      <c r="F437" s="29" t="s">
        <v>46</v>
      </c>
      <c r="G437" s="30" t="s">
        <v>46</v>
      </c>
      <c r="H437" s="31"/>
      <c r="I437" s="31" t="s">
        <v>418</v>
      </c>
      <c r="J437" s="32" t="n">
        <v>1.0</v>
      </c>
      <c r="K437" s="33" t="n">
        <f>2216</f>
        <v>2216.0</v>
      </c>
      <c r="L437" s="34" t="s">
        <v>48</v>
      </c>
      <c r="M437" s="33" t="n">
        <f>2374</f>
        <v>2374.0</v>
      </c>
      <c r="N437" s="34" t="s">
        <v>362</v>
      </c>
      <c r="O437" s="33" t="n">
        <f>2182</f>
        <v>2182.0</v>
      </c>
      <c r="P437" s="34" t="s">
        <v>67</v>
      </c>
      <c r="Q437" s="33" t="n">
        <f>2340</f>
        <v>2340.0</v>
      </c>
      <c r="R437" s="34" t="s">
        <v>51</v>
      </c>
      <c r="S437" s="35" t="n">
        <f>2274.23</f>
        <v>2274.23</v>
      </c>
      <c r="T437" s="32" t="n">
        <f>72586</f>
        <v>72586.0</v>
      </c>
      <c r="U437" s="32" t="str">
        <f>"－"</f>
        <v>－</v>
      </c>
      <c r="V437" s="32" t="n">
        <f>165847214</f>
        <v>1.65847214E8</v>
      </c>
      <c r="W437" s="32" t="str">
        <f>"－"</f>
        <v>－</v>
      </c>
      <c r="X437" s="36" t="n">
        <f>22</f>
        <v>22.0</v>
      </c>
    </row>
    <row r="438">
      <c r="A438" s="27" t="s">
        <v>42</v>
      </c>
      <c r="B438" s="27" t="s">
        <v>1361</v>
      </c>
      <c r="C438" s="27" t="s">
        <v>1362</v>
      </c>
      <c r="D438" s="27" t="s">
        <v>1363</v>
      </c>
      <c r="E438" s="28" t="s">
        <v>46</v>
      </c>
      <c r="F438" s="29" t="s">
        <v>46</v>
      </c>
      <c r="G438" s="30" t="s">
        <v>46</v>
      </c>
      <c r="H438" s="31"/>
      <c r="I438" s="31" t="s">
        <v>418</v>
      </c>
      <c r="J438" s="32" t="n">
        <v>1.0</v>
      </c>
      <c r="K438" s="33" t="n">
        <f>2290</f>
        <v>2290.0</v>
      </c>
      <c r="L438" s="34" t="s">
        <v>48</v>
      </c>
      <c r="M438" s="33" t="n">
        <f>2357</f>
        <v>2357.0</v>
      </c>
      <c r="N438" s="34" t="s">
        <v>82</v>
      </c>
      <c r="O438" s="33" t="n">
        <f>2170</f>
        <v>2170.0</v>
      </c>
      <c r="P438" s="34" t="s">
        <v>67</v>
      </c>
      <c r="Q438" s="33" t="n">
        <f>2330</f>
        <v>2330.0</v>
      </c>
      <c r="R438" s="34" t="s">
        <v>51</v>
      </c>
      <c r="S438" s="35" t="n">
        <f>2260.41</f>
        <v>2260.41</v>
      </c>
      <c r="T438" s="32" t="n">
        <f>46807</f>
        <v>46807.0</v>
      </c>
      <c r="U438" s="32" t="str">
        <f>"－"</f>
        <v>－</v>
      </c>
      <c r="V438" s="32" t="n">
        <f>106533912</f>
        <v>1.06533912E8</v>
      </c>
      <c r="W438" s="32" t="str">
        <f>"－"</f>
        <v>－</v>
      </c>
      <c r="X438" s="36" t="n">
        <f>22</f>
        <v>22.0</v>
      </c>
    </row>
    <row r="439">
      <c r="A439" s="27" t="s">
        <v>42</v>
      </c>
      <c r="B439" s="27" t="s">
        <v>1364</v>
      </c>
      <c r="C439" s="27" t="s">
        <v>1365</v>
      </c>
      <c r="D439" s="27" t="s">
        <v>1366</v>
      </c>
      <c r="E439" s="28" t="s">
        <v>46</v>
      </c>
      <c r="F439" s="29" t="s">
        <v>46</v>
      </c>
      <c r="G439" s="30" t="s">
        <v>46</v>
      </c>
      <c r="H439" s="31"/>
      <c r="I439" s="31" t="s">
        <v>418</v>
      </c>
      <c r="J439" s="32" t="n">
        <v>10.0</v>
      </c>
      <c r="K439" s="33" t="n">
        <f>333.6</f>
        <v>333.6</v>
      </c>
      <c r="L439" s="34" t="s">
        <v>48</v>
      </c>
      <c r="M439" s="33" t="n">
        <f>380.9</f>
        <v>380.9</v>
      </c>
      <c r="N439" s="34" t="s">
        <v>369</v>
      </c>
      <c r="O439" s="33" t="n">
        <f>329.4</f>
        <v>329.4</v>
      </c>
      <c r="P439" s="34" t="s">
        <v>106</v>
      </c>
      <c r="Q439" s="33" t="n">
        <f>343.6</f>
        <v>343.6</v>
      </c>
      <c r="R439" s="34" t="s">
        <v>51</v>
      </c>
      <c r="S439" s="35" t="n">
        <f>340.89</f>
        <v>340.89</v>
      </c>
      <c r="T439" s="32" t="n">
        <f>6137850</f>
        <v>6137850.0</v>
      </c>
      <c r="U439" s="32" t="n">
        <f>2440</f>
        <v>2440.0</v>
      </c>
      <c r="V439" s="32" t="n">
        <f>2103140498</f>
        <v>2.103140498E9</v>
      </c>
      <c r="W439" s="32" t="n">
        <f>829041</f>
        <v>829041.0</v>
      </c>
      <c r="X439" s="36" t="n">
        <f>22</f>
        <v>22.0</v>
      </c>
    </row>
    <row r="440">
      <c r="A440" s="27" t="s">
        <v>42</v>
      </c>
      <c r="B440" s="27" t="s">
        <v>1367</v>
      </c>
      <c r="C440" s="27" t="s">
        <v>1368</v>
      </c>
      <c r="D440" s="27" t="s">
        <v>1369</v>
      </c>
      <c r="E440" s="28" t="s">
        <v>46</v>
      </c>
      <c r="F440" s="29" t="s">
        <v>46</v>
      </c>
      <c r="G440" s="30" t="s">
        <v>46</v>
      </c>
      <c r="H440" s="31"/>
      <c r="I440" s="31" t="s">
        <v>418</v>
      </c>
      <c r="J440" s="32" t="n">
        <v>10.0</v>
      </c>
      <c r="K440" s="33" t="n">
        <f>352.7</f>
        <v>352.7</v>
      </c>
      <c r="L440" s="34" t="s">
        <v>48</v>
      </c>
      <c r="M440" s="33" t="n">
        <f>388</f>
        <v>388.0</v>
      </c>
      <c r="N440" s="34" t="s">
        <v>210</v>
      </c>
      <c r="O440" s="33" t="n">
        <f>347.3</f>
        <v>347.3</v>
      </c>
      <c r="P440" s="34" t="s">
        <v>90</v>
      </c>
      <c r="Q440" s="33" t="n">
        <f>365.4</f>
        <v>365.4</v>
      </c>
      <c r="R440" s="34" t="s">
        <v>51</v>
      </c>
      <c r="S440" s="35" t="n">
        <f>361.29</f>
        <v>361.29</v>
      </c>
      <c r="T440" s="32" t="n">
        <f>14113040</f>
        <v>1.411304E7</v>
      </c>
      <c r="U440" s="32" t="n">
        <f>756530</f>
        <v>756530.0</v>
      </c>
      <c r="V440" s="32" t="n">
        <f>5164972743</f>
        <v>5.164972743E9</v>
      </c>
      <c r="W440" s="32" t="n">
        <f>283987412</f>
        <v>2.83987412E8</v>
      </c>
      <c r="X440" s="36" t="n">
        <f>22</f>
        <v>22.0</v>
      </c>
    </row>
    <row r="441">
      <c r="A441" s="27" t="s">
        <v>42</v>
      </c>
      <c r="B441" s="27" t="s">
        <v>1370</v>
      </c>
      <c r="C441" s="27" t="s">
        <v>1371</v>
      </c>
      <c r="D441" s="27" t="s">
        <v>1372</v>
      </c>
      <c r="E441" s="28" t="s">
        <v>46</v>
      </c>
      <c r="F441" s="29" t="s">
        <v>46</v>
      </c>
      <c r="G441" s="30" t="s">
        <v>46</v>
      </c>
      <c r="H441" s="31"/>
      <c r="I441" s="31" t="s">
        <v>418</v>
      </c>
      <c r="J441" s="32" t="n">
        <v>1.0</v>
      </c>
      <c r="K441" s="33" t="n">
        <f>1093</f>
        <v>1093.0</v>
      </c>
      <c r="L441" s="34" t="s">
        <v>48</v>
      </c>
      <c r="M441" s="33" t="n">
        <f>1104</f>
        <v>1104.0</v>
      </c>
      <c r="N441" s="34" t="s">
        <v>63</v>
      </c>
      <c r="O441" s="33" t="n">
        <f>1033</f>
        <v>1033.0</v>
      </c>
      <c r="P441" s="34" t="s">
        <v>48</v>
      </c>
      <c r="Q441" s="33" t="n">
        <f>1080</f>
        <v>1080.0</v>
      </c>
      <c r="R441" s="34" t="s">
        <v>51</v>
      </c>
      <c r="S441" s="35" t="n">
        <f>1070.09</f>
        <v>1070.09</v>
      </c>
      <c r="T441" s="32" t="n">
        <f>281455</f>
        <v>281455.0</v>
      </c>
      <c r="U441" s="32" t="str">
        <f>"－"</f>
        <v>－</v>
      </c>
      <c r="V441" s="32" t="n">
        <f>300851261</f>
        <v>3.00851261E8</v>
      </c>
      <c r="W441" s="32" t="str">
        <f>"－"</f>
        <v>－</v>
      </c>
      <c r="X441" s="36" t="n">
        <f>22</f>
        <v>22.0</v>
      </c>
    </row>
    <row r="442">
      <c r="A442" s="27" t="s">
        <v>42</v>
      </c>
      <c r="B442" s="27" t="s">
        <v>1373</v>
      </c>
      <c r="C442" s="27" t="s">
        <v>1374</v>
      </c>
      <c r="D442" s="27" t="s">
        <v>1375</v>
      </c>
      <c r="E442" s="28" t="s">
        <v>46</v>
      </c>
      <c r="F442" s="29" t="s">
        <v>46</v>
      </c>
      <c r="G442" s="30" t="s">
        <v>46</v>
      </c>
      <c r="H442" s="31"/>
      <c r="I442" s="31" t="s">
        <v>418</v>
      </c>
      <c r="J442" s="32" t="n">
        <v>1.0</v>
      </c>
      <c r="K442" s="33" t="n">
        <f>2180</f>
        <v>2180.0</v>
      </c>
      <c r="L442" s="34" t="s">
        <v>48</v>
      </c>
      <c r="M442" s="33" t="n">
        <f>2392</f>
        <v>2392.0</v>
      </c>
      <c r="N442" s="34" t="s">
        <v>82</v>
      </c>
      <c r="O442" s="33" t="n">
        <f>2146</f>
        <v>2146.0</v>
      </c>
      <c r="P442" s="34" t="s">
        <v>181</v>
      </c>
      <c r="Q442" s="33" t="n">
        <f>2364</f>
        <v>2364.0</v>
      </c>
      <c r="R442" s="34" t="s">
        <v>51</v>
      </c>
      <c r="S442" s="35" t="n">
        <f>2208.09</f>
        <v>2208.09</v>
      </c>
      <c r="T442" s="32" t="n">
        <f>4636978</f>
        <v>4636978.0</v>
      </c>
      <c r="U442" s="32" t="n">
        <f>525556</f>
        <v>525556.0</v>
      </c>
      <c r="V442" s="32" t="n">
        <f>10270865710</f>
        <v>1.027086571E10</v>
      </c>
      <c r="W442" s="32" t="n">
        <f>1148364630</f>
        <v>1.14836463E9</v>
      </c>
      <c r="X442" s="36" t="n">
        <f>22</f>
        <v>22.0</v>
      </c>
    </row>
    <row r="443">
      <c r="A443" s="27" t="s">
        <v>42</v>
      </c>
      <c r="B443" s="27" t="s">
        <v>1376</v>
      </c>
      <c r="C443" s="27" t="s">
        <v>1377</v>
      </c>
      <c r="D443" s="27" t="s">
        <v>1378</v>
      </c>
      <c r="E443" s="28" t="s">
        <v>46</v>
      </c>
      <c r="F443" s="29" t="s">
        <v>46</v>
      </c>
      <c r="G443" s="30" t="s">
        <v>46</v>
      </c>
      <c r="H443" s="31"/>
      <c r="I443" s="31" t="s">
        <v>418</v>
      </c>
      <c r="J443" s="32" t="n">
        <v>1.0</v>
      </c>
      <c r="K443" s="33" t="n">
        <f>2073</f>
        <v>2073.0</v>
      </c>
      <c r="L443" s="34" t="s">
        <v>48</v>
      </c>
      <c r="M443" s="33" t="n">
        <f>2084</f>
        <v>2084.0</v>
      </c>
      <c r="N443" s="34" t="s">
        <v>51</v>
      </c>
      <c r="O443" s="33" t="n">
        <f>1988</f>
        <v>1988.0</v>
      </c>
      <c r="P443" s="34" t="s">
        <v>106</v>
      </c>
      <c r="Q443" s="33" t="n">
        <f>2073</f>
        <v>2073.0</v>
      </c>
      <c r="R443" s="34" t="s">
        <v>51</v>
      </c>
      <c r="S443" s="35" t="n">
        <f>2037.09</f>
        <v>2037.09</v>
      </c>
      <c r="T443" s="32" t="n">
        <f>793226</f>
        <v>793226.0</v>
      </c>
      <c r="U443" s="32" t="n">
        <f>502575</f>
        <v>502575.0</v>
      </c>
      <c r="V443" s="32" t="n">
        <f>1608964938</f>
        <v>1.608964938E9</v>
      </c>
      <c r="W443" s="32" t="n">
        <f>1017984590</f>
        <v>1.01798459E9</v>
      </c>
      <c r="X443" s="36" t="n">
        <f>22</f>
        <v>22.0</v>
      </c>
    </row>
    <row r="444">
      <c r="A444" s="27" t="s">
        <v>42</v>
      </c>
      <c r="B444" s="27" t="s">
        <v>1379</v>
      </c>
      <c r="C444" s="27" t="s">
        <v>1380</v>
      </c>
      <c r="D444" s="27" t="s">
        <v>1381</v>
      </c>
      <c r="E444" s="28" t="s">
        <v>46</v>
      </c>
      <c r="F444" s="29" t="s">
        <v>46</v>
      </c>
      <c r="G444" s="30" t="s">
        <v>46</v>
      </c>
      <c r="H444" s="31"/>
      <c r="I444" s="31" t="s">
        <v>418</v>
      </c>
      <c r="J444" s="32" t="n">
        <v>10.0</v>
      </c>
      <c r="K444" s="33" t="n">
        <f>262.7</f>
        <v>262.7</v>
      </c>
      <c r="L444" s="34" t="s">
        <v>48</v>
      </c>
      <c r="M444" s="33" t="n">
        <f>287.6</f>
        <v>287.6</v>
      </c>
      <c r="N444" s="34" t="s">
        <v>210</v>
      </c>
      <c r="O444" s="33" t="n">
        <f>258.4</f>
        <v>258.4</v>
      </c>
      <c r="P444" s="34" t="s">
        <v>90</v>
      </c>
      <c r="Q444" s="33" t="n">
        <f>272.1</f>
        <v>272.1</v>
      </c>
      <c r="R444" s="34" t="s">
        <v>51</v>
      </c>
      <c r="S444" s="35" t="n">
        <f>268.45</f>
        <v>268.45</v>
      </c>
      <c r="T444" s="32" t="n">
        <f>3717960</f>
        <v>3717960.0</v>
      </c>
      <c r="U444" s="32" t="n">
        <f>1130</f>
        <v>1130.0</v>
      </c>
      <c r="V444" s="32" t="n">
        <f>1008512639</f>
        <v>1.008512639E9</v>
      </c>
      <c r="W444" s="32" t="n">
        <f>303017</f>
        <v>303017.0</v>
      </c>
      <c r="X444" s="36" t="n">
        <f>22</f>
        <v>22.0</v>
      </c>
    </row>
    <row r="445">
      <c r="A445" s="27" t="s">
        <v>42</v>
      </c>
      <c r="B445" s="27" t="s">
        <v>1382</v>
      </c>
      <c r="C445" s="27" t="s">
        <v>1383</v>
      </c>
      <c r="D445" s="27" t="s">
        <v>1384</v>
      </c>
      <c r="E445" s="28" t="s">
        <v>46</v>
      </c>
      <c r="F445" s="29" t="s">
        <v>46</v>
      </c>
      <c r="G445" s="30" t="s">
        <v>46</v>
      </c>
      <c r="H445" s="31"/>
      <c r="I445" s="31" t="s">
        <v>418</v>
      </c>
      <c r="J445" s="32" t="n">
        <v>10.0</v>
      </c>
      <c r="K445" s="33" t="n">
        <f>261.5</f>
        <v>261.5</v>
      </c>
      <c r="L445" s="34" t="s">
        <v>48</v>
      </c>
      <c r="M445" s="33" t="n">
        <f>281.7</f>
        <v>281.7</v>
      </c>
      <c r="N445" s="34" t="s">
        <v>48</v>
      </c>
      <c r="O445" s="33" t="n">
        <f>257.9</f>
        <v>257.9</v>
      </c>
      <c r="P445" s="34" t="s">
        <v>106</v>
      </c>
      <c r="Q445" s="33" t="n">
        <f>269.2</f>
        <v>269.2</v>
      </c>
      <c r="R445" s="34" t="s">
        <v>51</v>
      </c>
      <c r="S445" s="35" t="n">
        <f>266.88</f>
        <v>266.88</v>
      </c>
      <c r="T445" s="32" t="n">
        <f>1125350</f>
        <v>1125350.0</v>
      </c>
      <c r="U445" s="32" t="str">
        <f>"－"</f>
        <v>－</v>
      </c>
      <c r="V445" s="32" t="n">
        <f>301965891</f>
        <v>3.01965891E8</v>
      </c>
      <c r="W445" s="32" t="str">
        <f>"－"</f>
        <v>－</v>
      </c>
      <c r="X445" s="36" t="n">
        <f>22</f>
        <v>22.0</v>
      </c>
    </row>
    <row r="446">
      <c r="A446" s="27" t="s">
        <v>42</v>
      </c>
      <c r="B446" s="27" t="s">
        <v>1385</v>
      </c>
      <c r="C446" s="27" t="s">
        <v>1386</v>
      </c>
      <c r="D446" s="27" t="s">
        <v>1387</v>
      </c>
      <c r="E446" s="28" t="s">
        <v>46</v>
      </c>
      <c r="F446" s="29" t="s">
        <v>46</v>
      </c>
      <c r="G446" s="30" t="s">
        <v>46</v>
      </c>
      <c r="H446" s="31"/>
      <c r="I446" s="31" t="s">
        <v>418</v>
      </c>
      <c r="J446" s="32" t="n">
        <v>10.0</v>
      </c>
      <c r="K446" s="33" t="n">
        <f>729.1</f>
        <v>729.1</v>
      </c>
      <c r="L446" s="34" t="s">
        <v>48</v>
      </c>
      <c r="M446" s="33" t="n">
        <f>757</f>
        <v>757.0</v>
      </c>
      <c r="N446" s="34" t="s">
        <v>210</v>
      </c>
      <c r="O446" s="33" t="n">
        <f>707</f>
        <v>707.0</v>
      </c>
      <c r="P446" s="34" t="s">
        <v>67</v>
      </c>
      <c r="Q446" s="33" t="n">
        <f>728.8</f>
        <v>728.8</v>
      </c>
      <c r="R446" s="34" t="s">
        <v>51</v>
      </c>
      <c r="S446" s="35" t="n">
        <f>721.95</f>
        <v>721.95</v>
      </c>
      <c r="T446" s="32" t="n">
        <f>257850</f>
        <v>257850.0</v>
      </c>
      <c r="U446" s="32" t="str">
        <f>"－"</f>
        <v>－</v>
      </c>
      <c r="V446" s="32" t="n">
        <f>186303994</f>
        <v>1.86303994E8</v>
      </c>
      <c r="W446" s="32" t="str">
        <f>"－"</f>
        <v>－</v>
      </c>
      <c r="X446" s="36" t="n">
        <f>22</f>
        <v>22.0</v>
      </c>
    </row>
    <row r="447">
      <c r="A447" s="27" t="s">
        <v>42</v>
      </c>
      <c r="B447" s="27" t="s">
        <v>1388</v>
      </c>
      <c r="C447" s="27" t="s">
        <v>1389</v>
      </c>
      <c r="D447" s="27" t="s">
        <v>1390</v>
      </c>
      <c r="E447" s="28" t="s">
        <v>46</v>
      </c>
      <c r="F447" s="29" t="s">
        <v>46</v>
      </c>
      <c r="G447" s="30" t="s">
        <v>46</v>
      </c>
      <c r="H447" s="31"/>
      <c r="I447" s="31" t="s">
        <v>418</v>
      </c>
      <c r="J447" s="32" t="n">
        <v>10.0</v>
      </c>
      <c r="K447" s="33" t="n">
        <f>716.3</f>
        <v>716.3</v>
      </c>
      <c r="L447" s="34" t="s">
        <v>48</v>
      </c>
      <c r="M447" s="33" t="n">
        <f>730</f>
        <v>730.0</v>
      </c>
      <c r="N447" s="34" t="s">
        <v>210</v>
      </c>
      <c r="O447" s="33" t="n">
        <f>703.8</f>
        <v>703.8</v>
      </c>
      <c r="P447" s="34" t="s">
        <v>67</v>
      </c>
      <c r="Q447" s="33" t="n">
        <f>722</f>
        <v>722.0</v>
      </c>
      <c r="R447" s="34" t="s">
        <v>51</v>
      </c>
      <c r="S447" s="35" t="n">
        <f>717.44</f>
        <v>717.44</v>
      </c>
      <c r="T447" s="32" t="n">
        <f>5498560</f>
        <v>5498560.0</v>
      </c>
      <c r="U447" s="32" t="n">
        <f>2801280</f>
        <v>2801280.0</v>
      </c>
      <c r="V447" s="32" t="n">
        <f>3921356841</f>
        <v>3.921356841E9</v>
      </c>
      <c r="W447" s="32" t="n">
        <f>2004691898</f>
        <v>2.004691898E9</v>
      </c>
      <c r="X447" s="36" t="n">
        <f>22</f>
        <v>22.0</v>
      </c>
    </row>
    <row r="448">
      <c r="A448" s="27" t="s">
        <v>42</v>
      </c>
      <c r="B448" s="27" t="s">
        <v>1391</v>
      </c>
      <c r="C448" s="27" t="s">
        <v>1392</v>
      </c>
      <c r="D448" s="27" t="s">
        <v>1393</v>
      </c>
      <c r="E448" s="28" t="s">
        <v>46</v>
      </c>
      <c r="F448" s="29" t="s">
        <v>46</v>
      </c>
      <c r="G448" s="30" t="s">
        <v>46</v>
      </c>
      <c r="H448" s="31"/>
      <c r="I448" s="31" t="s">
        <v>418</v>
      </c>
      <c r="J448" s="32" t="n">
        <v>10.0</v>
      </c>
      <c r="K448" s="33" t="n">
        <f>276.2</f>
        <v>276.2</v>
      </c>
      <c r="L448" s="34" t="s">
        <v>48</v>
      </c>
      <c r="M448" s="33" t="n">
        <f>276.2</f>
        <v>276.2</v>
      </c>
      <c r="N448" s="34" t="s">
        <v>48</v>
      </c>
      <c r="O448" s="33" t="n">
        <f>255</f>
        <v>255.0</v>
      </c>
      <c r="P448" s="34" t="s">
        <v>106</v>
      </c>
      <c r="Q448" s="33" t="n">
        <f>260.8</f>
        <v>260.8</v>
      </c>
      <c r="R448" s="34" t="s">
        <v>51</v>
      </c>
      <c r="S448" s="35" t="n">
        <f>258.82</f>
        <v>258.82</v>
      </c>
      <c r="T448" s="32" t="n">
        <f>668920</f>
        <v>668920.0</v>
      </c>
      <c r="U448" s="32" t="n">
        <f>740</f>
        <v>740.0</v>
      </c>
      <c r="V448" s="32" t="n">
        <f>172970688</f>
        <v>1.72970688E8</v>
      </c>
      <c r="W448" s="32" t="n">
        <f>198351</f>
        <v>198351.0</v>
      </c>
      <c r="X448" s="36" t="n">
        <f>22</f>
        <v>22.0</v>
      </c>
    </row>
    <row r="449">
      <c r="A449" s="27" t="s">
        <v>42</v>
      </c>
      <c r="B449" s="27" t="s">
        <v>1394</v>
      </c>
      <c r="C449" s="27" t="s">
        <v>1395</v>
      </c>
      <c r="D449" s="27" t="s">
        <v>1396</v>
      </c>
      <c r="E449" s="28" t="s">
        <v>46</v>
      </c>
      <c r="F449" s="29" t="s">
        <v>46</v>
      </c>
      <c r="G449" s="30" t="s">
        <v>46</v>
      </c>
      <c r="H449" s="31"/>
      <c r="I449" s="31" t="s">
        <v>418</v>
      </c>
      <c r="J449" s="32" t="n">
        <v>10.0</v>
      </c>
      <c r="K449" s="33" t="n">
        <f>822.9</f>
        <v>822.9</v>
      </c>
      <c r="L449" s="34" t="s">
        <v>48</v>
      </c>
      <c r="M449" s="33" t="n">
        <f>849</f>
        <v>849.0</v>
      </c>
      <c r="N449" s="34" t="s">
        <v>75</v>
      </c>
      <c r="O449" s="33" t="n">
        <f>807.4</f>
        <v>807.4</v>
      </c>
      <c r="P449" s="34" t="s">
        <v>369</v>
      </c>
      <c r="Q449" s="33" t="n">
        <f>811.1</f>
        <v>811.1</v>
      </c>
      <c r="R449" s="34" t="s">
        <v>51</v>
      </c>
      <c r="S449" s="35" t="n">
        <f>821.24</f>
        <v>821.24</v>
      </c>
      <c r="T449" s="32" t="n">
        <f>1128390</f>
        <v>1128390.0</v>
      </c>
      <c r="U449" s="32" t="str">
        <f>"－"</f>
        <v>－</v>
      </c>
      <c r="V449" s="32" t="n">
        <f>922220236</f>
        <v>9.22220236E8</v>
      </c>
      <c r="W449" s="32" t="str">
        <f>"－"</f>
        <v>－</v>
      </c>
      <c r="X449" s="36" t="n">
        <f>22</f>
        <v>22.0</v>
      </c>
    </row>
    <row r="450">
      <c r="A450" s="27" t="s">
        <v>42</v>
      </c>
      <c r="B450" s="27" t="s">
        <v>1397</v>
      </c>
      <c r="C450" s="27" t="s">
        <v>1398</v>
      </c>
      <c r="D450" s="27" t="s">
        <v>1399</v>
      </c>
      <c r="E450" s="28" t="s">
        <v>46</v>
      </c>
      <c r="F450" s="29" t="s">
        <v>46</v>
      </c>
      <c r="G450" s="30" t="s">
        <v>46</v>
      </c>
      <c r="H450" s="31"/>
      <c r="I450" s="31" t="s">
        <v>418</v>
      </c>
      <c r="J450" s="32" t="n">
        <v>10.0</v>
      </c>
      <c r="K450" s="33" t="n">
        <f>817.6</f>
        <v>817.6</v>
      </c>
      <c r="L450" s="34" t="s">
        <v>48</v>
      </c>
      <c r="M450" s="33" t="n">
        <f>817.6</f>
        <v>817.6</v>
      </c>
      <c r="N450" s="34" t="s">
        <v>48</v>
      </c>
      <c r="O450" s="33" t="n">
        <f>790.1</f>
        <v>790.1</v>
      </c>
      <c r="P450" s="34" t="s">
        <v>63</v>
      </c>
      <c r="Q450" s="33" t="n">
        <f>800.6</f>
        <v>800.6</v>
      </c>
      <c r="R450" s="34" t="s">
        <v>51</v>
      </c>
      <c r="S450" s="35" t="n">
        <f>802.19</f>
        <v>802.19</v>
      </c>
      <c r="T450" s="32" t="n">
        <f>1735060</f>
        <v>1735060.0</v>
      </c>
      <c r="U450" s="32" t="n">
        <f>190</f>
        <v>190.0</v>
      </c>
      <c r="V450" s="32" t="n">
        <f>1391925905</f>
        <v>1.391925905E9</v>
      </c>
      <c r="W450" s="32" t="n">
        <f>152948</f>
        <v>152948.0</v>
      </c>
      <c r="X450" s="36" t="n">
        <f>22</f>
        <v>22.0</v>
      </c>
    </row>
    <row r="451">
      <c r="A451" s="27" t="s">
        <v>42</v>
      </c>
      <c r="B451" s="27" t="s">
        <v>1400</v>
      </c>
      <c r="C451" s="27" t="s">
        <v>1401</v>
      </c>
      <c r="D451" s="27" t="s">
        <v>1402</v>
      </c>
      <c r="E451" s="28" t="s">
        <v>46</v>
      </c>
      <c r="F451" s="29" t="s">
        <v>46</v>
      </c>
      <c r="G451" s="30" t="s">
        <v>46</v>
      </c>
      <c r="H451" s="31"/>
      <c r="I451" s="31" t="s">
        <v>418</v>
      </c>
      <c r="J451" s="32" t="n">
        <v>1.0</v>
      </c>
      <c r="K451" s="33" t="n">
        <f>11650</f>
        <v>11650.0</v>
      </c>
      <c r="L451" s="34" t="s">
        <v>48</v>
      </c>
      <c r="M451" s="33" t="n">
        <f>11650</f>
        <v>11650.0</v>
      </c>
      <c r="N451" s="34" t="s">
        <v>48</v>
      </c>
      <c r="O451" s="33" t="n">
        <f>11100</f>
        <v>11100.0</v>
      </c>
      <c r="P451" s="34" t="s">
        <v>106</v>
      </c>
      <c r="Q451" s="33" t="n">
        <f>11600</f>
        <v>11600.0</v>
      </c>
      <c r="R451" s="34" t="s">
        <v>51</v>
      </c>
      <c r="S451" s="35" t="n">
        <f>11424.55</f>
        <v>11424.55</v>
      </c>
      <c r="T451" s="32" t="n">
        <f>6239</f>
        <v>6239.0</v>
      </c>
      <c r="U451" s="32" t="str">
        <f>"－"</f>
        <v>－</v>
      </c>
      <c r="V451" s="32" t="n">
        <f>70975240</f>
        <v>7.097524E7</v>
      </c>
      <c r="W451" s="32" t="str">
        <f>"－"</f>
        <v>－</v>
      </c>
      <c r="X451" s="36" t="n">
        <f>22</f>
        <v>22.0</v>
      </c>
    </row>
    <row r="452">
      <c r="A452" s="27" t="s">
        <v>42</v>
      </c>
      <c r="B452" s="27" t="s">
        <v>1403</v>
      </c>
      <c r="C452" s="27" t="s">
        <v>1404</v>
      </c>
      <c r="D452" s="27" t="s">
        <v>1405</v>
      </c>
      <c r="E452" s="28" t="s">
        <v>46</v>
      </c>
      <c r="F452" s="29" t="s">
        <v>46</v>
      </c>
      <c r="G452" s="30" t="s">
        <v>46</v>
      </c>
      <c r="H452" s="31"/>
      <c r="I452" s="31" t="s">
        <v>418</v>
      </c>
      <c r="J452" s="32" t="n">
        <v>1.0</v>
      </c>
      <c r="K452" s="33" t="n">
        <f>2092</f>
        <v>2092.0</v>
      </c>
      <c r="L452" s="34" t="s">
        <v>48</v>
      </c>
      <c r="M452" s="33" t="n">
        <f>2196</f>
        <v>2196.0</v>
      </c>
      <c r="N452" s="34" t="s">
        <v>71</v>
      </c>
      <c r="O452" s="33" t="n">
        <f>2050</f>
        <v>2050.0</v>
      </c>
      <c r="P452" s="34" t="s">
        <v>50</v>
      </c>
      <c r="Q452" s="33" t="n">
        <f>2151</f>
        <v>2151.0</v>
      </c>
      <c r="R452" s="34" t="s">
        <v>51</v>
      </c>
      <c r="S452" s="35" t="n">
        <f>2119.86</f>
        <v>2119.86</v>
      </c>
      <c r="T452" s="32" t="n">
        <f>181444</f>
        <v>181444.0</v>
      </c>
      <c r="U452" s="32" t="str">
        <f>"－"</f>
        <v>－</v>
      </c>
      <c r="V452" s="32" t="n">
        <f>383108055</f>
        <v>3.83108055E8</v>
      </c>
      <c r="W452" s="32" t="str">
        <f>"－"</f>
        <v>－</v>
      </c>
      <c r="X452" s="36" t="n">
        <f>22</f>
        <v>22.0</v>
      </c>
    </row>
    <row r="453">
      <c r="A453" s="27" t="s">
        <v>42</v>
      </c>
      <c r="B453" s="27" t="s">
        <v>1406</v>
      </c>
      <c r="C453" s="27" t="s">
        <v>1407</v>
      </c>
      <c r="D453" s="27" t="s">
        <v>1408</v>
      </c>
      <c r="E453" s="28" t="s">
        <v>46</v>
      </c>
      <c r="F453" s="29" t="s">
        <v>46</v>
      </c>
      <c r="G453" s="30" t="s">
        <v>46</v>
      </c>
      <c r="H453" s="31"/>
      <c r="I453" s="31" t="s">
        <v>418</v>
      </c>
      <c r="J453" s="32" t="n">
        <v>1.0</v>
      </c>
      <c r="K453" s="33" t="n">
        <f>1040</f>
        <v>1040.0</v>
      </c>
      <c r="L453" s="34" t="s">
        <v>48</v>
      </c>
      <c r="M453" s="33" t="n">
        <f>1109</f>
        <v>1109.0</v>
      </c>
      <c r="N453" s="34" t="s">
        <v>200</v>
      </c>
      <c r="O453" s="33" t="n">
        <f>1022</f>
        <v>1022.0</v>
      </c>
      <c r="P453" s="34" t="s">
        <v>48</v>
      </c>
      <c r="Q453" s="33" t="n">
        <f>1064</f>
        <v>1064.0</v>
      </c>
      <c r="R453" s="34" t="s">
        <v>51</v>
      </c>
      <c r="S453" s="35" t="n">
        <f>1052.55</f>
        <v>1052.55</v>
      </c>
      <c r="T453" s="32" t="n">
        <f>1878836</f>
        <v>1878836.0</v>
      </c>
      <c r="U453" s="32" t="n">
        <f>683032</f>
        <v>683032.0</v>
      </c>
      <c r="V453" s="32" t="n">
        <f>1971507747</f>
        <v>1.971507747E9</v>
      </c>
      <c r="W453" s="32" t="n">
        <f>719950738</f>
        <v>7.19950738E8</v>
      </c>
      <c r="X453" s="36" t="n">
        <f>22</f>
        <v>22.0</v>
      </c>
    </row>
    <row r="454">
      <c r="A454" s="27" t="s">
        <v>42</v>
      </c>
      <c r="B454" s="27" t="s">
        <v>1409</v>
      </c>
      <c r="C454" s="27" t="s">
        <v>1410</v>
      </c>
      <c r="D454" s="27" t="s">
        <v>1411</v>
      </c>
      <c r="E454" s="28" t="s">
        <v>46</v>
      </c>
      <c r="F454" s="29" t="s">
        <v>46</v>
      </c>
      <c r="G454" s="30" t="s">
        <v>46</v>
      </c>
      <c r="H454" s="31"/>
      <c r="I454" s="31" t="s">
        <v>418</v>
      </c>
      <c r="J454" s="32" t="n">
        <v>1.0</v>
      </c>
      <c r="K454" s="33" t="n">
        <f>1025</f>
        <v>1025.0</v>
      </c>
      <c r="L454" s="34" t="s">
        <v>48</v>
      </c>
      <c r="M454" s="33" t="n">
        <f>1109</f>
        <v>1109.0</v>
      </c>
      <c r="N454" s="34" t="s">
        <v>210</v>
      </c>
      <c r="O454" s="33" t="n">
        <f>983</f>
        <v>983.0</v>
      </c>
      <c r="P454" s="34" t="s">
        <v>181</v>
      </c>
      <c r="Q454" s="33" t="n">
        <f>1070</f>
        <v>1070.0</v>
      </c>
      <c r="R454" s="34" t="s">
        <v>51</v>
      </c>
      <c r="S454" s="35" t="n">
        <f>1046.77</f>
        <v>1046.77</v>
      </c>
      <c r="T454" s="32" t="n">
        <f>3528440</f>
        <v>3528440.0</v>
      </c>
      <c r="U454" s="32" t="n">
        <f>122144</f>
        <v>122144.0</v>
      </c>
      <c r="V454" s="32" t="n">
        <f>3691874560</f>
        <v>3.69187456E9</v>
      </c>
      <c r="W454" s="32" t="n">
        <f>126241688</f>
        <v>1.26241688E8</v>
      </c>
      <c r="X454" s="36" t="n">
        <f>22</f>
        <v>22.0</v>
      </c>
    </row>
    <row r="455">
      <c r="A455" s="27" t="s">
        <v>42</v>
      </c>
      <c r="B455" s="27" t="s">
        <v>1412</v>
      </c>
      <c r="C455" s="27" t="s">
        <v>1413</v>
      </c>
      <c r="D455" s="27" t="s">
        <v>1414</v>
      </c>
      <c r="E455" s="28" t="s">
        <v>46</v>
      </c>
      <c r="F455" s="29" t="s">
        <v>46</v>
      </c>
      <c r="G455" s="30" t="s">
        <v>46</v>
      </c>
      <c r="H455" s="31"/>
      <c r="I455" s="31" t="s">
        <v>418</v>
      </c>
      <c r="J455" s="32" t="n">
        <v>10.0</v>
      </c>
      <c r="K455" s="33" t="n">
        <f>301.3</f>
        <v>301.3</v>
      </c>
      <c r="L455" s="34" t="s">
        <v>48</v>
      </c>
      <c r="M455" s="33" t="n">
        <f>301.4</f>
        <v>301.4</v>
      </c>
      <c r="N455" s="34" t="s">
        <v>48</v>
      </c>
      <c r="O455" s="33" t="n">
        <f>295.8</f>
        <v>295.8</v>
      </c>
      <c r="P455" s="34" t="s">
        <v>106</v>
      </c>
      <c r="Q455" s="33" t="n">
        <f>299.8</f>
        <v>299.8</v>
      </c>
      <c r="R455" s="34" t="s">
        <v>51</v>
      </c>
      <c r="S455" s="35" t="n">
        <f>299.17</f>
        <v>299.17</v>
      </c>
      <c r="T455" s="32" t="n">
        <f>687930</f>
        <v>687930.0</v>
      </c>
      <c r="U455" s="32" t="str">
        <f>"－"</f>
        <v>－</v>
      </c>
      <c r="V455" s="32" t="n">
        <f>206067029</f>
        <v>2.06067029E8</v>
      </c>
      <c r="W455" s="32" t="str">
        <f>"－"</f>
        <v>－</v>
      </c>
      <c r="X455" s="36" t="n">
        <f>22</f>
        <v>22.0</v>
      </c>
    </row>
    <row r="456">
      <c r="A456" s="27" t="s">
        <v>42</v>
      </c>
      <c r="B456" s="27" t="s">
        <v>1415</v>
      </c>
      <c r="C456" s="27" t="s">
        <v>1416</v>
      </c>
      <c r="D456" s="27" t="s">
        <v>1417</v>
      </c>
      <c r="E456" s="28" t="s">
        <v>46</v>
      </c>
      <c r="F456" s="29" t="s">
        <v>46</v>
      </c>
      <c r="G456" s="30" t="s">
        <v>46</v>
      </c>
      <c r="H456" s="31"/>
      <c r="I456" s="31" t="s">
        <v>418</v>
      </c>
      <c r="J456" s="32" t="n">
        <v>10.0</v>
      </c>
      <c r="K456" s="33" t="n">
        <f>299.9</f>
        <v>299.9</v>
      </c>
      <c r="L456" s="34" t="s">
        <v>48</v>
      </c>
      <c r="M456" s="33" t="n">
        <f>300.7</f>
        <v>300.7</v>
      </c>
      <c r="N456" s="34" t="s">
        <v>59</v>
      </c>
      <c r="O456" s="33" t="n">
        <f>294.5</f>
        <v>294.5</v>
      </c>
      <c r="P456" s="34" t="s">
        <v>200</v>
      </c>
      <c r="Q456" s="33" t="n">
        <f>299.2</f>
        <v>299.2</v>
      </c>
      <c r="R456" s="34" t="s">
        <v>51</v>
      </c>
      <c r="S456" s="35" t="n">
        <f>297.82</f>
        <v>297.82</v>
      </c>
      <c r="T456" s="32" t="n">
        <f>1223250</f>
        <v>1223250.0</v>
      </c>
      <c r="U456" s="32" t="str">
        <f>"－"</f>
        <v>－</v>
      </c>
      <c r="V456" s="32" t="n">
        <f>365114031</f>
        <v>3.65114031E8</v>
      </c>
      <c r="W456" s="32" t="str">
        <f>"－"</f>
        <v>－</v>
      </c>
      <c r="X456" s="36" t="n">
        <f>22</f>
        <v>22.0</v>
      </c>
    </row>
    <row r="457">
      <c r="A457" s="27" t="s">
        <v>42</v>
      </c>
      <c r="B457" s="27" t="s">
        <v>1418</v>
      </c>
      <c r="C457" s="27" t="s">
        <v>1419</v>
      </c>
      <c r="D457" s="27" t="s">
        <v>1420</v>
      </c>
      <c r="E457" s="28" t="s">
        <v>1421</v>
      </c>
      <c r="F457" s="29" t="s">
        <v>1422</v>
      </c>
      <c r="G457" s="30" t="s">
        <v>1423</v>
      </c>
      <c r="H457" s="31"/>
      <c r="I457" s="31" t="s">
        <v>418</v>
      </c>
      <c r="J457" s="32" t="n">
        <v>1.0</v>
      </c>
      <c r="K457" s="33" t="n">
        <f>1023</f>
        <v>1023.0</v>
      </c>
      <c r="L457" s="34" t="s">
        <v>86</v>
      </c>
      <c r="M457" s="33" t="n">
        <f>1025</f>
        <v>1025.0</v>
      </c>
      <c r="N457" s="34" t="s">
        <v>128</v>
      </c>
      <c r="O457" s="33" t="n">
        <f>976</f>
        <v>976.0</v>
      </c>
      <c r="P457" s="34" t="s">
        <v>67</v>
      </c>
      <c r="Q457" s="33" t="n">
        <f>1009</f>
        <v>1009.0</v>
      </c>
      <c r="R457" s="34" t="s">
        <v>51</v>
      </c>
      <c r="S457" s="35" t="n">
        <f>1008.22</f>
        <v>1008.22</v>
      </c>
      <c r="T457" s="32" t="n">
        <f>122838</f>
        <v>122838.0</v>
      </c>
      <c r="U457" s="32" t="n">
        <f>2</f>
        <v>2.0</v>
      </c>
      <c r="V457" s="32" t="n">
        <f>124086526</f>
        <v>1.24086526E8</v>
      </c>
      <c r="W457" s="32" t="n">
        <f>1974</f>
        <v>1974.0</v>
      </c>
      <c r="X457" s="36" t="n">
        <f>18</f>
        <v>18.0</v>
      </c>
    </row>
    <row r="458">
      <c r="A458" s="27" t="s">
        <v>42</v>
      </c>
      <c r="B458" s="27" t="s">
        <v>1424</v>
      </c>
      <c r="C458" s="27" t="s">
        <v>1425</v>
      </c>
      <c r="D458" s="27" t="s">
        <v>1426</v>
      </c>
      <c r="E458" s="28" t="s">
        <v>1421</v>
      </c>
      <c r="F458" s="29" t="s">
        <v>1422</v>
      </c>
      <c r="G458" s="30" t="s">
        <v>1427</v>
      </c>
      <c r="H458" s="31"/>
      <c r="I458" s="31" t="s">
        <v>418</v>
      </c>
      <c r="J458" s="32" t="n">
        <v>1.0</v>
      </c>
      <c r="K458" s="33" t="n">
        <f>2130</f>
        <v>2130.0</v>
      </c>
      <c r="L458" s="34" t="s">
        <v>63</v>
      </c>
      <c r="M458" s="33" t="n">
        <f>2309</f>
        <v>2309.0</v>
      </c>
      <c r="N458" s="34" t="s">
        <v>210</v>
      </c>
      <c r="O458" s="33" t="n">
        <f>1961</f>
        <v>1961.0</v>
      </c>
      <c r="P458" s="34" t="s">
        <v>67</v>
      </c>
      <c r="Q458" s="33" t="n">
        <f>2090</f>
        <v>2090.0</v>
      </c>
      <c r="R458" s="34" t="s">
        <v>51</v>
      </c>
      <c r="S458" s="35" t="n">
        <f>2067.1</f>
        <v>2067.1</v>
      </c>
      <c r="T458" s="32" t="n">
        <f>63780</f>
        <v>63780.0</v>
      </c>
      <c r="U458" s="32" t="str">
        <f>"－"</f>
        <v>－</v>
      </c>
      <c r="V458" s="32" t="n">
        <f>131758967</f>
        <v>1.31758967E8</v>
      </c>
      <c r="W458" s="32" t="str">
        <f>"－"</f>
        <v>－</v>
      </c>
      <c r="X458" s="36" t="n">
        <f>10</f>
        <v>10.0</v>
      </c>
    </row>
    <row r="459">
      <c r="A459" s="27" t="s">
        <v>42</v>
      </c>
      <c r="B459" s="27" t="s">
        <v>1428</v>
      </c>
      <c r="C459" s="27" t="s">
        <v>1429</v>
      </c>
      <c r="D459" s="27" t="s">
        <v>1430</v>
      </c>
      <c r="E459" s="28" t="s">
        <v>1421</v>
      </c>
      <c r="F459" s="29" t="s">
        <v>1422</v>
      </c>
      <c r="G459" s="30" t="s">
        <v>1427</v>
      </c>
      <c r="H459" s="31"/>
      <c r="I459" s="31" t="s">
        <v>418</v>
      </c>
      <c r="J459" s="32" t="n">
        <v>1.0</v>
      </c>
      <c r="K459" s="33" t="n">
        <f>2073</f>
        <v>2073.0</v>
      </c>
      <c r="L459" s="34" t="s">
        <v>63</v>
      </c>
      <c r="M459" s="33" t="n">
        <f>2290</f>
        <v>2290.0</v>
      </c>
      <c r="N459" s="34" t="s">
        <v>210</v>
      </c>
      <c r="O459" s="33" t="n">
        <f>1962</f>
        <v>1962.0</v>
      </c>
      <c r="P459" s="34" t="s">
        <v>67</v>
      </c>
      <c r="Q459" s="33" t="n">
        <f>2022</f>
        <v>2022.0</v>
      </c>
      <c r="R459" s="34" t="s">
        <v>51</v>
      </c>
      <c r="S459" s="35" t="n">
        <f>2044.9</f>
        <v>2044.9</v>
      </c>
      <c r="T459" s="32" t="n">
        <f>52484</f>
        <v>52484.0</v>
      </c>
      <c r="U459" s="32" t="str">
        <f>"－"</f>
        <v>－</v>
      </c>
      <c r="V459" s="32" t="n">
        <f>107520241</f>
        <v>1.07520241E8</v>
      </c>
      <c r="W459" s="32" t="str">
        <f>"－"</f>
        <v>－</v>
      </c>
      <c r="X459" s="36" t="n">
        <f>10</f>
        <v>10.0</v>
      </c>
    </row>
    <row r="460">
      <c r="A460" s="27" t="s">
        <v>42</v>
      </c>
      <c r="B460" s="27" t="s">
        <v>1431</v>
      </c>
      <c r="C460" s="27" t="s">
        <v>1432</v>
      </c>
      <c r="D460" s="27" t="s">
        <v>1433</v>
      </c>
      <c r="E460" s="28" t="s">
        <v>1421</v>
      </c>
      <c r="F460" s="29" t="s">
        <v>1422</v>
      </c>
      <c r="G460" s="30" t="s">
        <v>1427</v>
      </c>
      <c r="H460" s="31"/>
      <c r="I460" s="31" t="s">
        <v>418</v>
      </c>
      <c r="J460" s="32" t="n">
        <v>10.0</v>
      </c>
      <c r="K460" s="33" t="n">
        <f>809.9</f>
        <v>809.9</v>
      </c>
      <c r="L460" s="34" t="s">
        <v>63</v>
      </c>
      <c r="M460" s="33" t="n">
        <f>810</f>
        <v>810.0</v>
      </c>
      <c r="N460" s="34" t="s">
        <v>63</v>
      </c>
      <c r="O460" s="33" t="n">
        <f>791</f>
        <v>791.0</v>
      </c>
      <c r="P460" s="34" t="s">
        <v>59</v>
      </c>
      <c r="Q460" s="33" t="n">
        <f>799.2</f>
        <v>799.2</v>
      </c>
      <c r="R460" s="34" t="s">
        <v>51</v>
      </c>
      <c r="S460" s="35" t="n">
        <f>799.53</f>
        <v>799.53</v>
      </c>
      <c r="T460" s="32" t="n">
        <f>726280</f>
        <v>726280.0</v>
      </c>
      <c r="U460" s="32" t="n">
        <f>625000</f>
        <v>625000.0</v>
      </c>
      <c r="V460" s="32" t="n">
        <f>581019086</f>
        <v>5.81019086E8</v>
      </c>
      <c r="W460" s="32" t="n">
        <f>500150000</f>
        <v>5.0015E8</v>
      </c>
      <c r="X460" s="36" t="n">
        <f>10</f>
        <v>10.0</v>
      </c>
    </row>
    <row r="461">
      <c r="A461" s="27" t="s">
        <v>42</v>
      </c>
      <c r="B461" s="27" t="s">
        <v>1434</v>
      </c>
      <c r="C461" s="27" t="s">
        <v>1435</v>
      </c>
      <c r="D461" s="27" t="s">
        <v>1436</v>
      </c>
      <c r="E461" s="28" t="s">
        <v>1421</v>
      </c>
      <c r="F461" s="29" t="s">
        <v>1422</v>
      </c>
      <c r="G461" s="30" t="s">
        <v>1437</v>
      </c>
      <c r="H461" s="31"/>
      <c r="I461" s="31" t="s">
        <v>418</v>
      </c>
      <c r="J461" s="32" t="n">
        <v>1.0</v>
      </c>
      <c r="K461" s="33" t="n">
        <f>980</f>
        <v>980.0</v>
      </c>
      <c r="L461" s="34" t="s">
        <v>67</v>
      </c>
      <c r="M461" s="33" t="n">
        <f>1016</f>
        <v>1016.0</v>
      </c>
      <c r="N461" s="34" t="s">
        <v>82</v>
      </c>
      <c r="O461" s="33" t="n">
        <f>971</f>
        <v>971.0</v>
      </c>
      <c r="P461" s="34" t="s">
        <v>67</v>
      </c>
      <c r="Q461" s="33" t="n">
        <f>1006</f>
        <v>1006.0</v>
      </c>
      <c r="R461" s="34" t="s">
        <v>51</v>
      </c>
      <c r="S461" s="35" t="n">
        <f>993</f>
        <v>993.0</v>
      </c>
      <c r="T461" s="32" t="n">
        <f>25791</f>
        <v>25791.0</v>
      </c>
      <c r="U461" s="32" t="str">
        <f>"－"</f>
        <v>－</v>
      </c>
      <c r="V461" s="32" t="n">
        <f>25409236</f>
        <v>2.5409236E7</v>
      </c>
      <c r="W461" s="32" t="str">
        <f>"－"</f>
        <v>－</v>
      </c>
      <c r="X461" s="36" t="n">
        <f>9</f>
        <v>9.0</v>
      </c>
    </row>
    <row r="462">
      <c r="A462" s="27" t="s">
        <v>42</v>
      </c>
      <c r="B462" s="27" t="s">
        <v>1438</v>
      </c>
      <c r="C462" s="27" t="s">
        <v>1439</v>
      </c>
      <c r="D462" s="27" t="s">
        <v>1440</v>
      </c>
      <c r="E462" s="28" t="s">
        <v>46</v>
      </c>
      <c r="F462" s="29" t="s">
        <v>46</v>
      </c>
      <c r="G462" s="30" t="s">
        <v>46</v>
      </c>
      <c r="H462" s="31"/>
      <c r="I462" s="31" t="s">
        <v>47</v>
      </c>
      <c r="J462" s="32" t="n">
        <v>1.0</v>
      </c>
      <c r="K462" s="33" t="n">
        <f>148500</f>
        <v>148500.0</v>
      </c>
      <c r="L462" s="34" t="s">
        <v>48</v>
      </c>
      <c r="M462" s="33" t="n">
        <f>149400</f>
        <v>149400.0</v>
      </c>
      <c r="N462" s="34" t="s">
        <v>48</v>
      </c>
      <c r="O462" s="33" t="n">
        <f>139900</f>
        <v>139900.0</v>
      </c>
      <c r="P462" s="34" t="s">
        <v>106</v>
      </c>
      <c r="Q462" s="33" t="n">
        <f>142900</f>
        <v>142900.0</v>
      </c>
      <c r="R462" s="34" t="s">
        <v>51</v>
      </c>
      <c r="S462" s="35" t="n">
        <f>143404.55</f>
        <v>143404.55</v>
      </c>
      <c r="T462" s="32" t="n">
        <f>499783</f>
        <v>499783.0</v>
      </c>
      <c r="U462" s="32" t="n">
        <f>98380</f>
        <v>98380.0</v>
      </c>
      <c r="V462" s="32" t="n">
        <f>71706239833</f>
        <v>7.1706239833E10</v>
      </c>
      <c r="W462" s="32" t="n">
        <f>14130852233</f>
        <v>1.4130852233E10</v>
      </c>
      <c r="X462" s="36" t="n">
        <f>22</f>
        <v>22.0</v>
      </c>
    </row>
    <row r="463">
      <c r="A463" s="27" t="s">
        <v>42</v>
      </c>
      <c r="B463" s="27" t="s">
        <v>1441</v>
      </c>
      <c r="C463" s="27" t="s">
        <v>1442</v>
      </c>
      <c r="D463" s="27" t="s">
        <v>1443</v>
      </c>
      <c r="E463" s="28" t="s">
        <v>46</v>
      </c>
      <c r="F463" s="29" t="s">
        <v>46</v>
      </c>
      <c r="G463" s="30" t="s">
        <v>46</v>
      </c>
      <c r="H463" s="31"/>
      <c r="I463" s="31" t="s">
        <v>47</v>
      </c>
      <c r="J463" s="32" t="n">
        <v>1.0</v>
      </c>
      <c r="K463" s="33" t="n">
        <f>133700</f>
        <v>133700.0</v>
      </c>
      <c r="L463" s="34" t="s">
        <v>48</v>
      </c>
      <c r="M463" s="33" t="n">
        <f>133700</f>
        <v>133700.0</v>
      </c>
      <c r="N463" s="34" t="s">
        <v>48</v>
      </c>
      <c r="O463" s="33" t="n">
        <f>125400</f>
        <v>125400.0</v>
      </c>
      <c r="P463" s="34" t="s">
        <v>106</v>
      </c>
      <c r="Q463" s="33" t="n">
        <f>130900</f>
        <v>130900.0</v>
      </c>
      <c r="R463" s="34" t="s">
        <v>51</v>
      </c>
      <c r="S463" s="35" t="n">
        <f>129309.09</f>
        <v>129309.09</v>
      </c>
      <c r="T463" s="32" t="n">
        <f>373071</f>
        <v>373071.0</v>
      </c>
      <c r="U463" s="32" t="n">
        <f>93621</f>
        <v>93621.0</v>
      </c>
      <c r="V463" s="32" t="n">
        <f>48232068995</f>
        <v>4.8232068995E10</v>
      </c>
      <c r="W463" s="32" t="n">
        <f>12127191595</f>
        <v>1.2127191595E10</v>
      </c>
      <c r="X463" s="36" t="n">
        <f>22</f>
        <v>22.0</v>
      </c>
    </row>
    <row r="464">
      <c r="A464" s="27" t="s">
        <v>42</v>
      </c>
      <c r="B464" s="27" t="s">
        <v>1444</v>
      </c>
      <c r="C464" s="27" t="s">
        <v>1445</v>
      </c>
      <c r="D464" s="27" t="s">
        <v>1446</v>
      </c>
      <c r="E464" s="28" t="s">
        <v>46</v>
      </c>
      <c r="F464" s="29" t="s">
        <v>46</v>
      </c>
      <c r="G464" s="30" t="s">
        <v>46</v>
      </c>
      <c r="H464" s="31"/>
      <c r="I464" s="31" t="s">
        <v>47</v>
      </c>
      <c r="J464" s="32" t="n">
        <v>1.0</v>
      </c>
      <c r="K464" s="33" t="n">
        <f>123300</f>
        <v>123300.0</v>
      </c>
      <c r="L464" s="34" t="s">
        <v>48</v>
      </c>
      <c r="M464" s="33" t="n">
        <f>125300</f>
        <v>125300.0</v>
      </c>
      <c r="N464" s="34" t="s">
        <v>51</v>
      </c>
      <c r="O464" s="33" t="n">
        <f>117500</f>
        <v>117500.0</v>
      </c>
      <c r="P464" s="34" t="s">
        <v>106</v>
      </c>
      <c r="Q464" s="33" t="n">
        <f>124100</f>
        <v>124100.0</v>
      </c>
      <c r="R464" s="34" t="s">
        <v>51</v>
      </c>
      <c r="S464" s="35" t="n">
        <f>121818.18</f>
        <v>121818.18</v>
      </c>
      <c r="T464" s="32" t="n">
        <f>332601</f>
        <v>332601.0</v>
      </c>
      <c r="U464" s="32" t="n">
        <f>78857</f>
        <v>78857.0</v>
      </c>
      <c r="V464" s="32" t="n">
        <f>40478957918</f>
        <v>4.0478957918E10</v>
      </c>
      <c r="W464" s="32" t="n">
        <f>9614774818</f>
        <v>9.614774818E9</v>
      </c>
      <c r="X464" s="36" t="n">
        <f>22</f>
        <v>22.0</v>
      </c>
    </row>
    <row r="465">
      <c r="A465" s="27" t="s">
        <v>42</v>
      </c>
      <c r="B465" s="27" t="s">
        <v>1447</v>
      </c>
      <c r="C465" s="27" t="s">
        <v>1448</v>
      </c>
      <c r="D465" s="27" t="s">
        <v>1449</v>
      </c>
      <c r="E465" s="28" t="s">
        <v>46</v>
      </c>
      <c r="F465" s="29" t="s">
        <v>46</v>
      </c>
      <c r="G465" s="30" t="s">
        <v>46</v>
      </c>
      <c r="H465" s="31"/>
      <c r="I465" s="31" t="s">
        <v>47</v>
      </c>
      <c r="J465" s="32" t="n">
        <v>1.0</v>
      </c>
      <c r="K465" s="33" t="n">
        <f>107300</f>
        <v>107300.0</v>
      </c>
      <c r="L465" s="34" t="s">
        <v>48</v>
      </c>
      <c r="M465" s="33" t="n">
        <f>107600</f>
        <v>107600.0</v>
      </c>
      <c r="N465" s="34" t="s">
        <v>210</v>
      </c>
      <c r="O465" s="33" t="n">
        <f>102400</f>
        <v>102400.0</v>
      </c>
      <c r="P465" s="34" t="s">
        <v>162</v>
      </c>
      <c r="Q465" s="33" t="n">
        <f>106300</f>
        <v>106300.0</v>
      </c>
      <c r="R465" s="34" t="s">
        <v>51</v>
      </c>
      <c r="S465" s="35" t="n">
        <f>105177.27</f>
        <v>105177.27</v>
      </c>
      <c r="T465" s="32" t="n">
        <f>323965</f>
        <v>323965.0</v>
      </c>
      <c r="U465" s="32" t="n">
        <f>135632</f>
        <v>135632.0</v>
      </c>
      <c r="V465" s="32" t="n">
        <f>33994846776</f>
        <v>3.3994846776E10</v>
      </c>
      <c r="W465" s="32" t="n">
        <f>14212415876</f>
        <v>1.4212415876E10</v>
      </c>
      <c r="X465" s="36" t="n">
        <f>22</f>
        <v>22.0</v>
      </c>
    </row>
    <row r="466">
      <c r="A466" s="27" t="s">
        <v>42</v>
      </c>
      <c r="B466" s="27" t="s">
        <v>1450</v>
      </c>
      <c r="C466" s="27" t="s">
        <v>1451</v>
      </c>
      <c r="D466" s="27" t="s">
        <v>1452</v>
      </c>
      <c r="E466" s="28" t="s">
        <v>46</v>
      </c>
      <c r="F466" s="29" t="s">
        <v>46</v>
      </c>
      <c r="G466" s="30" t="s">
        <v>46</v>
      </c>
      <c r="H466" s="31"/>
      <c r="I466" s="31" t="s">
        <v>47</v>
      </c>
      <c r="J466" s="32" t="n">
        <v>1.0</v>
      </c>
      <c r="K466" s="33" t="n">
        <f>105000</f>
        <v>105000.0</v>
      </c>
      <c r="L466" s="34" t="s">
        <v>48</v>
      </c>
      <c r="M466" s="33" t="n">
        <f>108000</f>
        <v>108000.0</v>
      </c>
      <c r="N466" s="34" t="s">
        <v>49</v>
      </c>
      <c r="O466" s="33" t="n">
        <f>103500</f>
        <v>103500.0</v>
      </c>
      <c r="P466" s="34" t="s">
        <v>50</v>
      </c>
      <c r="Q466" s="33" t="n">
        <f>105700</f>
        <v>105700.0</v>
      </c>
      <c r="R466" s="34" t="s">
        <v>51</v>
      </c>
      <c r="S466" s="35" t="n">
        <f>106050</f>
        <v>106050.0</v>
      </c>
      <c r="T466" s="32" t="n">
        <f>334807</f>
        <v>334807.0</v>
      </c>
      <c r="U466" s="32" t="n">
        <f>65870</f>
        <v>65870.0</v>
      </c>
      <c r="V466" s="32" t="n">
        <f>35464622661</f>
        <v>3.5464622661E10</v>
      </c>
      <c r="W466" s="32" t="n">
        <f>6978787061</f>
        <v>6.978787061E9</v>
      </c>
      <c r="X466" s="36" t="n">
        <f>22</f>
        <v>22.0</v>
      </c>
    </row>
    <row r="467">
      <c r="A467" s="27" t="s">
        <v>42</v>
      </c>
      <c r="B467" s="27" t="s">
        <v>1453</v>
      </c>
      <c r="C467" s="27" t="s">
        <v>1454</v>
      </c>
      <c r="D467" s="27" t="s">
        <v>1455</v>
      </c>
      <c r="E467" s="28" t="s">
        <v>46</v>
      </c>
      <c r="F467" s="29" t="s">
        <v>46</v>
      </c>
      <c r="G467" s="30" t="s">
        <v>46</v>
      </c>
      <c r="H467" s="31"/>
      <c r="I467" s="31" t="s">
        <v>47</v>
      </c>
      <c r="J467" s="32" t="n">
        <v>1.0</v>
      </c>
      <c r="K467" s="33" t="n">
        <f>141000</f>
        <v>141000.0</v>
      </c>
      <c r="L467" s="34" t="s">
        <v>48</v>
      </c>
      <c r="M467" s="33" t="n">
        <f>142100</f>
        <v>142100.0</v>
      </c>
      <c r="N467" s="34" t="s">
        <v>51</v>
      </c>
      <c r="O467" s="33" t="n">
        <f>134800</f>
        <v>134800.0</v>
      </c>
      <c r="P467" s="34" t="s">
        <v>106</v>
      </c>
      <c r="Q467" s="33" t="n">
        <f>140400</f>
        <v>140400.0</v>
      </c>
      <c r="R467" s="34" t="s">
        <v>51</v>
      </c>
      <c r="S467" s="35" t="n">
        <f>138300</f>
        <v>138300.0</v>
      </c>
      <c r="T467" s="32" t="n">
        <f>84528</f>
        <v>84528.0</v>
      </c>
      <c r="U467" s="32" t="n">
        <f>20890</f>
        <v>20890.0</v>
      </c>
      <c r="V467" s="32" t="n">
        <f>11714751194</f>
        <v>1.1714751194E10</v>
      </c>
      <c r="W467" s="32" t="n">
        <f>2904910894</f>
        <v>2.904910894E9</v>
      </c>
      <c r="X467" s="36" t="n">
        <f>22</f>
        <v>22.0</v>
      </c>
    </row>
    <row r="468">
      <c r="A468" s="27" t="s">
        <v>42</v>
      </c>
      <c r="B468" s="27" t="s">
        <v>1456</v>
      </c>
      <c r="C468" s="27" t="s">
        <v>1457</v>
      </c>
      <c r="D468" s="27" t="s">
        <v>1458</v>
      </c>
      <c r="E468" s="28" t="s">
        <v>46</v>
      </c>
      <c r="F468" s="29" t="s">
        <v>46</v>
      </c>
      <c r="G468" s="30" t="s">
        <v>46</v>
      </c>
      <c r="H468" s="31"/>
      <c r="I468" s="31" t="s">
        <v>47</v>
      </c>
      <c r="J468" s="32" t="n">
        <v>1.0</v>
      </c>
      <c r="K468" s="33" t="n">
        <f>204800</f>
        <v>204800.0</v>
      </c>
      <c r="L468" s="34" t="s">
        <v>48</v>
      </c>
      <c r="M468" s="33" t="n">
        <f>211200</f>
        <v>211200.0</v>
      </c>
      <c r="N468" s="34" t="s">
        <v>49</v>
      </c>
      <c r="O468" s="33" t="n">
        <f>199600</f>
        <v>199600.0</v>
      </c>
      <c r="P468" s="34" t="s">
        <v>106</v>
      </c>
      <c r="Q468" s="33" t="n">
        <f>207100</f>
        <v>207100.0</v>
      </c>
      <c r="R468" s="34" t="s">
        <v>51</v>
      </c>
      <c r="S468" s="35" t="n">
        <f>204450</f>
        <v>204450.0</v>
      </c>
      <c r="T468" s="32" t="n">
        <f>46129</f>
        <v>46129.0</v>
      </c>
      <c r="U468" s="32" t="n">
        <f>8527</f>
        <v>8527.0</v>
      </c>
      <c r="V468" s="32" t="n">
        <f>9428533238</f>
        <v>9.428533238E9</v>
      </c>
      <c r="W468" s="32" t="n">
        <f>1744787038</f>
        <v>1.744787038E9</v>
      </c>
      <c r="X468" s="36" t="n">
        <f>22</f>
        <v>22.0</v>
      </c>
    </row>
    <row r="469">
      <c r="A469" s="27" t="s">
        <v>42</v>
      </c>
      <c r="B469" s="27" t="s">
        <v>1459</v>
      </c>
      <c r="C469" s="27" t="s">
        <v>1460</v>
      </c>
      <c r="D469" s="27" t="s">
        <v>1461</v>
      </c>
      <c r="E469" s="28" t="s">
        <v>46</v>
      </c>
      <c r="F469" s="29" t="s">
        <v>46</v>
      </c>
      <c r="G469" s="30" t="s">
        <v>46</v>
      </c>
      <c r="H469" s="31"/>
      <c r="I469" s="31" t="s">
        <v>47</v>
      </c>
      <c r="J469" s="32" t="n">
        <v>1.0</v>
      </c>
      <c r="K469" s="33" t="n">
        <f>141700</f>
        <v>141700.0</v>
      </c>
      <c r="L469" s="34" t="s">
        <v>48</v>
      </c>
      <c r="M469" s="33" t="n">
        <f>141700</f>
        <v>141700.0</v>
      </c>
      <c r="N469" s="34" t="s">
        <v>48</v>
      </c>
      <c r="O469" s="33" t="n">
        <f>136600</f>
        <v>136600.0</v>
      </c>
      <c r="P469" s="34" t="s">
        <v>63</v>
      </c>
      <c r="Q469" s="33" t="n">
        <f>137800</f>
        <v>137800.0</v>
      </c>
      <c r="R469" s="34" t="s">
        <v>51</v>
      </c>
      <c r="S469" s="35" t="n">
        <f>138663.64</f>
        <v>138663.64</v>
      </c>
      <c r="T469" s="32" t="n">
        <f>76079</f>
        <v>76079.0</v>
      </c>
      <c r="U469" s="32" t="n">
        <f>12571</f>
        <v>12571.0</v>
      </c>
      <c r="V469" s="32" t="n">
        <f>10549609073</f>
        <v>1.0549609073E10</v>
      </c>
      <c r="W469" s="32" t="n">
        <f>1747029573</f>
        <v>1.747029573E9</v>
      </c>
      <c r="X469" s="36" t="n">
        <f>22</f>
        <v>22.0</v>
      </c>
    </row>
    <row r="470">
      <c r="A470" s="27" t="s">
        <v>42</v>
      </c>
      <c r="B470" s="27" t="s">
        <v>1462</v>
      </c>
      <c r="C470" s="27" t="s">
        <v>1463</v>
      </c>
      <c r="D470" s="27" t="s">
        <v>1464</v>
      </c>
      <c r="E470" s="28" t="s">
        <v>46</v>
      </c>
      <c r="F470" s="29" t="s">
        <v>46</v>
      </c>
      <c r="G470" s="30" t="s">
        <v>46</v>
      </c>
      <c r="H470" s="31"/>
      <c r="I470" s="31" t="s">
        <v>47</v>
      </c>
      <c r="J470" s="32" t="n">
        <v>1.0</v>
      </c>
      <c r="K470" s="33" t="n">
        <f>184100</f>
        <v>184100.0</v>
      </c>
      <c r="L470" s="34" t="s">
        <v>48</v>
      </c>
      <c r="M470" s="33" t="n">
        <f>184600</f>
        <v>184600.0</v>
      </c>
      <c r="N470" s="34" t="s">
        <v>49</v>
      </c>
      <c r="O470" s="33" t="n">
        <f>177900</f>
        <v>177900.0</v>
      </c>
      <c r="P470" s="34" t="s">
        <v>362</v>
      </c>
      <c r="Q470" s="33" t="n">
        <f>183000</f>
        <v>183000.0</v>
      </c>
      <c r="R470" s="34" t="s">
        <v>51</v>
      </c>
      <c r="S470" s="35" t="n">
        <f>181795.45</f>
        <v>181795.45</v>
      </c>
      <c r="T470" s="32" t="n">
        <f>302287</f>
        <v>302287.0</v>
      </c>
      <c r="U470" s="32" t="n">
        <f>73184</f>
        <v>73184.0</v>
      </c>
      <c r="V470" s="32" t="n">
        <f>55033840125</f>
        <v>5.5033840125E10</v>
      </c>
      <c r="W470" s="32" t="n">
        <f>13376223425</f>
        <v>1.3376223425E10</v>
      </c>
      <c r="X470" s="36" t="n">
        <f>22</f>
        <v>22.0</v>
      </c>
    </row>
    <row r="471">
      <c r="A471" s="27" t="s">
        <v>42</v>
      </c>
      <c r="B471" s="27" t="s">
        <v>1465</v>
      </c>
      <c r="C471" s="27" t="s">
        <v>1466</v>
      </c>
      <c r="D471" s="27" t="s">
        <v>1467</v>
      </c>
      <c r="E471" s="28" t="s">
        <v>46</v>
      </c>
      <c r="F471" s="29" t="s">
        <v>46</v>
      </c>
      <c r="G471" s="30" t="s">
        <v>46</v>
      </c>
      <c r="H471" s="31"/>
      <c r="I471" s="31" t="s">
        <v>47</v>
      </c>
      <c r="J471" s="32" t="n">
        <v>1.0</v>
      </c>
      <c r="K471" s="33" t="n">
        <f>80000</f>
        <v>80000.0</v>
      </c>
      <c r="L471" s="34" t="s">
        <v>48</v>
      </c>
      <c r="M471" s="33" t="n">
        <f>80100</f>
        <v>80100.0</v>
      </c>
      <c r="N471" s="34" t="s">
        <v>48</v>
      </c>
      <c r="O471" s="33" t="n">
        <f>75500</f>
        <v>75500.0</v>
      </c>
      <c r="P471" s="34" t="s">
        <v>75</v>
      </c>
      <c r="Q471" s="33" t="n">
        <f>78100</f>
        <v>78100.0</v>
      </c>
      <c r="R471" s="34" t="s">
        <v>51</v>
      </c>
      <c r="S471" s="35" t="n">
        <f>77577.27</f>
        <v>77577.27</v>
      </c>
      <c r="T471" s="32" t="n">
        <f>198606</f>
        <v>198606.0</v>
      </c>
      <c r="U471" s="32" t="n">
        <f>41401</f>
        <v>41401.0</v>
      </c>
      <c r="V471" s="32" t="n">
        <f>15384226585</f>
        <v>1.5384226585E10</v>
      </c>
      <c r="W471" s="32" t="n">
        <f>3212213685</f>
        <v>3.212213685E9</v>
      </c>
      <c r="X471" s="36" t="n">
        <f>22</f>
        <v>22.0</v>
      </c>
    </row>
    <row r="472">
      <c r="A472" s="27" t="s">
        <v>42</v>
      </c>
      <c r="B472" s="27" t="s">
        <v>1468</v>
      </c>
      <c r="C472" s="27" t="s">
        <v>1469</v>
      </c>
      <c r="D472" s="27" t="s">
        <v>1470</v>
      </c>
      <c r="E472" s="28" t="s">
        <v>46</v>
      </c>
      <c r="F472" s="29" t="s">
        <v>46</v>
      </c>
      <c r="G472" s="30" t="s">
        <v>46</v>
      </c>
      <c r="H472" s="31"/>
      <c r="I472" s="31" t="s">
        <v>47</v>
      </c>
      <c r="J472" s="32" t="n">
        <v>1.0</v>
      </c>
      <c r="K472" s="33" t="n">
        <f>67100</f>
        <v>67100.0</v>
      </c>
      <c r="L472" s="34" t="s">
        <v>48</v>
      </c>
      <c r="M472" s="33" t="n">
        <f>67200</f>
        <v>67200.0</v>
      </c>
      <c r="N472" s="34" t="s">
        <v>48</v>
      </c>
      <c r="O472" s="33" t="n">
        <f>63900</f>
        <v>63900.0</v>
      </c>
      <c r="P472" s="34" t="s">
        <v>82</v>
      </c>
      <c r="Q472" s="33" t="n">
        <f>64400</f>
        <v>64400.0</v>
      </c>
      <c r="R472" s="34" t="s">
        <v>51</v>
      </c>
      <c r="S472" s="35" t="n">
        <f>65704.55</f>
        <v>65704.55</v>
      </c>
      <c r="T472" s="32" t="n">
        <f>846041</f>
        <v>846041.0</v>
      </c>
      <c r="U472" s="32" t="n">
        <f>186942</f>
        <v>186942.0</v>
      </c>
      <c r="V472" s="32" t="n">
        <f>55559214220</f>
        <v>5.555921422E10</v>
      </c>
      <c r="W472" s="32" t="n">
        <f>12280447020</f>
        <v>1.228044702E10</v>
      </c>
      <c r="X472" s="36" t="n">
        <f>22</f>
        <v>22.0</v>
      </c>
    </row>
    <row r="473">
      <c r="A473" s="27" t="s">
        <v>42</v>
      </c>
      <c r="B473" s="27" t="s">
        <v>1471</v>
      </c>
      <c r="C473" s="27" t="s">
        <v>1472</v>
      </c>
      <c r="D473" s="27" t="s">
        <v>1473</v>
      </c>
      <c r="E473" s="28" t="s">
        <v>46</v>
      </c>
      <c r="F473" s="29" t="s">
        <v>46</v>
      </c>
      <c r="G473" s="30" t="s">
        <v>46</v>
      </c>
      <c r="H473" s="31"/>
      <c r="I473" s="31" t="s">
        <v>47</v>
      </c>
      <c r="J473" s="32" t="n">
        <v>1.0</v>
      </c>
      <c r="K473" s="33" t="n">
        <f>95100</f>
        <v>95100.0</v>
      </c>
      <c r="L473" s="34" t="s">
        <v>48</v>
      </c>
      <c r="M473" s="33" t="n">
        <f>95400</f>
        <v>95400.0</v>
      </c>
      <c r="N473" s="34" t="s">
        <v>71</v>
      </c>
      <c r="O473" s="33" t="n">
        <f>91300</f>
        <v>91300.0</v>
      </c>
      <c r="P473" s="34" t="s">
        <v>106</v>
      </c>
      <c r="Q473" s="33" t="n">
        <f>93000</f>
        <v>93000.0</v>
      </c>
      <c r="R473" s="34" t="s">
        <v>51</v>
      </c>
      <c r="S473" s="35" t="n">
        <f>93381.82</f>
        <v>93381.82</v>
      </c>
      <c r="T473" s="32" t="n">
        <f>175591</f>
        <v>175591.0</v>
      </c>
      <c r="U473" s="32" t="n">
        <f>46547</f>
        <v>46547.0</v>
      </c>
      <c r="V473" s="32" t="n">
        <f>16409451604</f>
        <v>1.6409451604E10</v>
      </c>
      <c r="W473" s="32" t="n">
        <f>4345719104</f>
        <v>4.345719104E9</v>
      </c>
      <c r="X473" s="36" t="n">
        <f>22</f>
        <v>22.0</v>
      </c>
    </row>
    <row r="474">
      <c r="A474" s="27" t="s">
        <v>42</v>
      </c>
      <c r="B474" s="27" t="s">
        <v>1474</v>
      </c>
      <c r="C474" s="27" t="s">
        <v>1475</v>
      </c>
      <c r="D474" s="27" t="s">
        <v>1476</v>
      </c>
      <c r="E474" s="28" t="s">
        <v>46</v>
      </c>
      <c r="F474" s="29" t="s">
        <v>46</v>
      </c>
      <c r="G474" s="30" t="s">
        <v>46</v>
      </c>
      <c r="H474" s="31"/>
      <c r="I474" s="31" t="s">
        <v>47</v>
      </c>
      <c r="J474" s="32" t="n">
        <v>1.0</v>
      </c>
      <c r="K474" s="33" t="n">
        <f>157300</f>
        <v>157300.0</v>
      </c>
      <c r="L474" s="34" t="s">
        <v>48</v>
      </c>
      <c r="M474" s="33" t="n">
        <f>164100</f>
        <v>164100.0</v>
      </c>
      <c r="N474" s="34" t="s">
        <v>51</v>
      </c>
      <c r="O474" s="33" t="n">
        <f>150000</f>
        <v>150000.0</v>
      </c>
      <c r="P474" s="34" t="s">
        <v>106</v>
      </c>
      <c r="Q474" s="33" t="n">
        <f>157200</f>
        <v>157200.0</v>
      </c>
      <c r="R474" s="34" t="s">
        <v>51</v>
      </c>
      <c r="S474" s="35" t="n">
        <f>154409.09</f>
        <v>154409.09</v>
      </c>
      <c r="T474" s="32" t="n">
        <f>81706</f>
        <v>81706.0</v>
      </c>
      <c r="U474" s="32" t="n">
        <f>14611</f>
        <v>14611.0</v>
      </c>
      <c r="V474" s="32" t="n">
        <f>12607920201</f>
        <v>1.2607920201E10</v>
      </c>
      <c r="W474" s="32" t="n">
        <f>2255724201</f>
        <v>2.255724201E9</v>
      </c>
      <c r="X474" s="36" t="n">
        <f>22</f>
        <v>22.0</v>
      </c>
    </row>
    <row r="475">
      <c r="A475" s="27" t="s">
        <v>42</v>
      </c>
      <c r="B475" s="27" t="s">
        <v>1477</v>
      </c>
      <c r="C475" s="27" t="s">
        <v>1478</v>
      </c>
      <c r="D475" s="27" t="s">
        <v>1479</v>
      </c>
      <c r="E475" s="28" t="s">
        <v>46</v>
      </c>
      <c r="F475" s="29" t="s">
        <v>46</v>
      </c>
      <c r="G475" s="30" t="s">
        <v>46</v>
      </c>
      <c r="H475" s="31"/>
      <c r="I475" s="31" t="s">
        <v>47</v>
      </c>
      <c r="J475" s="32" t="n">
        <v>1.0</v>
      </c>
      <c r="K475" s="33" t="n">
        <f>104300</f>
        <v>104300.0</v>
      </c>
      <c r="L475" s="34" t="s">
        <v>48</v>
      </c>
      <c r="M475" s="33" t="n">
        <f>105700</f>
        <v>105700.0</v>
      </c>
      <c r="N475" s="34" t="s">
        <v>51</v>
      </c>
      <c r="O475" s="33" t="n">
        <f>99200</f>
        <v>99200.0</v>
      </c>
      <c r="P475" s="34" t="s">
        <v>106</v>
      </c>
      <c r="Q475" s="33" t="n">
        <f>104100</f>
        <v>104100.0</v>
      </c>
      <c r="R475" s="34" t="s">
        <v>51</v>
      </c>
      <c r="S475" s="35" t="n">
        <f>102740.91</f>
        <v>102740.91</v>
      </c>
      <c r="T475" s="32" t="n">
        <f>187907</f>
        <v>187907.0</v>
      </c>
      <c r="U475" s="32" t="n">
        <f>89912</f>
        <v>89912.0</v>
      </c>
      <c r="V475" s="32" t="n">
        <f>19260035064</f>
        <v>1.9260035064E10</v>
      </c>
      <c r="W475" s="32" t="n">
        <f>9195319264</f>
        <v>9.195319264E9</v>
      </c>
      <c r="X475" s="36" t="n">
        <f>22</f>
        <v>22.0</v>
      </c>
    </row>
    <row r="476">
      <c r="A476" s="27" t="s">
        <v>42</v>
      </c>
      <c r="B476" s="27" t="s">
        <v>1480</v>
      </c>
      <c r="C476" s="27" t="s">
        <v>1481</v>
      </c>
      <c r="D476" s="27" t="s">
        <v>1482</v>
      </c>
      <c r="E476" s="28" t="s">
        <v>46</v>
      </c>
      <c r="F476" s="29" t="s">
        <v>46</v>
      </c>
      <c r="G476" s="30" t="s">
        <v>46</v>
      </c>
      <c r="H476" s="31"/>
      <c r="I476" s="31" t="s">
        <v>47</v>
      </c>
      <c r="J476" s="32" t="n">
        <v>1.0</v>
      </c>
      <c r="K476" s="33" t="n">
        <f>192100</f>
        <v>192100.0</v>
      </c>
      <c r="L476" s="34" t="s">
        <v>48</v>
      </c>
      <c r="M476" s="33" t="n">
        <f>192400</f>
        <v>192400.0</v>
      </c>
      <c r="N476" s="34" t="s">
        <v>48</v>
      </c>
      <c r="O476" s="33" t="n">
        <f>183000</f>
        <v>183000.0</v>
      </c>
      <c r="P476" s="34" t="s">
        <v>106</v>
      </c>
      <c r="Q476" s="33" t="n">
        <f>188200</f>
        <v>188200.0</v>
      </c>
      <c r="R476" s="34" t="s">
        <v>51</v>
      </c>
      <c r="S476" s="35" t="n">
        <f>186618.18</f>
        <v>186618.18</v>
      </c>
      <c r="T476" s="32" t="n">
        <f>50588</f>
        <v>50588.0</v>
      </c>
      <c r="U476" s="32" t="n">
        <f>14691</f>
        <v>14691.0</v>
      </c>
      <c r="V476" s="32" t="n">
        <f>9443514351</f>
        <v>9.443514351E9</v>
      </c>
      <c r="W476" s="32" t="n">
        <f>2744223351</f>
        <v>2.744223351E9</v>
      </c>
      <c r="X476" s="36" t="n">
        <f>22</f>
        <v>22.0</v>
      </c>
    </row>
    <row r="477">
      <c r="A477" s="27" t="s">
        <v>42</v>
      </c>
      <c r="B477" s="27" t="s">
        <v>1483</v>
      </c>
      <c r="C477" s="27" t="s">
        <v>1484</v>
      </c>
      <c r="D477" s="27" t="s">
        <v>1485</v>
      </c>
      <c r="E477" s="28" t="s">
        <v>46</v>
      </c>
      <c r="F477" s="29" t="s">
        <v>46</v>
      </c>
      <c r="G477" s="30" t="s">
        <v>46</v>
      </c>
      <c r="H477" s="31"/>
      <c r="I477" s="31" t="s">
        <v>47</v>
      </c>
      <c r="J477" s="32" t="n">
        <v>1.0</v>
      </c>
      <c r="K477" s="33" t="n">
        <f>178500</f>
        <v>178500.0</v>
      </c>
      <c r="L477" s="34" t="s">
        <v>48</v>
      </c>
      <c r="M477" s="33" t="n">
        <f>178700</f>
        <v>178700.0</v>
      </c>
      <c r="N477" s="34" t="s">
        <v>48</v>
      </c>
      <c r="O477" s="33" t="n">
        <f>169800</f>
        <v>169800.0</v>
      </c>
      <c r="P477" s="34" t="s">
        <v>106</v>
      </c>
      <c r="Q477" s="33" t="n">
        <f>175900</f>
        <v>175900.0</v>
      </c>
      <c r="R477" s="34" t="s">
        <v>51</v>
      </c>
      <c r="S477" s="35" t="n">
        <f>174909.09</f>
        <v>174909.09</v>
      </c>
      <c r="T477" s="32" t="n">
        <f>208133</f>
        <v>208133.0</v>
      </c>
      <c r="U477" s="32" t="n">
        <f>41772</f>
        <v>41772.0</v>
      </c>
      <c r="V477" s="32" t="n">
        <f>36379238467</f>
        <v>3.6379238467E10</v>
      </c>
      <c r="W477" s="32" t="n">
        <f>7309906367</f>
        <v>7.309906367E9</v>
      </c>
      <c r="X477" s="36" t="n">
        <f>22</f>
        <v>22.0</v>
      </c>
    </row>
    <row r="478">
      <c r="A478" s="27" t="s">
        <v>42</v>
      </c>
      <c r="B478" s="27" t="s">
        <v>1486</v>
      </c>
      <c r="C478" s="27" t="s">
        <v>1487</v>
      </c>
      <c r="D478" s="27" t="s">
        <v>1488</v>
      </c>
      <c r="E478" s="28" t="s">
        <v>46</v>
      </c>
      <c r="F478" s="29" t="s">
        <v>46</v>
      </c>
      <c r="G478" s="30" t="s">
        <v>46</v>
      </c>
      <c r="H478" s="31"/>
      <c r="I478" s="31" t="s">
        <v>47</v>
      </c>
      <c r="J478" s="32" t="n">
        <v>1.0</v>
      </c>
      <c r="K478" s="33" t="n">
        <f>100100</f>
        <v>100100.0</v>
      </c>
      <c r="L478" s="34" t="s">
        <v>48</v>
      </c>
      <c r="M478" s="33" t="n">
        <f>100200</f>
        <v>100200.0</v>
      </c>
      <c r="N478" s="34" t="s">
        <v>48</v>
      </c>
      <c r="O478" s="33" t="n">
        <f>95500</f>
        <v>95500.0</v>
      </c>
      <c r="P478" s="34" t="s">
        <v>59</v>
      </c>
      <c r="Q478" s="33" t="n">
        <f>97300</f>
        <v>97300.0</v>
      </c>
      <c r="R478" s="34" t="s">
        <v>51</v>
      </c>
      <c r="S478" s="35" t="n">
        <f>97431.82</f>
        <v>97431.82</v>
      </c>
      <c r="T478" s="32" t="n">
        <f>68986</f>
        <v>68986.0</v>
      </c>
      <c r="U478" s="32" t="n">
        <f>16668</f>
        <v>16668.0</v>
      </c>
      <c r="V478" s="32" t="n">
        <f>6722502741</f>
        <v>6.722502741E9</v>
      </c>
      <c r="W478" s="32" t="n">
        <f>1628396241</f>
        <v>1.628396241E9</v>
      </c>
      <c r="X478" s="36" t="n">
        <f>22</f>
        <v>22.0</v>
      </c>
    </row>
    <row r="479">
      <c r="A479" s="27" t="s">
        <v>42</v>
      </c>
      <c r="B479" s="27" t="s">
        <v>1489</v>
      </c>
      <c r="C479" s="27" t="s">
        <v>1490</v>
      </c>
      <c r="D479" s="27" t="s">
        <v>1491</v>
      </c>
      <c r="E479" s="28" t="s">
        <v>46</v>
      </c>
      <c r="F479" s="29" t="s">
        <v>46</v>
      </c>
      <c r="G479" s="30" t="s">
        <v>46</v>
      </c>
      <c r="H479" s="31"/>
      <c r="I479" s="31" t="s">
        <v>47</v>
      </c>
      <c r="J479" s="32" t="n">
        <v>1.0</v>
      </c>
      <c r="K479" s="33" t="n">
        <f>380000</f>
        <v>380000.0</v>
      </c>
      <c r="L479" s="34" t="s">
        <v>48</v>
      </c>
      <c r="M479" s="33" t="n">
        <f>382000</f>
        <v>382000.0</v>
      </c>
      <c r="N479" s="34" t="s">
        <v>210</v>
      </c>
      <c r="O479" s="33" t="n">
        <f>363500</f>
        <v>363500.0</v>
      </c>
      <c r="P479" s="34" t="s">
        <v>362</v>
      </c>
      <c r="Q479" s="33" t="n">
        <f>374500</f>
        <v>374500.0</v>
      </c>
      <c r="R479" s="34" t="s">
        <v>51</v>
      </c>
      <c r="S479" s="35" t="n">
        <f>373227.27</f>
        <v>373227.27</v>
      </c>
      <c r="T479" s="32" t="n">
        <f>39290</f>
        <v>39290.0</v>
      </c>
      <c r="U479" s="32" t="n">
        <f>9718</f>
        <v>9718.0</v>
      </c>
      <c r="V479" s="32" t="n">
        <f>14645936215</f>
        <v>1.4645936215E10</v>
      </c>
      <c r="W479" s="32" t="n">
        <f>3628243215</f>
        <v>3.628243215E9</v>
      </c>
      <c r="X479" s="36" t="n">
        <f>22</f>
        <v>22.0</v>
      </c>
    </row>
    <row r="480">
      <c r="A480" s="27" t="s">
        <v>42</v>
      </c>
      <c r="B480" s="27" t="s">
        <v>1492</v>
      </c>
      <c r="C480" s="27" t="s">
        <v>1493</v>
      </c>
      <c r="D480" s="27" t="s">
        <v>1494</v>
      </c>
      <c r="E480" s="28" t="s">
        <v>46</v>
      </c>
      <c r="F480" s="29" t="s">
        <v>46</v>
      </c>
      <c r="G480" s="30" t="s">
        <v>46</v>
      </c>
      <c r="H480" s="31"/>
      <c r="I480" s="31" t="s">
        <v>47</v>
      </c>
      <c r="J480" s="32" t="n">
        <v>1.0</v>
      </c>
      <c r="K480" s="33" t="n">
        <f>173500</f>
        <v>173500.0</v>
      </c>
      <c r="L480" s="34" t="s">
        <v>48</v>
      </c>
      <c r="M480" s="33" t="n">
        <f>173500</f>
        <v>173500.0</v>
      </c>
      <c r="N480" s="34" t="s">
        <v>48</v>
      </c>
      <c r="O480" s="33" t="n">
        <f>164900</f>
        <v>164900.0</v>
      </c>
      <c r="P480" s="34" t="s">
        <v>362</v>
      </c>
      <c r="Q480" s="33" t="n">
        <f>166300</f>
        <v>166300.0</v>
      </c>
      <c r="R480" s="34" t="s">
        <v>51</v>
      </c>
      <c r="S480" s="35" t="n">
        <f>167786.36</f>
        <v>167786.36</v>
      </c>
      <c r="T480" s="32" t="n">
        <f>55908</f>
        <v>55908.0</v>
      </c>
      <c r="U480" s="32" t="n">
        <f>18247</f>
        <v>18247.0</v>
      </c>
      <c r="V480" s="32" t="n">
        <f>9427442554</f>
        <v>9.427442554E9</v>
      </c>
      <c r="W480" s="32" t="n">
        <f>3103941954</f>
        <v>3.103941954E9</v>
      </c>
      <c r="X480" s="36" t="n">
        <f>22</f>
        <v>22.0</v>
      </c>
    </row>
    <row r="481">
      <c r="A481" s="27" t="s">
        <v>42</v>
      </c>
      <c r="B481" s="27" t="s">
        <v>1495</v>
      </c>
      <c r="C481" s="27" t="s">
        <v>1496</v>
      </c>
      <c r="D481" s="27" t="s">
        <v>1497</v>
      </c>
      <c r="E481" s="28" t="s">
        <v>46</v>
      </c>
      <c r="F481" s="29" t="s">
        <v>46</v>
      </c>
      <c r="G481" s="30" t="s">
        <v>46</v>
      </c>
      <c r="H481" s="31"/>
      <c r="I481" s="31" t="s">
        <v>418</v>
      </c>
      <c r="J481" s="32" t="n">
        <v>1.0</v>
      </c>
      <c r="K481" s="33" t="n">
        <f>207500</f>
        <v>207500.0</v>
      </c>
      <c r="L481" s="34" t="s">
        <v>48</v>
      </c>
      <c r="M481" s="33" t="n">
        <f>207800</f>
        <v>207800.0</v>
      </c>
      <c r="N481" s="34" t="s">
        <v>48</v>
      </c>
      <c r="O481" s="33" t="n">
        <f>196300</f>
        <v>196300.0</v>
      </c>
      <c r="P481" s="34" t="s">
        <v>59</v>
      </c>
      <c r="Q481" s="33" t="n">
        <f>201700</f>
        <v>201700.0</v>
      </c>
      <c r="R481" s="34" t="s">
        <v>51</v>
      </c>
      <c r="S481" s="35" t="n">
        <f>201086.36</f>
        <v>201086.36</v>
      </c>
      <c r="T481" s="32" t="n">
        <f>19168</f>
        <v>19168.0</v>
      </c>
      <c r="U481" s="32" t="n">
        <f>2582</f>
        <v>2582.0</v>
      </c>
      <c r="V481" s="32" t="n">
        <f>3853398598</f>
        <v>3.853398598E9</v>
      </c>
      <c r="W481" s="32" t="n">
        <f>518807998</f>
        <v>5.18807998E8</v>
      </c>
      <c r="X481" s="36" t="n">
        <f>22</f>
        <v>22.0</v>
      </c>
    </row>
    <row r="482">
      <c r="A482" s="27" t="s">
        <v>42</v>
      </c>
      <c r="B482" s="27" t="s">
        <v>1498</v>
      </c>
      <c r="C482" s="27" t="s">
        <v>1499</v>
      </c>
      <c r="D482" s="27" t="s">
        <v>1500</v>
      </c>
      <c r="E482" s="28" t="s">
        <v>46</v>
      </c>
      <c r="F482" s="29" t="s">
        <v>46</v>
      </c>
      <c r="G482" s="30" t="s">
        <v>46</v>
      </c>
      <c r="H482" s="31"/>
      <c r="I482" s="31" t="s">
        <v>47</v>
      </c>
      <c r="J482" s="32" t="n">
        <v>1.0</v>
      </c>
      <c r="K482" s="33" t="n">
        <f>142800</f>
        <v>142800.0</v>
      </c>
      <c r="L482" s="34" t="s">
        <v>48</v>
      </c>
      <c r="M482" s="33" t="n">
        <f>144700</f>
        <v>144700.0</v>
      </c>
      <c r="N482" s="34" t="s">
        <v>51</v>
      </c>
      <c r="O482" s="33" t="n">
        <f>138100</f>
        <v>138100.0</v>
      </c>
      <c r="P482" s="34" t="s">
        <v>106</v>
      </c>
      <c r="Q482" s="33" t="n">
        <f>143200</f>
        <v>143200.0</v>
      </c>
      <c r="R482" s="34" t="s">
        <v>51</v>
      </c>
      <c r="S482" s="35" t="n">
        <f>141395.45</f>
        <v>141395.45</v>
      </c>
      <c r="T482" s="32" t="n">
        <f>246826</f>
        <v>246826.0</v>
      </c>
      <c r="U482" s="32" t="n">
        <f>54916</f>
        <v>54916.0</v>
      </c>
      <c r="V482" s="32" t="n">
        <f>34875910514</f>
        <v>3.4875910514E10</v>
      </c>
      <c r="W482" s="32" t="n">
        <f>7776418714</f>
        <v>7.776418714E9</v>
      </c>
      <c r="X482" s="36" t="n">
        <f>22</f>
        <v>22.0</v>
      </c>
    </row>
    <row r="483">
      <c r="A483" s="27" t="s">
        <v>42</v>
      </c>
      <c r="B483" s="27" t="s">
        <v>1501</v>
      </c>
      <c r="C483" s="27" t="s">
        <v>1502</v>
      </c>
      <c r="D483" s="27" t="s">
        <v>1503</v>
      </c>
      <c r="E483" s="28" t="s">
        <v>46</v>
      </c>
      <c r="F483" s="29" t="s">
        <v>46</v>
      </c>
      <c r="G483" s="30" t="s">
        <v>46</v>
      </c>
      <c r="H483" s="31"/>
      <c r="I483" s="31" t="s">
        <v>47</v>
      </c>
      <c r="J483" s="32" t="n">
        <v>1.0</v>
      </c>
      <c r="K483" s="33" t="n">
        <f>86200</f>
        <v>86200.0</v>
      </c>
      <c r="L483" s="34" t="s">
        <v>48</v>
      </c>
      <c r="M483" s="33" t="n">
        <f>87500</f>
        <v>87500.0</v>
      </c>
      <c r="N483" s="34" t="s">
        <v>369</v>
      </c>
      <c r="O483" s="33" t="n">
        <f>81000</f>
        <v>81000.0</v>
      </c>
      <c r="P483" s="34" t="s">
        <v>82</v>
      </c>
      <c r="Q483" s="33" t="n">
        <f>81800</f>
        <v>81800.0</v>
      </c>
      <c r="R483" s="34" t="s">
        <v>51</v>
      </c>
      <c r="S483" s="35" t="n">
        <f>85413.64</f>
        <v>85413.64</v>
      </c>
      <c r="T483" s="32" t="n">
        <f>605663</f>
        <v>605663.0</v>
      </c>
      <c r="U483" s="32" t="n">
        <f>127384</f>
        <v>127384.0</v>
      </c>
      <c r="V483" s="32" t="n">
        <f>51628707130</f>
        <v>5.162870713E10</v>
      </c>
      <c r="W483" s="32" t="n">
        <f>10851684530</f>
        <v>1.085168453E10</v>
      </c>
      <c r="X483" s="36" t="n">
        <f>22</f>
        <v>22.0</v>
      </c>
    </row>
    <row r="484">
      <c r="A484" s="27" t="s">
        <v>42</v>
      </c>
      <c r="B484" s="27" t="s">
        <v>1504</v>
      </c>
      <c r="C484" s="27" t="s">
        <v>1505</v>
      </c>
      <c r="D484" s="27" t="s">
        <v>1506</v>
      </c>
      <c r="E484" s="28" t="s">
        <v>46</v>
      </c>
      <c r="F484" s="29" t="s">
        <v>46</v>
      </c>
      <c r="G484" s="30" t="s">
        <v>46</v>
      </c>
      <c r="H484" s="31"/>
      <c r="I484" s="31" t="s">
        <v>47</v>
      </c>
      <c r="J484" s="32" t="n">
        <v>1.0</v>
      </c>
      <c r="K484" s="33" t="n">
        <f>114000</f>
        <v>114000.0</v>
      </c>
      <c r="L484" s="34" t="s">
        <v>48</v>
      </c>
      <c r="M484" s="33" t="n">
        <f>115000</f>
        <v>115000.0</v>
      </c>
      <c r="N484" s="34" t="s">
        <v>51</v>
      </c>
      <c r="O484" s="33" t="n">
        <f>108200</f>
        <v>108200.0</v>
      </c>
      <c r="P484" s="34" t="s">
        <v>106</v>
      </c>
      <c r="Q484" s="33" t="n">
        <f>114100</f>
        <v>114100.0</v>
      </c>
      <c r="R484" s="34" t="s">
        <v>51</v>
      </c>
      <c r="S484" s="35" t="n">
        <f>111890.91</f>
        <v>111890.91</v>
      </c>
      <c r="T484" s="32" t="n">
        <f>121461</f>
        <v>121461.0</v>
      </c>
      <c r="U484" s="32" t="n">
        <f>29316</f>
        <v>29316.0</v>
      </c>
      <c r="V484" s="32" t="n">
        <f>13597657042</f>
        <v>1.3597657042E10</v>
      </c>
      <c r="W484" s="32" t="n">
        <f>3290082342</f>
        <v>3.290082342E9</v>
      </c>
      <c r="X484" s="36" t="n">
        <f>22</f>
        <v>22.0</v>
      </c>
    </row>
    <row r="485">
      <c r="A485" s="27" t="s">
        <v>42</v>
      </c>
      <c r="B485" s="27" t="s">
        <v>1507</v>
      </c>
      <c r="C485" s="27" t="s">
        <v>1508</v>
      </c>
      <c r="D485" s="27" t="s">
        <v>1509</v>
      </c>
      <c r="E485" s="28" t="s">
        <v>46</v>
      </c>
      <c r="F485" s="29" t="s">
        <v>46</v>
      </c>
      <c r="G485" s="30" t="s">
        <v>46</v>
      </c>
      <c r="H485" s="31"/>
      <c r="I485" s="31" t="s">
        <v>47</v>
      </c>
      <c r="J485" s="32" t="n">
        <v>1.0</v>
      </c>
      <c r="K485" s="33" t="n">
        <f>152000</f>
        <v>152000.0</v>
      </c>
      <c r="L485" s="34" t="s">
        <v>48</v>
      </c>
      <c r="M485" s="33" t="n">
        <f>152800</f>
        <v>152800.0</v>
      </c>
      <c r="N485" s="34" t="s">
        <v>210</v>
      </c>
      <c r="O485" s="33" t="n">
        <f>146800</f>
        <v>146800.0</v>
      </c>
      <c r="P485" s="34" t="s">
        <v>106</v>
      </c>
      <c r="Q485" s="33" t="n">
        <f>149000</f>
        <v>149000.0</v>
      </c>
      <c r="R485" s="34" t="s">
        <v>51</v>
      </c>
      <c r="S485" s="35" t="n">
        <f>149713.64</f>
        <v>149713.64</v>
      </c>
      <c r="T485" s="32" t="n">
        <f>80846</f>
        <v>80846.0</v>
      </c>
      <c r="U485" s="32" t="n">
        <f>23588</f>
        <v>23588.0</v>
      </c>
      <c r="V485" s="32" t="n">
        <f>12118696200</f>
        <v>1.21186962E10</v>
      </c>
      <c r="W485" s="32" t="n">
        <f>3539166800</f>
        <v>3.5391668E9</v>
      </c>
      <c r="X485" s="36" t="n">
        <f>22</f>
        <v>22.0</v>
      </c>
    </row>
    <row r="486">
      <c r="A486" s="27" t="s">
        <v>42</v>
      </c>
      <c r="B486" s="27" t="s">
        <v>1510</v>
      </c>
      <c r="C486" s="27" t="s">
        <v>1511</v>
      </c>
      <c r="D486" s="27" t="s">
        <v>1512</v>
      </c>
      <c r="E486" s="28" t="s">
        <v>46</v>
      </c>
      <c r="F486" s="29" t="s">
        <v>46</v>
      </c>
      <c r="G486" s="30" t="s">
        <v>46</v>
      </c>
      <c r="H486" s="31"/>
      <c r="I486" s="31" t="s">
        <v>418</v>
      </c>
      <c r="J486" s="32" t="n">
        <v>1.0</v>
      </c>
      <c r="K486" s="33" t="n">
        <f>49950</f>
        <v>49950.0</v>
      </c>
      <c r="L486" s="34" t="s">
        <v>48</v>
      </c>
      <c r="M486" s="33" t="n">
        <f>50300</f>
        <v>50300.0</v>
      </c>
      <c r="N486" s="34" t="s">
        <v>90</v>
      </c>
      <c r="O486" s="33" t="n">
        <f>47300</f>
        <v>47300.0</v>
      </c>
      <c r="P486" s="34" t="s">
        <v>67</v>
      </c>
      <c r="Q486" s="33" t="n">
        <f>50000</f>
        <v>50000.0</v>
      </c>
      <c r="R486" s="34" t="s">
        <v>51</v>
      </c>
      <c r="S486" s="35" t="n">
        <f>49402.27</f>
        <v>49402.27</v>
      </c>
      <c r="T486" s="32" t="n">
        <f>4924</f>
        <v>4924.0</v>
      </c>
      <c r="U486" s="32" t="n">
        <f>485</f>
        <v>485.0</v>
      </c>
      <c r="V486" s="32" t="n">
        <f>240068750</f>
        <v>2.4006875E8</v>
      </c>
      <c r="W486" s="32" t="n">
        <f>21951750</f>
        <v>2.195175E7</v>
      </c>
      <c r="X486" s="36" t="n">
        <f>22</f>
        <v>22.0</v>
      </c>
    </row>
    <row r="487">
      <c r="A487" s="27" t="s">
        <v>42</v>
      </c>
      <c r="B487" s="27" t="s">
        <v>1513</v>
      </c>
      <c r="C487" s="27" t="s">
        <v>1514</v>
      </c>
      <c r="D487" s="27" t="s">
        <v>1515</v>
      </c>
      <c r="E487" s="28" t="s">
        <v>46</v>
      </c>
      <c r="F487" s="29" t="s">
        <v>46</v>
      </c>
      <c r="G487" s="30" t="s">
        <v>46</v>
      </c>
      <c r="H487" s="31"/>
      <c r="I487" s="31" t="s">
        <v>418</v>
      </c>
      <c r="J487" s="32" t="n">
        <v>1.0</v>
      </c>
      <c r="K487" s="33" t="n">
        <f>95900</f>
        <v>95900.0</v>
      </c>
      <c r="L487" s="34" t="s">
        <v>48</v>
      </c>
      <c r="M487" s="33" t="n">
        <f>96700</f>
        <v>96700.0</v>
      </c>
      <c r="N487" s="34" t="s">
        <v>48</v>
      </c>
      <c r="O487" s="33" t="n">
        <f>90400</f>
        <v>90400.0</v>
      </c>
      <c r="P487" s="34" t="s">
        <v>82</v>
      </c>
      <c r="Q487" s="33" t="n">
        <f>92000</f>
        <v>92000.0</v>
      </c>
      <c r="R487" s="34" t="s">
        <v>51</v>
      </c>
      <c r="S487" s="35" t="n">
        <f>93904.55</f>
        <v>93904.55</v>
      </c>
      <c r="T487" s="32" t="n">
        <f>22604</f>
        <v>22604.0</v>
      </c>
      <c r="U487" s="32" t="n">
        <f>3219</f>
        <v>3219.0</v>
      </c>
      <c r="V487" s="32" t="n">
        <f>2101833046</f>
        <v>2.101833046E9</v>
      </c>
      <c r="W487" s="32" t="n">
        <f>285413846</f>
        <v>2.85413846E8</v>
      </c>
      <c r="X487" s="36" t="n">
        <f>22</f>
        <v>22.0</v>
      </c>
    </row>
    <row r="488">
      <c r="A488" s="27" t="s">
        <v>42</v>
      </c>
      <c r="B488" s="27" t="s">
        <v>1516</v>
      </c>
      <c r="C488" s="27" t="s">
        <v>1517</v>
      </c>
      <c r="D488" s="27" t="s">
        <v>1518</v>
      </c>
      <c r="E488" s="28" t="s">
        <v>46</v>
      </c>
      <c r="F488" s="29" t="s">
        <v>46</v>
      </c>
      <c r="G488" s="30" t="s">
        <v>46</v>
      </c>
      <c r="H488" s="31"/>
      <c r="I488" s="31" t="s">
        <v>418</v>
      </c>
      <c r="J488" s="32" t="n">
        <v>1.0</v>
      </c>
      <c r="K488" s="33" t="n">
        <f>54000</f>
        <v>54000.0</v>
      </c>
      <c r="L488" s="34" t="s">
        <v>48</v>
      </c>
      <c r="M488" s="33" t="n">
        <f>54400</f>
        <v>54400.0</v>
      </c>
      <c r="N488" s="34" t="s">
        <v>162</v>
      </c>
      <c r="O488" s="33" t="n">
        <f>50400</f>
        <v>50400.0</v>
      </c>
      <c r="P488" s="34" t="s">
        <v>82</v>
      </c>
      <c r="Q488" s="33" t="n">
        <f>50700</f>
        <v>50700.0</v>
      </c>
      <c r="R488" s="34" t="s">
        <v>51</v>
      </c>
      <c r="S488" s="35" t="n">
        <f>53277.27</f>
        <v>53277.27</v>
      </c>
      <c r="T488" s="32" t="n">
        <f>13412</f>
        <v>13412.0</v>
      </c>
      <c r="U488" s="32" t="n">
        <f>180</f>
        <v>180.0</v>
      </c>
      <c r="V488" s="32" t="n">
        <f>709578314</f>
        <v>7.09578314E8</v>
      </c>
      <c r="W488" s="32" t="n">
        <f>9718714</f>
        <v>9718714.0</v>
      </c>
      <c r="X488" s="36" t="n">
        <f>22</f>
        <v>22.0</v>
      </c>
    </row>
    <row r="489">
      <c r="A489" s="27" t="s">
        <v>42</v>
      </c>
      <c r="B489" s="27" t="s">
        <v>1519</v>
      </c>
      <c r="C489" s="27" t="s">
        <v>1520</v>
      </c>
      <c r="D489" s="27" t="s">
        <v>1521</v>
      </c>
      <c r="E489" s="28" t="s">
        <v>46</v>
      </c>
      <c r="F489" s="29" t="s">
        <v>46</v>
      </c>
      <c r="G489" s="30" t="s">
        <v>46</v>
      </c>
      <c r="H489" s="31"/>
      <c r="I489" s="31" t="s">
        <v>47</v>
      </c>
      <c r="J489" s="32" t="n">
        <v>1.0</v>
      </c>
      <c r="K489" s="33" t="n">
        <f>57200</f>
        <v>57200.0</v>
      </c>
      <c r="L489" s="34" t="s">
        <v>48</v>
      </c>
      <c r="M489" s="33" t="n">
        <f>57500</f>
        <v>57500.0</v>
      </c>
      <c r="N489" s="34" t="s">
        <v>48</v>
      </c>
      <c r="O489" s="33" t="n">
        <f>54100</f>
        <v>54100.0</v>
      </c>
      <c r="P489" s="34" t="s">
        <v>59</v>
      </c>
      <c r="Q489" s="33" t="n">
        <f>56000</f>
        <v>56000.0</v>
      </c>
      <c r="R489" s="34" t="s">
        <v>51</v>
      </c>
      <c r="S489" s="35" t="n">
        <f>55400</f>
        <v>55400.0</v>
      </c>
      <c r="T489" s="32" t="n">
        <f>58010</f>
        <v>58010.0</v>
      </c>
      <c r="U489" s="32" t="n">
        <f>1938</f>
        <v>1938.0</v>
      </c>
      <c r="V489" s="32" t="n">
        <f>3201342017</f>
        <v>3.201342017E9</v>
      </c>
      <c r="W489" s="32" t="n">
        <f>104533217</f>
        <v>1.04533217E8</v>
      </c>
      <c r="X489" s="36" t="n">
        <f>22</f>
        <v>22.0</v>
      </c>
    </row>
    <row r="490">
      <c r="A490" s="27" t="s">
        <v>42</v>
      </c>
      <c r="B490" s="27" t="s">
        <v>1522</v>
      </c>
      <c r="C490" s="27" t="s">
        <v>1523</v>
      </c>
      <c r="D490" s="27" t="s">
        <v>1524</v>
      </c>
      <c r="E490" s="28" t="s">
        <v>46</v>
      </c>
      <c r="F490" s="29" t="s">
        <v>46</v>
      </c>
      <c r="G490" s="30" t="s">
        <v>46</v>
      </c>
      <c r="H490" s="31" t="s">
        <v>1525</v>
      </c>
      <c r="I490" s="31" t="s">
        <v>418</v>
      </c>
      <c r="J490" s="32" t="n">
        <v>1.0</v>
      </c>
      <c r="K490" s="33" t="n">
        <f>64700</f>
        <v>64700.0</v>
      </c>
      <c r="L490" s="34" t="s">
        <v>48</v>
      </c>
      <c r="M490" s="33" t="n">
        <f>64900</f>
        <v>64900.0</v>
      </c>
      <c r="N490" s="34" t="s">
        <v>162</v>
      </c>
      <c r="O490" s="33" t="n">
        <f>64000</f>
        <v>64000.0</v>
      </c>
      <c r="P490" s="34" t="s">
        <v>369</v>
      </c>
      <c r="Q490" s="33" t="n">
        <f>64100</f>
        <v>64100.0</v>
      </c>
      <c r="R490" s="34" t="s">
        <v>51</v>
      </c>
      <c r="S490" s="35" t="n">
        <f>64509.09</f>
        <v>64509.09</v>
      </c>
      <c r="T490" s="32" t="n">
        <f>166828</f>
        <v>166828.0</v>
      </c>
      <c r="U490" s="32" t="n">
        <f>4464</f>
        <v>4464.0</v>
      </c>
      <c r="V490" s="32" t="n">
        <f>10758055028</f>
        <v>1.0758055028E10</v>
      </c>
      <c r="W490" s="32" t="n">
        <f>287833628</f>
        <v>2.87833628E8</v>
      </c>
      <c r="X490" s="36" t="n">
        <f>22</f>
        <v>22.0</v>
      </c>
    </row>
  </sheetData>
  <mergeCells count="3">
    <mergeCell ref="N1:X3"/>
    <mergeCell ref="A2:M2"/>
    <mergeCell ref="A3:M3"/>
  </mergeCells>
  <phoneticPr fontId="3"/>
  <printOptions horizontalCentered="1"/>
  <pageMargins left="0.39370078740157483" right="0.39370078740157483" top="0.39370078740157483" bottom="0.59055118110236227" header="0.27559055118110237" footer="0.27559055118110237"/>
  <pageSetup paperSize="9" scale="32" fitToHeight="0" orientation="landscape" r:id="rId1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BO_EM0004</vt:lpstr>
      <vt:lpstr>BO_EM0004!Print_Titles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2018-10-04T04:21:09Z</dcterms:created>
  <dcterms:modified xsi:type="dcterms:W3CDTF">2020-05-11T08:48:14Z</dcterms:modified>
</cp:coreProperties>
</file>