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<sst xmlns="http://schemas.openxmlformats.org/spreadsheetml/2006/main" count="5999" uniqueCount="1556">
  <si>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</si>
  <si>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</si>
  <si>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</si>
  <si>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</si>
  <si>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</si>
  <si>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</si>
  <si>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</si>
  <si>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</si>
  <si>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</si>
  <si>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</si>
  <si>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</si>
  <si>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</si>
  <si>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</si>
  <si>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</si>
  <si>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</si>
  <si>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</si>
  <si>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</si>
  <si>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</si>
  <si>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</si>
  <si>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</si>
  <si>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</si>
  <si>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</si>
  <si>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</si>
  <si>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</si>
  <si>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</si>
  <si>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</si>
  <si>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</si>
  <si>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</si>
  <si>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</si>
  <si>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</si>
  <si>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</si>
  <si>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</si>
  <si>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</si>
  <si>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</si>
  <si>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</si>
  <si>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</si>
  <si>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</si>
  <si>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</si>
  <si>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</si>
  <si>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</si>
  <si>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</si>
  <si>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</si>
  <si>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2026/01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</si>
  <si>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</si>
  <si>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</si>
  <si>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</si>
  <si>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</si>
  <si>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</si>
  <si>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5</t>
  </si>
  <si>
    <t>15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</si>
  <si>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</si>
  <si>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</si>
  <si>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</si>
  <si>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</si>
  <si>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</si>
  <si>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</si>
  <si>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</si>
  <si>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</si>
  <si>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</si>
  <si>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</si>
  <si>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</si>
  <si>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28</t>
  </si>
  <si>
    <t>1311</t>
  </si>
  <si>
    <t>ＮＥＸＴ　ＦＵＮＤＳ　ＴＯＰＩＸ　Ｃｏｒｅ　３０連動型上場投信　受益証券</t>
  </si>
  <si>
    <t>NEXT FUNDS TOPIX Core 30 Exchange Traded Fund</t>
  </si>
  <si>
    <t>16</t>
  </si>
  <si>
    <t>1319</t>
  </si>
  <si>
    <t>ＮＥＸＴ　ＦＵＮＤＳ　日経３００株価指数連動型上場投信　受益証券</t>
  </si>
  <si>
    <t>NEXT FUNDS Nikkei 300 Index Exchange Traded Fund</t>
  </si>
  <si>
    <t>6</t>
  </si>
  <si>
    <t>29</t>
  </si>
  <si>
    <t>1320</t>
  </si>
  <si>
    <t>ｉＦｒｅｅＥＴＦ　日経２２５（年１回決算型）　受益証券</t>
  </si>
  <si>
    <t>iFreeETF Nikkei225 (Yearly Dividend Type)</t>
  </si>
  <si>
    <t>14</t>
  </si>
  <si>
    <t>8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</si>
  <si>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</si>
  <si>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</si>
  <si>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</si>
  <si>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</si>
  <si>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</si>
  <si>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</si>
  <si>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</si>
  <si>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</si>
  <si>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</si>
  <si>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</si>
  <si>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</si>
  <si>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</si>
  <si>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</si>
  <si>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</si>
  <si>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</si>
  <si>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</si>
  <si>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</si>
  <si>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</si>
  <si>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</si>
  <si>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</si>
  <si>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</si>
  <si>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</si>
  <si>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</si>
  <si>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</si>
  <si>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</si>
  <si>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</si>
  <si>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</si>
  <si>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19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</si>
  <si>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</si>
  <si>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</si>
  <si>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</si>
  <si>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</si>
  <si>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</si>
  <si>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</si>
  <si>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</si>
  <si>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</si>
  <si>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</si>
  <si>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</si>
  <si>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</si>
  <si>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</si>
  <si>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</si>
  <si>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</si>
  <si>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</si>
  <si>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</si>
  <si>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</si>
  <si>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</si>
  <si>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</si>
  <si>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</si>
  <si>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</si>
  <si>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</si>
  <si>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</si>
  <si>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</si>
  <si>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</si>
  <si>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</si>
  <si>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</si>
  <si>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</si>
  <si>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</si>
  <si>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</si>
  <si>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</si>
  <si>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</si>
  <si>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</si>
  <si>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</si>
  <si>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</si>
  <si>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</si>
  <si>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</si>
  <si>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</si>
  <si>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</si>
  <si>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</si>
  <si>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</si>
  <si>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</si>
  <si>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</si>
  <si>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</si>
  <si>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</si>
  <si>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</si>
  <si>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</si>
  <si>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</si>
  <si>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</si>
  <si>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</si>
  <si>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</si>
  <si>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23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</si>
  <si>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</si>
  <si>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</si>
  <si>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</si>
  <si>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</si>
  <si>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</si>
  <si>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</si>
  <si>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</si>
  <si>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</si>
  <si>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</si>
  <si>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</si>
  <si>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</si>
  <si>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</si>
  <si>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</si>
  <si>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</si>
  <si>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</si>
  <si>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</si>
  <si>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</si>
  <si>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</si>
  <si>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</si>
  <si>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</si>
  <si>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</si>
  <si>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</si>
  <si>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</si>
  <si>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</si>
  <si>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</si>
  <si>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</si>
  <si>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</si>
  <si>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</si>
  <si>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</si>
  <si>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</si>
  <si>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</si>
  <si>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</si>
  <si>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</si>
  <si>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</si>
  <si>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</si>
  <si>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</si>
  <si>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</si>
  <si>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</si>
  <si>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</si>
  <si>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7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</si>
  <si>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</si>
  <si>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</si>
  <si>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</si>
  <si>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</si>
  <si>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</si>
  <si>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</si>
  <si>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20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</si>
  <si>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</si>
  <si>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</si>
  <si>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</si>
  <si>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22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</si>
  <si>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</si>
  <si>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</si>
  <si>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</si>
  <si>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</si>
  <si>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</si>
  <si>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</si>
  <si>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21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</si>
  <si>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</si>
  <si>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</si>
  <si>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</si>
  <si>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</si>
  <si>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</si>
  <si>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</si>
  <si>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</si>
  <si>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</si>
  <si>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</si>
  <si>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27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</si>
  <si>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</si>
  <si>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</si>
  <si>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</si>
  <si>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</si>
  <si>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</si>
  <si>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</si>
  <si>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</si>
  <si>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</si>
  <si>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</si>
  <si>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</si>
  <si>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</si>
  <si>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</si>
  <si>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</si>
  <si>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</si>
  <si>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</si>
  <si>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</si>
  <si>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</si>
  <si>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</si>
  <si>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</si>
  <si>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</si>
  <si>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</si>
  <si>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</si>
  <si>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</si>
  <si>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</si>
  <si>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</si>
  <si>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</si>
  <si>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</si>
  <si>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</si>
  <si>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</si>
  <si>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</si>
  <si>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</si>
  <si>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</si>
  <si>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</si>
  <si>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9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</si>
  <si>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</si>
  <si>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</si>
  <si>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</si>
  <si>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</si>
  <si>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</si>
  <si>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</si>
  <si>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</si>
  <si>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</si>
  <si>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</si>
  <si>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</si>
  <si>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</si>
  <si>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</si>
  <si>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</si>
  <si>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</si>
  <si>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</si>
  <si>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26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</si>
  <si>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</si>
  <si>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</si>
  <si>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</si>
  <si>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</si>
  <si>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</si>
  <si>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</si>
  <si>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</si>
  <si>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</si>
  <si>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</si>
  <si>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</si>
  <si>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</si>
  <si>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</si>
  <si>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</si>
  <si>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</si>
  <si>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</si>
  <si>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</si>
  <si>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</si>
  <si>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</si>
  <si>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</si>
  <si>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</si>
  <si>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</si>
  <si>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</si>
  <si>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</si>
  <si>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</si>
  <si>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</si>
  <si>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</si>
  <si>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</si>
  <si>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</si>
  <si>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</si>
  <si>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</si>
  <si>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</si>
  <si>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</si>
  <si>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</si>
  <si>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</si>
  <si>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</si>
  <si>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</si>
  <si>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</si>
  <si>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</si>
  <si>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</si>
  <si>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</si>
  <si>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</si>
  <si>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</si>
  <si>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</si>
  <si>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</si>
  <si>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</si>
  <si>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</si>
  <si>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</si>
  <si>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</si>
  <si>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</si>
  <si>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</si>
  <si>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</si>
  <si>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</si>
  <si>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</si>
  <si>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</si>
  <si>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</si>
  <si>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</si>
  <si>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</si>
  <si>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</si>
  <si>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</si>
  <si>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</si>
  <si>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</si>
  <si>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</si>
  <si>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</si>
  <si>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</si>
  <si>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</si>
  <si>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</si>
  <si>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</si>
  <si>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</si>
  <si>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</si>
  <si>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</si>
  <si>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</si>
  <si>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</si>
  <si>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</si>
  <si>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</si>
  <si>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</si>
  <si>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</si>
  <si>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</si>
  <si>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</si>
  <si>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</si>
  <si>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</si>
  <si>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</si>
  <si>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</si>
  <si>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</si>
  <si>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</si>
  <si>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</si>
  <si>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</si>
  <si>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</si>
  <si>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</si>
  <si>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</si>
  <si>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</si>
  <si>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</si>
  <si>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</si>
  <si>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</si>
  <si>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</si>
  <si>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</si>
  <si>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</si>
  <si>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</si>
  <si>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</si>
  <si>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</si>
  <si>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</si>
  <si>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</si>
  <si>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</si>
  <si>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</si>
  <si>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</si>
  <si>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</si>
  <si>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</si>
  <si>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</si>
  <si>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</si>
  <si>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</si>
  <si>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</si>
  <si>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</si>
  <si>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</si>
  <si>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</si>
  <si>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</si>
  <si>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</si>
  <si>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</si>
  <si>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</si>
  <si>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</si>
  <si>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</si>
  <si>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</si>
  <si>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</si>
  <si>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</si>
  <si>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</si>
  <si>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</si>
  <si>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</si>
  <si>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</si>
  <si>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</si>
  <si>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</si>
  <si>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</si>
  <si>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</si>
  <si>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</si>
  <si>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</si>
  <si>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</si>
  <si>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</si>
  <si>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</si>
  <si>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</si>
  <si>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</si>
  <si>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</si>
  <si>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</si>
  <si>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</si>
  <si>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</si>
  <si>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</si>
  <si>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</si>
  <si>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</si>
  <si>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</si>
  <si>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</si>
  <si>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</si>
  <si>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</si>
  <si>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</si>
  <si>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</si>
  <si>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</si>
  <si>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</si>
  <si>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</si>
  <si>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</si>
  <si>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</si>
  <si>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</si>
  <si>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</si>
  <si>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</si>
  <si>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</si>
  <si>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</si>
  <si>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</si>
  <si>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</si>
  <si>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</si>
  <si>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</si>
  <si>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</si>
  <si>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</si>
  <si>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</si>
  <si>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</si>
  <si>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</si>
  <si>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</si>
  <si>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</si>
  <si>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</si>
  <si>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</si>
  <si>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</si>
  <si>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</si>
  <si>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</si>
  <si>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</si>
  <si>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</si>
  <si>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</si>
  <si>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</si>
  <si>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</si>
  <si>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</si>
  <si>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</si>
  <si>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</si>
  <si>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</si>
  <si>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</si>
  <si>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</si>
  <si>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</si>
  <si>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</si>
  <si>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</si>
  <si>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</si>
  <si>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</si>
  <si>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</si>
  <si>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</si>
  <si>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</si>
  <si>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</si>
  <si>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</si>
  <si>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</si>
  <si>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</si>
  <si>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</si>
  <si>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</si>
  <si>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</si>
  <si>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</si>
  <si>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</si>
  <si>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</si>
  <si>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</si>
  <si>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</si>
  <si>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</si>
  <si>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</si>
  <si>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</si>
  <si>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</si>
  <si>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</si>
  <si>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</si>
  <si>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</si>
  <si>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</si>
  <si>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</si>
  <si>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</si>
  <si>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</si>
  <si>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</si>
  <si>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</si>
  <si>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</si>
  <si>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</si>
  <si>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</si>
  <si>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</si>
  <si>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</si>
  <si>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</si>
  <si>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</si>
  <si>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</si>
  <si>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</si>
  <si>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</si>
  <si>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</si>
  <si>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</si>
  <si>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</si>
  <si>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</si>
  <si>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</si>
  <si>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</si>
  <si>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</si>
  <si>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</si>
  <si>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</si>
  <si>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</si>
  <si>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</si>
  <si>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</si>
  <si>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</si>
  <si>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</si>
  <si>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</si>
  <si>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</si>
  <si>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</si>
  <si>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</si>
  <si>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</si>
  <si>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</si>
  <si>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</si>
  <si>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</si>
  <si>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</si>
  <si>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</si>
  <si>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</si>
  <si>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</si>
  <si>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</si>
  <si>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</si>
  <si>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</si>
  <si>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</si>
  <si>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</si>
  <si>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</si>
  <si>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</si>
  <si>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</si>
  <si>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</si>
  <si>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</si>
  <si>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</si>
  <si>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</si>
  <si>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</si>
  <si>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</si>
  <si>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</si>
  <si>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</si>
  <si>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</si>
  <si>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</si>
  <si>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</si>
  <si>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</si>
  <si>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</si>
  <si>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</si>
  <si>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</si>
  <si>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</si>
  <si>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</si>
  <si>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</si>
  <si>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</si>
  <si>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</si>
  <si>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</si>
  <si>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</si>
  <si>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</si>
  <si>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</si>
  <si>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</si>
  <si>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</si>
  <si>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</si>
  <si>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</si>
  <si>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</si>
  <si>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</si>
  <si>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</si>
  <si>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</si>
  <si>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</si>
  <si>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</si>
  <si>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</si>
  <si>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</si>
  <si>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</si>
  <si>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</si>
  <si>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</si>
  <si>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</si>
  <si>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</si>
  <si>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</si>
  <si>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</si>
  <si>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</si>
  <si>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</si>
  <si>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</si>
  <si>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</si>
  <si>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</si>
  <si>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</si>
  <si>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</si>
  <si>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</si>
  <si>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</si>
  <si>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</si>
  <si>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</si>
  <si>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</si>
  <si>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</si>
  <si>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</si>
  <si>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</si>
  <si>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</si>
  <si>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</si>
  <si>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</si>
  <si>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</si>
  <si>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</si>
  <si>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</si>
  <si>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</si>
  <si>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</si>
  <si>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</si>
  <si>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</si>
  <si>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</si>
  <si>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</si>
  <si>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</si>
  <si>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</si>
  <si>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</si>
  <si>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</si>
  <si>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</si>
  <si>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</si>
  <si>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</si>
  <si>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</si>
  <si>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</si>
  <si>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</si>
  <si>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</si>
  <si>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</si>
  <si>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</si>
  <si>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</si>
  <si>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</si>
  <si>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</si>
  <si>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</si>
  <si>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</si>
  <si>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</si>
  <si>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</si>
  <si>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</si>
  <si>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</si>
  <si>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</si>
  <si>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</si>
  <si>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</si>
  <si>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</si>
  <si>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</si>
  <si>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</si>
  <si>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</si>
  <si>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</si>
  <si>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</si>
  <si>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</si>
  <si>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</si>
  <si>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</si>
  <si>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</si>
  <si>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</si>
  <si>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</si>
  <si>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</si>
  <si>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</si>
  <si>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</si>
  <si>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</si>
  <si>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</si>
  <si>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</si>
  <si>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</si>
  <si>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</si>
  <si>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</si>
  <si>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</si>
  <si>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</si>
  <si>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</si>
  <si>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</si>
  <si>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</si>
  <si>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</si>
  <si>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</si>
  <si>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</si>
  <si>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</si>
  <si>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</si>
  <si>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</si>
  <si>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</si>
  <si>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</si>
  <si>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</si>
  <si>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</si>
  <si>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</si>
  <si>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</si>
  <si>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</si>
  <si>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</si>
  <si>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</si>
  <si>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</si>
  <si>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</si>
  <si>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</si>
  <si>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</si>
  <si>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</si>
  <si>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</si>
  <si>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</si>
  <si>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</si>
  <si>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</si>
  <si>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</si>
  <si>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</si>
  <si>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</si>
  <si>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</si>
  <si>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</si>
  <si>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</si>
  <si>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</si>
  <si>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</si>
  <si>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</si>
  <si>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</si>
  <si>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</si>
  <si>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</si>
  <si>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</si>
  <si>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</si>
  <si>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</si>
  <si>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</si>
  <si>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</si>
  <si>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</si>
  <si>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</si>
  <si>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</si>
  <si>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</si>
  <si>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</si>
  <si>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</si>
  <si>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</si>
  <si>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</si>
  <si>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</si>
  <si>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</si>
  <si>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</si>
  <si>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</si>
  <si>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</si>
  <si>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</si>
  <si>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</si>
  <si>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</si>
  <si>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</si>
  <si>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</si>
  <si>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</si>
  <si>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</si>
  <si>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</si>
  <si>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</si>
  <si>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</si>
  <si>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</si>
  <si>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</si>
  <si>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</si>
  <si>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</si>
  <si>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</si>
  <si>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</si>
  <si>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</si>
  <si>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</si>
  <si>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</si>
  <si>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</si>
  <si>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</si>
  <si>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</si>
  <si>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</si>
  <si>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</si>
  <si>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</si>
  <si>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</si>
  <si>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</si>
  <si>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</si>
  <si>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</si>
  <si>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</si>
  <si>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</si>
  <si>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</si>
  <si>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</si>
  <si>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</si>
  <si>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</si>
  <si>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</si>
  <si>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</si>
  <si>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</si>
  <si>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</si>
  <si>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</si>
  <si>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</si>
  <si>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</si>
  <si>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</si>
  <si>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</si>
  <si>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</si>
  <si>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</si>
  <si>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</si>
  <si>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</si>
  <si>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</si>
  <si>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</si>
  <si>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</si>
  <si>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</si>
  <si>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</si>
  <si>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</si>
  <si>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</si>
  <si>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</si>
  <si>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</si>
  <si>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</si>
  <si>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</si>
  <si>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</si>
  <si>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</si>
  <si>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</si>
  <si>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</si>
  <si>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</si>
  <si>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</si>
  <si>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</si>
  <si>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</si>
  <si>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</si>
  <si>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</si>
  <si>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</si>
  <si>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</si>
  <si>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</si>
  <si>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</si>
  <si>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</si>
  <si>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</si>
  <si>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</si>
  <si>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</si>
  <si>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</si>
  <si>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</si>
  <si>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</si>
  <si>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</si>
  <si>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</si>
  <si>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</si>
  <si>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</si>
  <si>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</si>
  <si>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</si>
  <si>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</si>
  <si>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</si>
  <si>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</si>
  <si>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</si>
  <si>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</si>
  <si>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</si>
  <si>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</si>
  <si>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</si>
  <si>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</si>
  <si>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</si>
  <si>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</si>
  <si>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</si>
  <si>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</si>
  <si>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</si>
  <si>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</si>
  <si>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</si>
  <si>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</si>
  <si>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</si>
  <si>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</si>
  <si>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</si>
  <si>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</si>
  <si>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</si>
  <si>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</si>
  <si>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</si>
  <si>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</si>
  <si>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</si>
  <si>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</si>
  <si>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</si>
  <si>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</si>
  <si>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</si>
  <si>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</si>
  <si>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</si>
  <si>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</si>
  <si>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</si>
  <si>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</si>
  <si>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</si>
  <si>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</si>
  <si>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</si>
  <si>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</si>
  <si>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</si>
  <si>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</si>
  <si>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</si>
  <si>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</si>
  <si>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</si>
  <si>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</si>
  <si>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</si>
  <si>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</si>
  <si>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</si>
  <si>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</si>
  <si>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</si>
  <si>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</si>
  <si>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</si>
  <si>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</si>
  <si>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</si>
  <si>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</si>
  <si>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</si>
  <si>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</si>
  <si>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</si>
  <si>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</si>
  <si>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</si>
  <si>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</si>
  <si>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</si>
  <si>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</si>
  <si>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</si>
  <si>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</si>
  <si>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</si>
  <si>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</si>
  <si>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</si>
  <si>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</si>
  <si>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</si>
  <si>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</si>
  <si>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</si>
  <si>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</si>
  <si>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</si>
  <si>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</si>
  <si>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</si>
  <si>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</si>
  <si>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</si>
  <si>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</si>
  <si>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</si>
  <si>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</si>
  <si>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</si>
  <si>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</si>
  <si>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</si>
  <si>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</si>
  <si>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</si>
  <si>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</si>
  <si>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</si>
  <si>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</si>
  <si>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</si>
  <si>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</si>
  <si>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</si>
  <si>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</si>
  <si>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</si>
  <si>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</si>
  <si>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</si>
  <si>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</si>
  <si>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</si>
  <si>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</si>
  <si>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</si>
  <si>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</si>
  <si>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</si>
  <si>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</si>
  <si>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</si>
  <si>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</si>
  <si>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</si>
  <si>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</si>
  <si>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</si>
  <si>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</si>
  <si>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</si>
  <si>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</si>
  <si>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</si>
  <si>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</si>
  <si>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</si>
  <si>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</si>
  <si>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</si>
  <si>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</si>
  <si>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</si>
  <si>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</si>
  <si>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</si>
  <si>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</si>
  <si>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</si>
  <si>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</si>
  <si>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</si>
  <si>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</si>
  <si>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</si>
  <si>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</si>
  <si>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</si>
  <si>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</si>
  <si>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</si>
  <si>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</si>
  <si>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</si>
  <si>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</si>
  <si>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</si>
  <si>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</si>
  <si>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</si>
  <si>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</si>
  <si>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</si>
  <si>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</si>
  <si>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</si>
  <si>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</si>
  <si>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</si>
  <si>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</si>
  <si>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</si>
  <si>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</si>
  <si>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</si>
  <si>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</si>
  <si>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</si>
  <si>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</si>
  <si>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</si>
  <si>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</si>
  <si>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</si>
  <si>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</si>
  <si>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</si>
  <si>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</si>
  <si>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</si>
  <si>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</si>
  <si>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</si>
  <si>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</si>
  <si>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</si>
  <si>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</si>
  <si>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</si>
  <si>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</si>
  <si>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</si>
  <si>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</si>
  <si>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</si>
  <si>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</si>
  <si>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</si>
  <si>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</si>
  <si>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</si>
  <si>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</si>
  <si>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</si>
  <si>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</si>
  <si>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</si>
  <si>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</si>
  <si>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</si>
  <si>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</si>
  <si>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</si>
  <si>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</si>
  <si>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</si>
  <si>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</si>
  <si>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</si>
  <si>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</si>
  <si>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</si>
  <si>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</si>
  <si>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</si>
  <si>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</si>
  <si>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</si>
  <si>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</si>
  <si>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</si>
  <si>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</si>
  <si>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</si>
  <si>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</si>
  <si>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</si>
  <si>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</si>
  <si>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</si>
  <si>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</si>
  <si>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</si>
  <si>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</si>
  <si>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</si>
  <si>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</si>
  <si>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</si>
  <si>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</si>
  <si>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</si>
  <si>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</si>
  <si>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</si>
  <si>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</si>
  <si>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</si>
  <si>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</si>
  <si>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</si>
  <si>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</si>
  <si>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</si>
  <si>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</si>
  <si>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</si>
  <si>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</si>
  <si>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</si>
  <si>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</si>
  <si>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</si>
  <si>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</si>
  <si>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</si>
  <si>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</si>
  <si>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</si>
  <si>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</si>
  <si>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</si>
  <si>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</si>
  <si>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</si>
  <si>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</si>
  <si>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</si>
  <si>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</si>
  <si>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</si>
  <si>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</si>
  <si>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</si>
  <si>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</si>
  <si>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</si>
  <si>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</si>
  <si>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</si>
  <si>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</si>
  <si>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</si>
  <si>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</si>
  <si>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</si>
  <si>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</si>
  <si>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</si>
  <si>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</si>
  <si>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</si>
  <si>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</si>
  <si>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</si>
  <si>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</si>
  <si>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</si>
  <si>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</si>
  <si>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</si>
  <si>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</si>
  <si>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</si>
  <si>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</si>
  <si>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</si>
  <si>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</si>
  <si>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</si>
  <si>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</si>
  <si>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</si>
  <si>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</si>
  <si>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</si>
  <si>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</si>
  <si>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</si>
  <si>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</si>
  <si>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</si>
  <si>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</si>
  <si>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</si>
  <si>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</si>
  <si>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</si>
  <si>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</si>
  <si>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</si>
  <si>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</si>
  <si>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</si>
  <si>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</si>
  <si>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</si>
  <si>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</si>
  <si>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</si>
  <si>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</si>
  <si>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</si>
  <si>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</si>
  <si>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</si>
  <si>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</si>
  <si>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</si>
  <si>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</si>
  <si>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</si>
  <si>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</si>
  <si>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</si>
  <si>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</si>
  <si>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</si>
  <si>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</si>
  <si>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</si>
  <si>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</si>
  <si>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</si>
  <si>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</si>
  <si>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</si>
  <si>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</si>
  <si>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</si>
  <si>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</si>
  <si>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</si>
  <si>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</si>
  <si>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</si>
  <si>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</si>
  <si>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</si>
  <si>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</si>
  <si>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</si>
  <si>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</si>
  <si>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</si>
  <si>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</si>
  <si>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</si>
  <si>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</si>
  <si>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</si>
  <si>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</si>
  <si>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</si>
  <si>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</si>
  <si>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</si>
  <si>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</si>
  <si>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</si>
  <si>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</si>
  <si>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</si>
  <si>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</si>
  <si>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</si>
  <si>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</si>
  <si>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</si>
  <si>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</si>
  <si>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</si>
  <si>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</si>
  <si>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</si>
  <si>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</si>
  <si>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</si>
  <si>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</si>
  <si>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</si>
  <si>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</si>
  <si>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</si>
  <si>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</si>
  <si>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</si>
  <si>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</si>
  <si>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</si>
  <si>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</si>
  <si>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</si>
  <si>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</si>
  <si>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</si>
  <si>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</si>
  <si>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</si>
  <si>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</si>
  <si>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</si>
  <si>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</si>
  <si>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</si>
  <si>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</si>
  <si>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</si>
  <si>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</si>
  <si>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</si>
  <si>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</si>
  <si>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</si>
  <si>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</si>
  <si>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</si>
  <si>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</si>
  <si>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</si>
  <si>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</si>
  <si>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</si>
  <si>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</si>
  <si>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</si>
  <si>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</si>
  <si>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</si>
  <si>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</si>
  <si>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</si>
  <si>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</si>
  <si>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</si>
  <si>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</si>
  <si>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</si>
  <si>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</si>
  <si>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</si>
  <si>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</si>
  <si>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</si>
  <si>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</si>
  <si>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</si>
  <si>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</si>
  <si>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</si>
  <si>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確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</si>
  <si>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</si>
  <si>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</si>
  <si>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</si>
  <si>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</si>
  <si>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</si>
  <si>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</si>
  <si>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</si>
  <si>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</si>
  <si>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</si>
  <si>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</si>
  <si>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</si>
  <si>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</si>
  <si>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</si>
  <si>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</si>
  <si>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</si>
  <si>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</si>
  <si>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</si>
  <si>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</si>
  <si>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</si>
  <si>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</si>
  <si>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</si>
  <si>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</si>
  <si>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</si>
  <si>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</si>
  <si>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</si>
  <si>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</si>
  <si>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</si>
  <si>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</si>
  <si>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</si>
  <si>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</si>
  <si>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</si>
  <si>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</si>
  <si>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</si>
  <si>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</si>
  <si>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</si>
  <si>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</si>
  <si>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</si>
  <si>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</si>
  <si>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</si>
  <si>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</si>
  <si>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</si>
  <si>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</si>
  <si>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 xml:space="preserve">新株落ち  </t>
  </si>
  <si>
    <t xml:space="preserve">ex-subscription right  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</si>
  <si>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</si>
  <si>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</si>
  <si>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</si>
  <si>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</si>
  <si>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</si>
  <si>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</si>
  <si>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</si>
  <si>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</si>
  <si>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</si>
  <si>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</si>
  <si>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</si>
  <si>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</si>
  <si>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</si>
  <si>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</si>
  <si>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</si>
  <si>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</si>
  <si>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</si>
  <si>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</si>
  <si>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</si>
  <si>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</si>
  <si>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</si>
  <si>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</si>
  <si>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</si>
  <si>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</si>
  <si>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</si>
  <si>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</si>
  <si>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</si>
  <si>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</si>
  <si>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</si>
  <si>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</si>
  <si>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</si>
  <si>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</si>
  <si>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</si>
  <si>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</si>
  <si>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</si>
  <si>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</si>
  <si>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</si>
  <si>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</si>
  <si>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</si>
  <si>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</si>
  <si>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</si>
  <si>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</si>
  <si>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</si>
  <si>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</si>
  <si>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</si>
  <si>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</si>
  <si>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</si>
  <si>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</si>
  <si>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</si>
  <si>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</si>
  <si>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</si>
  <si>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</si>
  <si>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</si>
  <si>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</si>
  <si>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</si>
  <si>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</si>
  <si>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</si>
  <si>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</si>
  <si>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</si>
  <si>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</si>
  <si>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</si>
  <si>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</si>
  <si>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</si>
  <si>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</si>
  <si>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</si>
  <si>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</si>
  <si>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</si>
  <si>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</si>
  <si>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</si>
  <si>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</si>
  <si>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</si>
  <si>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</si>
  <si>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</si>
  <si>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</si>
  <si>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</si>
  <si>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</si>
  <si>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</si>
  <si>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</si>
  <si>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</si>
  <si>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</si>
  <si>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</si>
  <si>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</si>
  <si>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</si>
  <si>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</si>
  <si>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</si>
  <si>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</si>
  <si>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</si>
  <si>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</si>
  <si>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</si>
  <si>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</si>
  <si>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</si>
  <si>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</si>
  <si>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</si>
  <si>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</si>
  <si>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</si>
  <si>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</si>
  <si>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</si>
  <si>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</si>
  <si>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</si>
  <si>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</si>
  <si>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</si>
  <si>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</si>
  <si>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</si>
  <si>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</si>
  <si>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</si>
  <si>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</si>
  <si>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</si>
  <si>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</si>
  <si>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</si>
  <si>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</si>
  <si>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</si>
  <si>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</si>
  <si>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</si>
  <si>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</si>
  <si>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</si>
  <si>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</si>
  <si>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</si>
  <si>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</si>
  <si>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</si>
  <si>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</si>
  <si>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</si>
  <si>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</si>
  <si>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</si>
  <si>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</si>
  <si>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</si>
  <si>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</si>
  <si>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</si>
  <si>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</si>
  <si>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</si>
  <si>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</si>
  <si>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</si>
  <si>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</si>
  <si>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</si>
  <si>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</si>
  <si>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</si>
  <si>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</si>
  <si>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</si>
  <si>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</si>
  <si>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</si>
  <si>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</si>
  <si>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</si>
  <si>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</si>
  <si>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</si>
  <si>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</si>
  <si>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</si>
  <si>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</si>
  <si>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</si>
  <si>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</si>
  <si>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</si>
  <si>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</si>
  <si>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</si>
  <si>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</si>
  <si>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</si>
  <si>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</si>
  <si>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</si>
  <si>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</si>
  <si>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</si>
  <si>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</si>
  <si>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</si>
  <si>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</si>
  <si>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</si>
  <si>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</si>
  <si>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</si>
  <si>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</si>
  <si>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</si>
  <si>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</si>
  <si>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</si>
  <si>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</si>
  <si>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</si>
  <si>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</si>
  <si>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</si>
  <si>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</si>
  <si>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</si>
  <si>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</si>
  <si>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</si>
  <si>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</si>
  <si>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</si>
  <si>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</si>
  <si>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</si>
  <si>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</si>
  <si>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</si>
  <si>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</si>
  <si>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</si>
  <si>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</si>
  <si>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</si>
  <si>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</si>
  <si>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</si>
  <si>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</si>
  <si>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</si>
  <si>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</si>
  <si>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</si>
  <si>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</si>
  <si>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</si>
  <si>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</si>
  <si>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</si>
  <si>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</si>
  <si>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</si>
  <si>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</si>
  <si>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</si>
  <si>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</si>
  <si>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</si>
  <si>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</si>
  <si>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</si>
  <si>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</si>
  <si>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</si>
  <si>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</si>
  <si>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</si>
  <si>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</si>
  <si>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</si>
  <si>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</si>
  <si>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</si>
  <si>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</si>
  <si>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</si>
  <si>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</si>
  <si>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</si>
  <si>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</si>
  <si>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 xml:space="preserve">新規上場  </t>
  </si>
  <si>
    <t xml:space="preserve">New Listing  </t>
  </si>
  <si>
    <t xml:space="preserve">2026/01/28  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</si>
  <si>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</si>
  <si>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</si>
  <si>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</si>
  <si>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 xml:space="preserve">2026/01/20  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</si>
  <si>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</si>
  <si>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</si>
  <si>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</si>
  <si>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</si>
  <si>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</si>
  <si>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</si>
  <si>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</si>
  <si>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</si>
  <si>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</si>
  <si>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</si>
  <si>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</si>
  <si>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</si>
  <si>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</si>
  <si>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</si>
  <si>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</si>
  <si>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 xml:space="preserve">2026/01/26  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</si>
  <si>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</si>
  <si>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</si>
  <si>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</si>
  <si>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</si>
  <si>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</si>
  <si>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</si>
  <si>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</si>
  <si>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</si>
  <si>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</si>
  <si>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 xml:space="preserve">2026/01/29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</si>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</sst>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1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3660</f>
        <v>3660.0</v>
      </c>
      <c r="L7" s="34" t="s">
        <v>48</v>
      </c>
      <c r="M7" s="33" t="n">
        <f>3901</f>
        <v>3901.0</v>
      </c>
      <c r="N7" s="34" t="s">
        <v>49</v>
      </c>
      <c r="O7" s="33" t="n">
        <f>3660</f>
        <v>3660.0</v>
      </c>
      <c r="P7" s="34" t="s">
        <v>48</v>
      </c>
      <c r="Q7" s="33" t="n">
        <f>3785</f>
        <v>3785.0</v>
      </c>
      <c r="R7" s="34" t="s">
        <v>50</v>
      </c>
      <c r="S7" s="35" t="n">
        <f>3794.68</f>
        <v>3794.68</v>
      </c>
      <c r="T7" s="32" t="n">
        <f>7786590</f>
        <v>7786590.0</v>
      </c>
      <c r="U7" s="32" t="n">
        <f>5283050</f>
        <v>5283050.0</v>
      </c>
      <c r="V7" s="32" t="n">
        <f>29101824180</f>
        <v>2.910182418E10</v>
      </c>
      <c r="W7" s="32" t="n">
        <f>19648416600</f>
        <v>1.96484166E10</v>
      </c>
      <c r="X7" s="36" t="n">
        <f>19</f>
        <v>19.0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3622</f>
        <v>3622.0</v>
      </c>
      <c r="L8" s="34" t="s">
        <v>48</v>
      </c>
      <c r="M8" s="33" t="n">
        <f>3859</f>
        <v>3859.0</v>
      </c>
      <c r="N8" s="34" t="s">
        <v>49</v>
      </c>
      <c r="O8" s="33" t="n">
        <f>3622</f>
        <v>3622.0</v>
      </c>
      <c r="P8" s="34" t="s">
        <v>48</v>
      </c>
      <c r="Q8" s="33" t="n">
        <f>3744</f>
        <v>3744.0</v>
      </c>
      <c r="R8" s="34" t="s">
        <v>50</v>
      </c>
      <c r="S8" s="35" t="n">
        <f>3755.84</f>
        <v>3755.84</v>
      </c>
      <c r="T8" s="32" t="n">
        <f>51026230</f>
        <v>5.102623E7</v>
      </c>
      <c r="U8" s="32" t="n">
        <f>16594780</f>
        <v>1.659478E7</v>
      </c>
      <c r="V8" s="32" t="n">
        <f>191551642074</f>
        <v>1.91551642074E11</v>
      </c>
      <c r="W8" s="32" t="n">
        <f>62502565034</f>
        <v>6.2502565034E10</v>
      </c>
      <c r="X8" s="36" t="n">
        <f>19</f>
        <v>19.0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3576</f>
        <v>3576.0</v>
      </c>
      <c r="L9" s="34" t="s">
        <v>48</v>
      </c>
      <c r="M9" s="33" t="n">
        <f>3811</f>
        <v>3811.0</v>
      </c>
      <c r="N9" s="34" t="s">
        <v>49</v>
      </c>
      <c r="O9" s="33" t="n">
        <f>3576</f>
        <v>3576.0</v>
      </c>
      <c r="P9" s="34" t="s">
        <v>48</v>
      </c>
      <c r="Q9" s="33" t="n">
        <f>3706</f>
        <v>3706.0</v>
      </c>
      <c r="R9" s="34" t="s">
        <v>50</v>
      </c>
      <c r="S9" s="35" t="n">
        <f>3710.84</f>
        <v>3710.84</v>
      </c>
      <c r="T9" s="32" t="n">
        <f>13072368</f>
        <v>1.3072368E7</v>
      </c>
      <c r="U9" s="32" t="n">
        <f>7505458</f>
        <v>7505458.0</v>
      </c>
      <c r="V9" s="32" t="n">
        <f>48164887031</f>
        <v>4.8164887031E10</v>
      </c>
      <c r="W9" s="32" t="n">
        <f>27533504781</f>
        <v>2.7533504781E10</v>
      </c>
      <c r="X9" s="36" t="n">
        <f>19</f>
        <v>19.0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54240</f>
        <v>54240.0</v>
      </c>
      <c r="L10" s="34" t="s">
        <v>48</v>
      </c>
      <c r="M10" s="33" t="n">
        <f>57500</f>
        <v>57500.0</v>
      </c>
      <c r="N10" s="34" t="s">
        <v>60</v>
      </c>
      <c r="O10" s="33" t="n">
        <f>53500</f>
        <v>53500.0</v>
      </c>
      <c r="P10" s="34" t="s">
        <v>61</v>
      </c>
      <c r="Q10" s="33" t="n">
        <f>54960</f>
        <v>54960.0</v>
      </c>
      <c r="R10" s="34" t="s">
        <v>50</v>
      </c>
      <c r="S10" s="35" t="n">
        <f>55666.84</f>
        <v>55666.84</v>
      </c>
      <c r="T10" s="32" t="n">
        <f>3448</f>
        <v>3448.0</v>
      </c>
      <c r="U10" s="32" t="str">
        <f>"－"</f>
        <v>－</v>
      </c>
      <c r="V10" s="32" t="n">
        <f>191913660</f>
        <v>1.9191366E8</v>
      </c>
      <c r="W10" s="32" t="str">
        <f>"－"</f>
        <v>－</v>
      </c>
      <c r="X10" s="36" t="n">
        <f>19</f>
        <v>19.0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1818</f>
        <v>1818.0</v>
      </c>
      <c r="L11" s="34" t="s">
        <v>48</v>
      </c>
      <c r="M11" s="33" t="n">
        <f>1950</f>
        <v>1950.0</v>
      </c>
      <c r="N11" s="34" t="s">
        <v>65</v>
      </c>
      <c r="O11" s="33" t="n">
        <f>1810</f>
        <v>1810.0</v>
      </c>
      <c r="P11" s="34" t="s">
        <v>48</v>
      </c>
      <c r="Q11" s="33" t="n">
        <f>1870</f>
        <v>1870.0</v>
      </c>
      <c r="R11" s="34" t="s">
        <v>50</v>
      </c>
      <c r="S11" s="35" t="n">
        <f>1880.42</f>
        <v>1880.42</v>
      </c>
      <c r="T11" s="32" t="n">
        <f>1291833</f>
        <v>1291833.0</v>
      </c>
      <c r="U11" s="32" t="n">
        <f>688978</f>
        <v>688978.0</v>
      </c>
      <c r="V11" s="32" t="n">
        <f>2437301848</f>
        <v>2.437301848E9</v>
      </c>
      <c r="W11" s="32" t="n">
        <f>1299842515</f>
        <v>1.299842515E9</v>
      </c>
      <c r="X11" s="36" t="n">
        <f>19</f>
        <v>19.0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670</f>
        <v>670.0</v>
      </c>
      <c r="L12" s="34" t="s">
        <v>48</v>
      </c>
      <c r="M12" s="33" t="n">
        <f>675</f>
        <v>675.0</v>
      </c>
      <c r="N12" s="34" t="s">
        <v>69</v>
      </c>
      <c r="O12" s="33" t="n">
        <f>651.1</f>
        <v>651.1</v>
      </c>
      <c r="P12" s="34" t="s">
        <v>70</v>
      </c>
      <c r="Q12" s="33" t="n">
        <f>651.1</f>
        <v>651.1</v>
      </c>
      <c r="R12" s="34" t="s">
        <v>70</v>
      </c>
      <c r="S12" s="35" t="n">
        <f>659.9</f>
        <v>659.9</v>
      </c>
      <c r="T12" s="32" t="n">
        <f>34000</f>
        <v>34000.0</v>
      </c>
      <c r="U12" s="32" t="n">
        <f>2000</f>
        <v>2000.0</v>
      </c>
      <c r="V12" s="32" t="n">
        <f>22502000</f>
        <v>2.2502E7</v>
      </c>
      <c r="W12" s="32" t="n">
        <f>1306700</f>
        <v>1306700.0</v>
      </c>
      <c r="X12" s="36" t="n">
        <f>14</f>
        <v>14.0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52960</f>
        <v>52960.0</v>
      </c>
      <c r="L13" s="34" t="s">
        <v>48</v>
      </c>
      <c r="M13" s="33" t="n">
        <f>56400</f>
        <v>56400.0</v>
      </c>
      <c r="N13" s="34" t="s">
        <v>74</v>
      </c>
      <c r="O13" s="33" t="n">
        <f>52830</f>
        <v>52830.0</v>
      </c>
      <c r="P13" s="34" t="s">
        <v>75</v>
      </c>
      <c r="Q13" s="33" t="n">
        <f>55170</f>
        <v>55170.0</v>
      </c>
      <c r="R13" s="34" t="s">
        <v>50</v>
      </c>
      <c r="S13" s="35" t="n">
        <f>54920</f>
        <v>54920.0</v>
      </c>
      <c r="T13" s="32" t="n">
        <f>855482</f>
        <v>855482.0</v>
      </c>
      <c r="U13" s="32" t="n">
        <f>139122</f>
        <v>139122.0</v>
      </c>
      <c r="V13" s="32" t="n">
        <f>46827632859</f>
        <v>4.6827632859E10</v>
      </c>
      <c r="W13" s="32" t="n">
        <f>7638126189</f>
        <v>7.638126189E9</v>
      </c>
      <c r="X13" s="36" t="n">
        <f>19</f>
        <v>19.0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53190</f>
        <v>53190.0</v>
      </c>
      <c r="L14" s="34" t="s">
        <v>48</v>
      </c>
      <c r="M14" s="33" t="n">
        <f>56600</f>
        <v>56600.0</v>
      </c>
      <c r="N14" s="34" t="s">
        <v>74</v>
      </c>
      <c r="O14" s="33" t="n">
        <f>53030</f>
        <v>53030.0</v>
      </c>
      <c r="P14" s="34" t="s">
        <v>75</v>
      </c>
      <c r="Q14" s="33" t="n">
        <f>55390</f>
        <v>55390.0</v>
      </c>
      <c r="R14" s="34" t="s">
        <v>50</v>
      </c>
      <c r="S14" s="35" t="n">
        <f>55140</f>
        <v>55140.0</v>
      </c>
      <c r="T14" s="32" t="n">
        <f>6641464</f>
        <v>6641464.0</v>
      </c>
      <c r="U14" s="32" t="n">
        <f>1089255</f>
        <v>1089255.0</v>
      </c>
      <c r="V14" s="32" t="n">
        <f>365788278881</f>
        <v>3.65788278881E11</v>
      </c>
      <c r="W14" s="32" t="n">
        <f>60123223921</f>
        <v>6.0123223921E10</v>
      </c>
      <c r="X14" s="36" t="n">
        <f>19</f>
        <v>19.0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11125</f>
        <v>11125.0</v>
      </c>
      <c r="L15" s="34" t="s">
        <v>48</v>
      </c>
      <c r="M15" s="33" t="n">
        <f>11650</f>
        <v>11650.0</v>
      </c>
      <c r="N15" s="34" t="s">
        <v>60</v>
      </c>
      <c r="O15" s="33" t="n">
        <f>10985</f>
        <v>10985.0</v>
      </c>
      <c r="P15" s="34" t="s">
        <v>50</v>
      </c>
      <c r="Q15" s="33" t="n">
        <f>11050</f>
        <v>11050.0</v>
      </c>
      <c r="R15" s="34" t="s">
        <v>50</v>
      </c>
      <c r="S15" s="35" t="n">
        <f>11331.58</f>
        <v>11331.58</v>
      </c>
      <c r="T15" s="32" t="n">
        <f>15414</f>
        <v>15414.0</v>
      </c>
      <c r="U15" s="32" t="n">
        <f>3494</f>
        <v>3494.0</v>
      </c>
      <c r="V15" s="32" t="n">
        <f>174963806</f>
        <v>1.74963806E8</v>
      </c>
      <c r="W15" s="32" t="n">
        <f>39999661</f>
        <v>3.9999661E7</v>
      </c>
      <c r="X15" s="36" t="n">
        <f>19</f>
        <v>19.0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252.1</f>
        <v>252.1</v>
      </c>
      <c r="L16" s="34" t="s">
        <v>48</v>
      </c>
      <c r="M16" s="33" t="n">
        <f>309.5</f>
        <v>309.5</v>
      </c>
      <c r="N16" s="34" t="s">
        <v>70</v>
      </c>
      <c r="O16" s="33" t="n">
        <f>252.1</f>
        <v>252.1</v>
      </c>
      <c r="P16" s="34" t="s">
        <v>48</v>
      </c>
      <c r="Q16" s="33" t="n">
        <f>299.3</f>
        <v>299.3</v>
      </c>
      <c r="R16" s="34" t="s">
        <v>50</v>
      </c>
      <c r="S16" s="35" t="n">
        <f>276.75</f>
        <v>276.75</v>
      </c>
      <c r="T16" s="32" t="n">
        <f>1490460</f>
        <v>1490460.0</v>
      </c>
      <c r="U16" s="32" t="n">
        <f>16160</f>
        <v>16160.0</v>
      </c>
      <c r="V16" s="32" t="n">
        <f>428781772</f>
        <v>4.28781772E8</v>
      </c>
      <c r="W16" s="32" t="n">
        <f>4637940</f>
        <v>4637940.0</v>
      </c>
      <c r="X16" s="36" t="n">
        <f>19</f>
        <v>19.0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63220</f>
        <v>63220.0</v>
      </c>
      <c r="L17" s="34" t="s">
        <v>48</v>
      </c>
      <c r="M17" s="33" t="n">
        <f>78660</f>
        <v>78660.0</v>
      </c>
      <c r="N17" s="34" t="s">
        <v>70</v>
      </c>
      <c r="O17" s="33" t="n">
        <f>63140</f>
        <v>63140.0</v>
      </c>
      <c r="P17" s="34" t="s">
        <v>48</v>
      </c>
      <c r="Q17" s="33" t="n">
        <f>73120</f>
        <v>73120.0</v>
      </c>
      <c r="R17" s="34" t="s">
        <v>50</v>
      </c>
      <c r="S17" s="35" t="n">
        <f>68920.53</f>
        <v>68920.53</v>
      </c>
      <c r="T17" s="32" t="n">
        <f>857384</f>
        <v>857384.0</v>
      </c>
      <c r="U17" s="32" t="n">
        <f>1585</f>
        <v>1585.0</v>
      </c>
      <c r="V17" s="32" t="n">
        <f>60479520528</f>
        <v>6.0479520528E10</v>
      </c>
      <c r="W17" s="32" t="n">
        <f>103090518</f>
        <v>1.03090518E8</v>
      </c>
      <c r="X17" s="36" t="n">
        <f>19</f>
        <v>19.0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16350</f>
        <v>16350.0</v>
      </c>
      <c r="L18" s="34" t="s">
        <v>48</v>
      </c>
      <c r="M18" s="33" t="n">
        <f>20325</f>
        <v>20325.0</v>
      </c>
      <c r="N18" s="34" t="s">
        <v>70</v>
      </c>
      <c r="O18" s="33" t="n">
        <f>16320</f>
        <v>16320.0</v>
      </c>
      <c r="P18" s="34" t="s">
        <v>48</v>
      </c>
      <c r="Q18" s="33" t="n">
        <f>18895</f>
        <v>18895.0</v>
      </c>
      <c r="R18" s="34" t="s">
        <v>50</v>
      </c>
      <c r="S18" s="35" t="n">
        <f>17840</f>
        <v>17840.0</v>
      </c>
      <c r="T18" s="32" t="n">
        <f>3120708</f>
        <v>3120708.0</v>
      </c>
      <c r="U18" s="32" t="n">
        <f>97967</f>
        <v>97967.0</v>
      </c>
      <c r="V18" s="32" t="n">
        <f>56893888194</f>
        <v>5.6893888194E10</v>
      </c>
      <c r="W18" s="32" t="n">
        <f>1720950599</f>
        <v>1.720950599E9</v>
      </c>
      <c r="X18" s="36" t="n">
        <f>19</f>
        <v>19.0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5334</f>
        <v>5334.0</v>
      </c>
      <c r="L19" s="34" t="s">
        <v>48</v>
      </c>
      <c r="M19" s="33" t="n">
        <f>5673</f>
        <v>5673.0</v>
      </c>
      <c r="N19" s="34" t="s">
        <v>74</v>
      </c>
      <c r="O19" s="33" t="n">
        <f>5316</f>
        <v>5316.0</v>
      </c>
      <c r="P19" s="34" t="s">
        <v>75</v>
      </c>
      <c r="Q19" s="33" t="n">
        <f>5546</f>
        <v>5546.0</v>
      </c>
      <c r="R19" s="34" t="s">
        <v>50</v>
      </c>
      <c r="S19" s="35" t="n">
        <f>5526.42</f>
        <v>5526.42</v>
      </c>
      <c r="T19" s="32" t="n">
        <f>20459668</f>
        <v>2.0459668E7</v>
      </c>
      <c r="U19" s="32" t="n">
        <f>8326482</f>
        <v>8326482.0</v>
      </c>
      <c r="V19" s="32" t="n">
        <f>112201622897</f>
        <v>1.12201622897E11</v>
      </c>
      <c r="W19" s="32" t="n">
        <f>45357384860</f>
        <v>4.535738486E10</v>
      </c>
      <c r="X19" s="36" t="n">
        <f>19</f>
        <v>19.0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53210</f>
        <v>53210.0</v>
      </c>
      <c r="L20" s="34" t="s">
        <v>48</v>
      </c>
      <c r="M20" s="33" t="n">
        <f>56670</f>
        <v>56670.0</v>
      </c>
      <c r="N20" s="34" t="s">
        <v>74</v>
      </c>
      <c r="O20" s="33" t="n">
        <f>53090</f>
        <v>53090.0</v>
      </c>
      <c r="P20" s="34" t="s">
        <v>75</v>
      </c>
      <c r="Q20" s="33" t="n">
        <f>55460</f>
        <v>55460.0</v>
      </c>
      <c r="R20" s="34" t="s">
        <v>50</v>
      </c>
      <c r="S20" s="35" t="n">
        <f>55193.16</f>
        <v>55193.16</v>
      </c>
      <c r="T20" s="32" t="n">
        <f>1233170</f>
        <v>1233170.0</v>
      </c>
      <c r="U20" s="32" t="n">
        <f>589290</f>
        <v>589290.0</v>
      </c>
      <c r="V20" s="32" t="n">
        <f>67904523922</f>
        <v>6.7904523922E10</v>
      </c>
      <c r="W20" s="32" t="n">
        <f>32489232922</f>
        <v>3.2489232922E10</v>
      </c>
      <c r="X20" s="36" t="n">
        <f>19</f>
        <v>19.0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1055</f>
        <v>1055.0</v>
      </c>
      <c r="L21" s="34" t="s">
        <v>48</v>
      </c>
      <c r="M21" s="33" t="n">
        <f>1078</f>
        <v>1078.0</v>
      </c>
      <c r="N21" s="34" t="s">
        <v>74</v>
      </c>
      <c r="O21" s="33" t="n">
        <f>1025</f>
        <v>1025.0</v>
      </c>
      <c r="P21" s="34" t="s">
        <v>61</v>
      </c>
      <c r="Q21" s="33" t="n">
        <f>1040</f>
        <v>1040.0</v>
      </c>
      <c r="R21" s="34" t="s">
        <v>50</v>
      </c>
      <c r="S21" s="35" t="n">
        <f>1059.95</f>
        <v>1059.95</v>
      </c>
      <c r="T21" s="32" t="n">
        <f>10841549</f>
        <v>1.0841549E7</v>
      </c>
      <c r="U21" s="32" t="n">
        <f>7921412</f>
        <v>7921412.0</v>
      </c>
      <c r="V21" s="32" t="n">
        <f>11542170416</f>
        <v>1.1542170416E10</v>
      </c>
      <c r="W21" s="32" t="n">
        <f>8440195533</f>
        <v>8.440195533E9</v>
      </c>
      <c r="X21" s="36" t="n">
        <f>19</f>
        <v>19.0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2199</f>
        <v>2199.0</v>
      </c>
      <c r="L22" s="34" t="s">
        <v>48</v>
      </c>
      <c r="M22" s="33" t="n">
        <f>2249.5</f>
        <v>2249.5</v>
      </c>
      <c r="N22" s="34" t="s">
        <v>103</v>
      </c>
      <c r="O22" s="33" t="n">
        <f>2121.5</f>
        <v>2121.5</v>
      </c>
      <c r="P22" s="34" t="s">
        <v>70</v>
      </c>
      <c r="Q22" s="33" t="n">
        <f>2151.5</f>
        <v>2151.5</v>
      </c>
      <c r="R22" s="34" t="s">
        <v>50</v>
      </c>
      <c r="S22" s="35" t="n">
        <f>2188.47</f>
        <v>2188.47</v>
      </c>
      <c r="T22" s="32" t="n">
        <f>26825170</f>
        <v>2.682517E7</v>
      </c>
      <c r="U22" s="32" t="n">
        <f>11020160</f>
        <v>1.102016E7</v>
      </c>
      <c r="V22" s="32" t="n">
        <f>58828802610</f>
        <v>5.882880261E10</v>
      </c>
      <c r="W22" s="32" t="n">
        <f>24335756620</f>
        <v>2.433575662E10</v>
      </c>
      <c r="X22" s="36" t="n">
        <f>19</f>
        <v>19.0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2070.5</f>
        <v>2070.5</v>
      </c>
      <c r="L23" s="34" t="s">
        <v>48</v>
      </c>
      <c r="M23" s="33" t="n">
        <f>2101.5</f>
        <v>2101.5</v>
      </c>
      <c r="N23" s="34" t="s">
        <v>103</v>
      </c>
      <c r="O23" s="33" t="n">
        <f>1985.5</f>
        <v>1985.5</v>
      </c>
      <c r="P23" s="34" t="s">
        <v>70</v>
      </c>
      <c r="Q23" s="33" t="n">
        <f>2014.5</f>
        <v>2014.5</v>
      </c>
      <c r="R23" s="34" t="s">
        <v>50</v>
      </c>
      <c r="S23" s="35" t="n">
        <f>2048.37</f>
        <v>2048.37</v>
      </c>
      <c r="T23" s="32" t="n">
        <f>2996300</f>
        <v>2996300.0</v>
      </c>
      <c r="U23" s="32" t="n">
        <f>1811900</f>
        <v>1811900.0</v>
      </c>
      <c r="V23" s="32" t="n">
        <f>6130097716</f>
        <v>6.130097716E9</v>
      </c>
      <c r="W23" s="32" t="n">
        <f>3709836216</f>
        <v>3.709836216E9</v>
      </c>
      <c r="X23" s="36" t="n">
        <f>19</f>
        <v>19.0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53220</f>
        <v>53220.0</v>
      </c>
      <c r="L24" s="34" t="s">
        <v>48</v>
      </c>
      <c r="M24" s="33" t="n">
        <f>56660</f>
        <v>56660.0</v>
      </c>
      <c r="N24" s="34" t="s">
        <v>74</v>
      </c>
      <c r="O24" s="33" t="n">
        <f>53100</f>
        <v>53100.0</v>
      </c>
      <c r="P24" s="34" t="s">
        <v>75</v>
      </c>
      <c r="Q24" s="33" t="n">
        <f>55090</f>
        <v>55090.0</v>
      </c>
      <c r="R24" s="34" t="s">
        <v>50</v>
      </c>
      <c r="S24" s="35" t="n">
        <f>54955.26</f>
        <v>54955.26</v>
      </c>
      <c r="T24" s="32" t="n">
        <f>554578</f>
        <v>554578.0</v>
      </c>
      <c r="U24" s="32" t="n">
        <f>209942</f>
        <v>209942.0</v>
      </c>
      <c r="V24" s="32" t="n">
        <f>30522161942</f>
        <v>3.0522161942E10</v>
      </c>
      <c r="W24" s="32" t="n">
        <f>11596010452</f>
        <v>1.1596010452E10</v>
      </c>
      <c r="X24" s="36" t="n">
        <f>19</f>
        <v>19.0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3606</f>
        <v>3606.0</v>
      </c>
      <c r="L25" s="34" t="s">
        <v>48</v>
      </c>
      <c r="M25" s="33" t="n">
        <f>3810</f>
        <v>3810.0</v>
      </c>
      <c r="N25" s="34" t="s">
        <v>49</v>
      </c>
      <c r="O25" s="33" t="n">
        <f>3606</f>
        <v>3606.0</v>
      </c>
      <c r="P25" s="34" t="s">
        <v>48</v>
      </c>
      <c r="Q25" s="33" t="n">
        <f>3705</f>
        <v>3705.0</v>
      </c>
      <c r="R25" s="34" t="s">
        <v>50</v>
      </c>
      <c r="S25" s="35" t="n">
        <f>3722.32</f>
        <v>3722.32</v>
      </c>
      <c r="T25" s="32" t="n">
        <f>10762376</f>
        <v>1.0762376E7</v>
      </c>
      <c r="U25" s="32" t="n">
        <f>8815010</f>
        <v>8815010.0</v>
      </c>
      <c r="V25" s="32" t="n">
        <f>40042980978</f>
        <v>4.0042980978E10</v>
      </c>
      <c r="W25" s="32" t="n">
        <f>32770721929</f>
        <v>3.2770721929E10</v>
      </c>
      <c r="X25" s="36" t="n">
        <f>19</f>
        <v>19.0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20695</f>
        <v>20695.0</v>
      </c>
      <c r="L26" s="34" t="s">
        <v>48</v>
      </c>
      <c r="M26" s="33" t="n">
        <f>20695</f>
        <v>20695.0</v>
      </c>
      <c r="N26" s="34" t="s">
        <v>48</v>
      </c>
      <c r="O26" s="33" t="n">
        <f>17185</f>
        <v>17185.0</v>
      </c>
      <c r="P26" s="34" t="s">
        <v>70</v>
      </c>
      <c r="Q26" s="33" t="n">
        <f>17455</f>
        <v>17455.0</v>
      </c>
      <c r="R26" s="34" t="s">
        <v>50</v>
      </c>
      <c r="S26" s="35" t="n">
        <f>17853.68</f>
        <v>17853.68</v>
      </c>
      <c r="T26" s="32" t="n">
        <f>732</f>
        <v>732.0</v>
      </c>
      <c r="U26" s="32" t="str">
        <f>"－"</f>
        <v>－</v>
      </c>
      <c r="V26" s="32" t="n">
        <f>13118845</f>
        <v>1.3118845E7</v>
      </c>
      <c r="W26" s="32" t="str">
        <f>"－"</f>
        <v>－</v>
      </c>
      <c r="X26" s="36" t="n">
        <f>19</f>
        <v>19.0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166.7</f>
        <v>166.7</v>
      </c>
      <c r="L27" s="34" t="s">
        <v>48</v>
      </c>
      <c r="M27" s="33" t="n">
        <f>166.7</f>
        <v>166.7</v>
      </c>
      <c r="N27" s="34" t="s">
        <v>48</v>
      </c>
      <c r="O27" s="33" t="n">
        <f>146.2</f>
        <v>146.2</v>
      </c>
      <c r="P27" s="34" t="s">
        <v>49</v>
      </c>
      <c r="Q27" s="33" t="n">
        <f>154.6</f>
        <v>154.6</v>
      </c>
      <c r="R27" s="34" t="s">
        <v>50</v>
      </c>
      <c r="S27" s="35" t="n">
        <f>154.66</f>
        <v>154.66</v>
      </c>
      <c r="T27" s="32" t="n">
        <f>54455350</f>
        <v>5.445535E7</v>
      </c>
      <c r="U27" s="32" t="n">
        <f>402970</f>
        <v>402970.0</v>
      </c>
      <c r="V27" s="32" t="n">
        <f>8436420550</f>
        <v>8.43642055E9</v>
      </c>
      <c r="W27" s="32" t="n">
        <f>61955073</f>
        <v>6.1955073E7</v>
      </c>
      <c r="X27" s="36" t="n">
        <f>19</f>
        <v>19.0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5584</f>
        <v>5584.0</v>
      </c>
      <c r="L28" s="34" t="s">
        <v>48</v>
      </c>
      <c r="M28" s="33" t="n">
        <f>5655</f>
        <v>5655.0</v>
      </c>
      <c r="N28" s="34" t="s">
        <v>75</v>
      </c>
      <c r="O28" s="33" t="n">
        <f>4942</f>
        <v>4942.0</v>
      </c>
      <c r="P28" s="34" t="s">
        <v>74</v>
      </c>
      <c r="Q28" s="33" t="n">
        <f>5150</f>
        <v>5150.0</v>
      </c>
      <c r="R28" s="34" t="s">
        <v>50</v>
      </c>
      <c r="S28" s="35" t="n">
        <f>5216.95</f>
        <v>5216.95</v>
      </c>
      <c r="T28" s="32" t="n">
        <f>79381130</f>
        <v>7.938113E7</v>
      </c>
      <c r="U28" s="32" t="n">
        <f>1741577</f>
        <v>1741577.0</v>
      </c>
      <c r="V28" s="32" t="n">
        <f>415659233439</f>
        <v>4.15659233439E11</v>
      </c>
      <c r="W28" s="32" t="n">
        <f>9086513363</f>
        <v>9.086513363E9</v>
      </c>
      <c r="X28" s="36" t="n">
        <f>19</f>
        <v>19.0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85430</f>
        <v>85430.0</v>
      </c>
      <c r="L29" s="34" t="s">
        <v>48</v>
      </c>
      <c r="M29" s="33" t="n">
        <f>95450</f>
        <v>95450.0</v>
      </c>
      <c r="N29" s="34" t="s">
        <v>74</v>
      </c>
      <c r="O29" s="33" t="n">
        <f>83920</f>
        <v>83920.0</v>
      </c>
      <c r="P29" s="34" t="s">
        <v>75</v>
      </c>
      <c r="Q29" s="33" t="n">
        <f>91200</f>
        <v>91200.0</v>
      </c>
      <c r="R29" s="34" t="s">
        <v>50</v>
      </c>
      <c r="S29" s="35" t="n">
        <f>90537.89</f>
        <v>90537.89</v>
      </c>
      <c r="T29" s="32" t="n">
        <f>231529</f>
        <v>231529.0</v>
      </c>
      <c r="U29" s="32" t="n">
        <f>2066</f>
        <v>2066.0</v>
      </c>
      <c r="V29" s="32" t="n">
        <f>20979212204</f>
        <v>2.0979212204E10</v>
      </c>
      <c r="W29" s="32" t="n">
        <f>187598174</f>
        <v>1.87598174E8</v>
      </c>
      <c r="X29" s="36" t="n">
        <f>19</f>
        <v>19.0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138.6</f>
        <v>138.6</v>
      </c>
      <c r="L30" s="34" t="s">
        <v>48</v>
      </c>
      <c r="M30" s="33" t="n">
        <f>139</f>
        <v>139.0</v>
      </c>
      <c r="N30" s="34" t="s">
        <v>75</v>
      </c>
      <c r="O30" s="33" t="n">
        <f>121.4</f>
        <v>121.4</v>
      </c>
      <c r="P30" s="34" t="s">
        <v>74</v>
      </c>
      <c r="Q30" s="33" t="n">
        <f>126.5</f>
        <v>126.5</v>
      </c>
      <c r="R30" s="34" t="s">
        <v>50</v>
      </c>
      <c r="S30" s="35" t="n">
        <f>128.14</f>
        <v>128.14</v>
      </c>
      <c r="T30" s="32" t="n">
        <f>1820538280</f>
        <v>1.82053828E9</v>
      </c>
      <c r="U30" s="32" t="n">
        <f>14812600</f>
        <v>1.48126E7</v>
      </c>
      <c r="V30" s="32" t="n">
        <f>233292681636</f>
        <v>2.33292681636E11</v>
      </c>
      <c r="W30" s="32" t="n">
        <f>1895869922</f>
        <v>1.895869922E9</v>
      </c>
      <c r="X30" s="36" t="n">
        <f>19</f>
        <v>19.0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3214</f>
        <v>3214.0</v>
      </c>
      <c r="L31" s="34" t="s">
        <v>48</v>
      </c>
      <c r="M31" s="33" t="n">
        <f>3465</f>
        <v>3465.0</v>
      </c>
      <c r="N31" s="34" t="s">
        <v>49</v>
      </c>
      <c r="O31" s="33" t="n">
        <f>3212</f>
        <v>3212.0</v>
      </c>
      <c r="P31" s="34" t="s">
        <v>48</v>
      </c>
      <c r="Q31" s="33" t="n">
        <f>3317</f>
        <v>3317.0</v>
      </c>
      <c r="R31" s="34" t="s">
        <v>50</v>
      </c>
      <c r="S31" s="35" t="n">
        <f>3326.11</f>
        <v>3326.11</v>
      </c>
      <c r="T31" s="32" t="n">
        <f>2043081</f>
        <v>2043081.0</v>
      </c>
      <c r="U31" s="32" t="n">
        <f>1840723</f>
        <v>1840723.0</v>
      </c>
      <c r="V31" s="32" t="n">
        <f>6869415400</f>
        <v>6.8694154E9</v>
      </c>
      <c r="W31" s="32" t="n">
        <f>6193473409</f>
        <v>6.193473409E9</v>
      </c>
      <c r="X31" s="36" t="n">
        <f>19</f>
        <v>19.0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69070</f>
        <v>69070.0</v>
      </c>
      <c r="L32" s="34" t="s">
        <v>48</v>
      </c>
      <c r="M32" s="33" t="n">
        <f>77200</f>
        <v>77200.0</v>
      </c>
      <c r="N32" s="34" t="s">
        <v>74</v>
      </c>
      <c r="O32" s="33" t="n">
        <f>67870</f>
        <v>67870.0</v>
      </c>
      <c r="P32" s="34" t="s">
        <v>75</v>
      </c>
      <c r="Q32" s="33" t="n">
        <f>73600</f>
        <v>73600.0</v>
      </c>
      <c r="R32" s="34" t="s">
        <v>50</v>
      </c>
      <c r="S32" s="35" t="n">
        <f>73217.37</f>
        <v>73217.37</v>
      </c>
      <c r="T32" s="32" t="n">
        <f>558476</f>
        <v>558476.0</v>
      </c>
      <c r="U32" s="32" t="n">
        <f>15225</f>
        <v>15225.0</v>
      </c>
      <c r="V32" s="32" t="n">
        <f>40789632981</f>
        <v>4.0789632981E10</v>
      </c>
      <c r="W32" s="32" t="n">
        <f>1111447861</f>
        <v>1.111447861E9</v>
      </c>
      <c r="X32" s="36" t="n">
        <f>19</f>
        <v>19.0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142</f>
        <v>142.0</v>
      </c>
      <c r="L33" s="34" t="s">
        <v>48</v>
      </c>
      <c r="M33" s="33" t="n">
        <f>142</f>
        <v>142.0</v>
      </c>
      <c r="N33" s="34" t="s">
        <v>48</v>
      </c>
      <c r="O33" s="33" t="n">
        <f>124</f>
        <v>124.0</v>
      </c>
      <c r="P33" s="34" t="s">
        <v>74</v>
      </c>
      <c r="Q33" s="33" t="n">
        <f>129</f>
        <v>129.0</v>
      </c>
      <c r="R33" s="34" t="s">
        <v>50</v>
      </c>
      <c r="S33" s="35" t="n">
        <f>130.95</f>
        <v>130.95</v>
      </c>
      <c r="T33" s="32" t="n">
        <f>39564431</f>
        <v>3.9564431E7</v>
      </c>
      <c r="U33" s="32" t="n">
        <f>794487</f>
        <v>794487.0</v>
      </c>
      <c r="V33" s="32" t="n">
        <f>5190337105</f>
        <v>5.190337105E9</v>
      </c>
      <c r="W33" s="32" t="n">
        <f>105280606</f>
        <v>1.05280606E8</v>
      </c>
      <c r="X33" s="36" t="n">
        <f>19</f>
        <v>19.0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56990</f>
        <v>56990.0</v>
      </c>
      <c r="L34" s="34" t="s">
        <v>48</v>
      </c>
      <c r="M34" s="33" t="n">
        <f>63880</f>
        <v>63880.0</v>
      </c>
      <c r="N34" s="34" t="s">
        <v>49</v>
      </c>
      <c r="O34" s="33" t="n">
        <f>56600</f>
        <v>56600.0</v>
      </c>
      <c r="P34" s="34" t="s">
        <v>48</v>
      </c>
      <c r="Q34" s="33" t="n">
        <f>60250</f>
        <v>60250.0</v>
      </c>
      <c r="R34" s="34" t="s">
        <v>50</v>
      </c>
      <c r="S34" s="35" t="n">
        <f>60541.58</f>
        <v>60541.58</v>
      </c>
      <c r="T34" s="32" t="n">
        <f>229957</f>
        <v>229957.0</v>
      </c>
      <c r="U34" s="32" t="n">
        <f>9924</f>
        <v>9924.0</v>
      </c>
      <c r="V34" s="32" t="n">
        <f>13906419323</f>
        <v>1.3906419323E10</v>
      </c>
      <c r="W34" s="32" t="n">
        <f>601958793</f>
        <v>6.01958793E8</v>
      </c>
      <c r="X34" s="36" t="n">
        <f>19</f>
        <v>19.0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244</f>
        <v>244.0</v>
      </c>
      <c r="L35" s="34" t="s">
        <v>48</v>
      </c>
      <c r="M35" s="33" t="n">
        <f>244</f>
        <v>244.0</v>
      </c>
      <c r="N35" s="34" t="s">
        <v>48</v>
      </c>
      <c r="O35" s="33" t="n">
        <f>212</f>
        <v>212.0</v>
      </c>
      <c r="P35" s="34" t="s">
        <v>49</v>
      </c>
      <c r="Q35" s="33" t="n">
        <f>225</f>
        <v>225.0</v>
      </c>
      <c r="R35" s="34" t="s">
        <v>50</v>
      </c>
      <c r="S35" s="35" t="n">
        <f>224.58</f>
        <v>224.58</v>
      </c>
      <c r="T35" s="32" t="n">
        <f>4579270</f>
        <v>4579270.0</v>
      </c>
      <c r="U35" s="32" t="n">
        <f>331331</f>
        <v>331331.0</v>
      </c>
      <c r="V35" s="32" t="n">
        <f>1039396302</f>
        <v>1.039396302E9</v>
      </c>
      <c r="W35" s="32" t="n">
        <f>76039758</f>
        <v>7.6039758E7</v>
      </c>
      <c r="X35" s="36" t="n">
        <f>19</f>
        <v>19.0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51750</f>
        <v>51750.0</v>
      </c>
      <c r="L36" s="34" t="s">
        <v>48</v>
      </c>
      <c r="M36" s="33" t="n">
        <f>54660</f>
        <v>54660.0</v>
      </c>
      <c r="N36" s="34" t="s">
        <v>74</v>
      </c>
      <c r="O36" s="33" t="n">
        <f>51240</f>
        <v>51240.0</v>
      </c>
      <c r="P36" s="34" t="s">
        <v>75</v>
      </c>
      <c r="Q36" s="33" t="n">
        <f>53420</f>
        <v>53420.0</v>
      </c>
      <c r="R36" s="34" t="s">
        <v>50</v>
      </c>
      <c r="S36" s="35" t="n">
        <f>53293.16</f>
        <v>53293.16</v>
      </c>
      <c r="T36" s="32" t="n">
        <f>348950</f>
        <v>348950.0</v>
      </c>
      <c r="U36" s="32" t="n">
        <f>195833</f>
        <v>195833.0</v>
      </c>
      <c r="V36" s="32" t="n">
        <f>18605245697</f>
        <v>1.8605245697E10</v>
      </c>
      <c r="W36" s="32" t="n">
        <f>10443910407</f>
        <v>1.0443910407E10</v>
      </c>
      <c r="X36" s="36" t="n">
        <f>19</f>
        <v>19.0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51730</f>
        <v>51730.0</v>
      </c>
      <c r="L37" s="34" t="s">
        <v>48</v>
      </c>
      <c r="M37" s="33" t="n">
        <f>55060</f>
        <v>55060.0</v>
      </c>
      <c r="N37" s="34" t="s">
        <v>74</v>
      </c>
      <c r="O37" s="33" t="n">
        <f>51730</f>
        <v>51730.0</v>
      </c>
      <c r="P37" s="34" t="s">
        <v>48</v>
      </c>
      <c r="Q37" s="33" t="n">
        <f>53950</f>
        <v>53950.0</v>
      </c>
      <c r="R37" s="34" t="s">
        <v>50</v>
      </c>
      <c r="S37" s="35" t="n">
        <f>53663.68</f>
        <v>53663.68</v>
      </c>
      <c r="T37" s="32" t="n">
        <f>174451</f>
        <v>174451.0</v>
      </c>
      <c r="U37" s="32" t="n">
        <f>141578</f>
        <v>141578.0</v>
      </c>
      <c r="V37" s="32" t="n">
        <f>9480759913</f>
        <v>9.480759913E9</v>
      </c>
      <c r="W37" s="32" t="n">
        <f>7706602303</f>
        <v>7.706602303E9</v>
      </c>
      <c r="X37" s="36" t="n">
        <f>19</f>
        <v>19.0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2087</f>
        <v>2087.0</v>
      </c>
      <c r="L38" s="34" t="s">
        <v>48</v>
      </c>
      <c r="M38" s="33" t="n">
        <f>2130</f>
        <v>2130.0</v>
      </c>
      <c r="N38" s="34" t="s">
        <v>103</v>
      </c>
      <c r="O38" s="33" t="n">
        <f>2017</f>
        <v>2017.0</v>
      </c>
      <c r="P38" s="34" t="s">
        <v>70</v>
      </c>
      <c r="Q38" s="33" t="n">
        <f>2040</f>
        <v>2040.0</v>
      </c>
      <c r="R38" s="34" t="s">
        <v>50</v>
      </c>
      <c r="S38" s="35" t="n">
        <f>2077.71</f>
        <v>2077.71</v>
      </c>
      <c r="T38" s="32" t="n">
        <f>31072170</f>
        <v>3.107217E7</v>
      </c>
      <c r="U38" s="32" t="n">
        <f>3251980</f>
        <v>3251980.0</v>
      </c>
      <c r="V38" s="32" t="n">
        <f>64375510127</f>
        <v>6.4375510127E10</v>
      </c>
      <c r="W38" s="32" t="n">
        <f>6714363242</f>
        <v>6.714363242E9</v>
      </c>
      <c r="X38" s="36" t="n">
        <f>19</f>
        <v>19.0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2740</f>
        <v>2740.0</v>
      </c>
      <c r="L39" s="34" t="s">
        <v>48</v>
      </c>
      <c r="M39" s="33" t="n">
        <f>2902</f>
        <v>2902.0</v>
      </c>
      <c r="N39" s="34" t="s">
        <v>155</v>
      </c>
      <c r="O39" s="33" t="n">
        <f>2740</f>
        <v>2740.0</v>
      </c>
      <c r="P39" s="34" t="s">
        <v>48</v>
      </c>
      <c r="Q39" s="33" t="n">
        <f>2812</f>
        <v>2812.0</v>
      </c>
      <c r="R39" s="34" t="s">
        <v>50</v>
      </c>
      <c r="S39" s="35" t="n">
        <f>2814.68</f>
        <v>2814.68</v>
      </c>
      <c r="T39" s="32" t="n">
        <f>184943</f>
        <v>184943.0</v>
      </c>
      <c r="U39" s="32" t="n">
        <f>142158</f>
        <v>142158.0</v>
      </c>
      <c r="V39" s="32" t="n">
        <f>522991387</f>
        <v>5.22991387E8</v>
      </c>
      <c r="W39" s="32" t="n">
        <f>402874340</f>
        <v>4.0287434E8</v>
      </c>
      <c r="X39" s="36" t="n">
        <f>19</f>
        <v>19.0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1908</f>
        <v>1908.0</v>
      </c>
      <c r="L40" s="34" t="s">
        <v>48</v>
      </c>
      <c r="M40" s="33" t="n">
        <f>1993</f>
        <v>1993.0</v>
      </c>
      <c r="N40" s="34" t="s">
        <v>65</v>
      </c>
      <c r="O40" s="33" t="n">
        <f>1908</f>
        <v>1908.0</v>
      </c>
      <c r="P40" s="34" t="s">
        <v>48</v>
      </c>
      <c r="Q40" s="33" t="n">
        <f>1966</f>
        <v>1966.0</v>
      </c>
      <c r="R40" s="34" t="s">
        <v>70</v>
      </c>
      <c r="S40" s="35" t="n">
        <f>1960.29</f>
        <v>1960.29</v>
      </c>
      <c r="T40" s="32" t="n">
        <f>572065</f>
        <v>572065.0</v>
      </c>
      <c r="U40" s="32" t="str">
        <f>"－"</f>
        <v>－</v>
      </c>
      <c r="V40" s="32" t="n">
        <f>1120624256</f>
        <v>1.120624256E9</v>
      </c>
      <c r="W40" s="32" t="str">
        <f>"－"</f>
        <v>－</v>
      </c>
      <c r="X40" s="36" t="n">
        <f>17</f>
        <v>17.0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1741</f>
        <v>1741.0</v>
      </c>
      <c r="L41" s="34" t="s">
        <v>48</v>
      </c>
      <c r="M41" s="33" t="n">
        <f>1745</f>
        <v>1745.0</v>
      </c>
      <c r="N41" s="34" t="s">
        <v>75</v>
      </c>
      <c r="O41" s="33" t="n">
        <f>1632</f>
        <v>1632.0</v>
      </c>
      <c r="P41" s="34" t="s">
        <v>74</v>
      </c>
      <c r="Q41" s="33" t="n">
        <f>1668</f>
        <v>1668.0</v>
      </c>
      <c r="R41" s="34" t="s">
        <v>50</v>
      </c>
      <c r="S41" s="35" t="n">
        <f>1677.68</f>
        <v>1677.68</v>
      </c>
      <c r="T41" s="32" t="n">
        <f>2589181</f>
        <v>2589181.0</v>
      </c>
      <c r="U41" s="32" t="n">
        <f>1510750</f>
        <v>1510750.0</v>
      </c>
      <c r="V41" s="32" t="n">
        <f>4379231544</f>
        <v>4.379231544E9</v>
      </c>
      <c r="W41" s="32" t="n">
        <f>2559183700</f>
        <v>2.5591837E9</v>
      </c>
      <c r="X41" s="36" t="n">
        <f>19</f>
        <v>19.0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2181</f>
        <v>2181.0</v>
      </c>
      <c r="L42" s="34" t="s">
        <v>48</v>
      </c>
      <c r="M42" s="33" t="n">
        <f>2181</f>
        <v>2181.0</v>
      </c>
      <c r="N42" s="34" t="s">
        <v>48</v>
      </c>
      <c r="O42" s="33" t="n">
        <f>2042</f>
        <v>2042.0</v>
      </c>
      <c r="P42" s="34" t="s">
        <v>49</v>
      </c>
      <c r="Q42" s="33" t="n">
        <f>2101</f>
        <v>2101.0</v>
      </c>
      <c r="R42" s="34" t="s">
        <v>50</v>
      </c>
      <c r="S42" s="35" t="n">
        <f>2098.16</f>
        <v>2098.16</v>
      </c>
      <c r="T42" s="32" t="n">
        <f>465611</f>
        <v>465611.0</v>
      </c>
      <c r="U42" s="32" t="n">
        <f>332350</f>
        <v>332350.0</v>
      </c>
      <c r="V42" s="32" t="n">
        <f>976453367</f>
        <v>9.76453367E8</v>
      </c>
      <c r="W42" s="32" t="n">
        <f>696930180</f>
        <v>6.9693018E8</v>
      </c>
      <c r="X42" s="36" t="n">
        <f>19</f>
        <v>19.0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53450</f>
        <v>53450.0</v>
      </c>
      <c r="L43" s="34" t="s">
        <v>48</v>
      </c>
      <c r="M43" s="33" t="n">
        <f>59750</f>
        <v>59750.0</v>
      </c>
      <c r="N43" s="34" t="s">
        <v>74</v>
      </c>
      <c r="O43" s="33" t="n">
        <f>52510</f>
        <v>52510.0</v>
      </c>
      <c r="P43" s="34" t="s">
        <v>75</v>
      </c>
      <c r="Q43" s="33" t="n">
        <f>57030</f>
        <v>57030.0</v>
      </c>
      <c r="R43" s="34" t="s">
        <v>50</v>
      </c>
      <c r="S43" s="35" t="n">
        <f>56678.95</f>
        <v>56678.95</v>
      </c>
      <c r="T43" s="32" t="n">
        <f>4186030</f>
        <v>4186030.0</v>
      </c>
      <c r="U43" s="32" t="n">
        <f>5843</f>
        <v>5843.0</v>
      </c>
      <c r="V43" s="32" t="n">
        <f>237016052876</f>
        <v>2.37016052876E11</v>
      </c>
      <c r="W43" s="32" t="n">
        <f>328285816</f>
        <v>3.28285816E8</v>
      </c>
      <c r="X43" s="36" t="n">
        <f>19</f>
        <v>19.0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228</f>
        <v>228.0</v>
      </c>
      <c r="L44" s="34" t="s">
        <v>48</v>
      </c>
      <c r="M44" s="33" t="n">
        <f>229</f>
        <v>229.0</v>
      </c>
      <c r="N44" s="34" t="s">
        <v>75</v>
      </c>
      <c r="O44" s="33" t="n">
        <f>199</f>
        <v>199.0</v>
      </c>
      <c r="P44" s="34" t="s">
        <v>74</v>
      </c>
      <c r="Q44" s="33" t="n">
        <f>208</f>
        <v>208.0</v>
      </c>
      <c r="R44" s="34" t="s">
        <v>50</v>
      </c>
      <c r="S44" s="35" t="n">
        <f>210.32</f>
        <v>210.32</v>
      </c>
      <c r="T44" s="32" t="n">
        <f>174021866</f>
        <v>1.74021866E8</v>
      </c>
      <c r="U44" s="32" t="n">
        <f>2821404</f>
        <v>2821404.0</v>
      </c>
      <c r="V44" s="32" t="n">
        <f>36688462287</f>
        <v>3.6688462287E10</v>
      </c>
      <c r="W44" s="32" t="n">
        <f>599038124</f>
        <v>5.99038124E8</v>
      </c>
      <c r="X44" s="36" t="n">
        <f>19</f>
        <v>19.0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319</f>
        <v>319.0</v>
      </c>
      <c r="L45" s="34" t="s">
        <v>48</v>
      </c>
      <c r="M45" s="33" t="n">
        <f>319</f>
        <v>319.0</v>
      </c>
      <c r="N45" s="34" t="s">
        <v>48</v>
      </c>
      <c r="O45" s="33" t="n">
        <f>275</f>
        <v>275.0</v>
      </c>
      <c r="P45" s="34" t="s">
        <v>49</v>
      </c>
      <c r="Q45" s="33" t="n">
        <f>292</f>
        <v>292.0</v>
      </c>
      <c r="R45" s="34" t="s">
        <v>50</v>
      </c>
      <c r="S45" s="35" t="n">
        <f>291.16</f>
        <v>291.16</v>
      </c>
      <c r="T45" s="32" t="n">
        <f>138330</f>
        <v>138330.0</v>
      </c>
      <c r="U45" s="32" t="str">
        <f>"－"</f>
        <v>－</v>
      </c>
      <c r="V45" s="32" t="n">
        <f>40475159</f>
        <v>4.0475159E7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174</v>
      </c>
      <c r="C46" s="27" t="s">
        <v>175</v>
      </c>
      <c r="D46" s="27" t="s">
        <v>176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301.7</f>
        <v>301.7</v>
      </c>
      <c r="L46" s="34" t="s">
        <v>48</v>
      </c>
      <c r="M46" s="33" t="n">
        <f>301.7</f>
        <v>301.7</v>
      </c>
      <c r="N46" s="34" t="s">
        <v>48</v>
      </c>
      <c r="O46" s="33" t="n">
        <f>262.1</f>
        <v>262.1</v>
      </c>
      <c r="P46" s="34" t="s">
        <v>49</v>
      </c>
      <c r="Q46" s="33" t="n">
        <f>278.8</f>
        <v>278.8</v>
      </c>
      <c r="R46" s="34" t="s">
        <v>50</v>
      </c>
      <c r="S46" s="35" t="n">
        <f>277.53</f>
        <v>277.53</v>
      </c>
      <c r="T46" s="32" t="n">
        <f>522720</f>
        <v>522720.0</v>
      </c>
      <c r="U46" s="32" t="n">
        <f>9040</f>
        <v>9040.0</v>
      </c>
      <c r="V46" s="32" t="n">
        <f>143893095</f>
        <v>1.43893095E8</v>
      </c>
      <c r="W46" s="32" t="n">
        <f>2449553</f>
        <v>2449553.0</v>
      </c>
      <c r="X46" s="36" t="n">
        <f>19</f>
        <v>19.0</v>
      </c>
    </row>
    <row r="47">
      <c r="A47" s="27" t="s">
        <v>42</v>
      </c>
      <c r="B47" s="27" t="s">
        <v>177</v>
      </c>
      <c r="C47" s="27" t="s">
        <v>178</v>
      </c>
      <c r="D47" s="27" t="s">
        <v>179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123</f>
        <v>123.0</v>
      </c>
      <c r="L47" s="34" t="s">
        <v>48</v>
      </c>
      <c r="M47" s="33" t="n">
        <f>134</f>
        <v>134.0</v>
      </c>
      <c r="N47" s="34" t="s">
        <v>74</v>
      </c>
      <c r="O47" s="33" t="n">
        <f>108</f>
        <v>108.0</v>
      </c>
      <c r="P47" s="34" t="s">
        <v>49</v>
      </c>
      <c r="Q47" s="33" t="n">
        <f>115</f>
        <v>115.0</v>
      </c>
      <c r="R47" s="34" t="s">
        <v>50</v>
      </c>
      <c r="S47" s="35" t="n">
        <f>114.05</f>
        <v>114.05</v>
      </c>
      <c r="T47" s="32" t="n">
        <f>585358</f>
        <v>585358.0</v>
      </c>
      <c r="U47" s="32" t="str">
        <f>"－"</f>
        <v>－</v>
      </c>
      <c r="V47" s="32" t="n">
        <f>67732427</f>
        <v>6.7732427E7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180</v>
      </c>
      <c r="C48" s="27" t="s">
        <v>181</v>
      </c>
      <c r="D48" s="27" t="s">
        <v>182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3544</f>
        <v>3544.0</v>
      </c>
      <c r="L48" s="34" t="s">
        <v>48</v>
      </c>
      <c r="M48" s="33" t="n">
        <f>3737</f>
        <v>3737.0</v>
      </c>
      <c r="N48" s="34" t="s">
        <v>49</v>
      </c>
      <c r="O48" s="33" t="n">
        <f>3544</f>
        <v>3544.0</v>
      </c>
      <c r="P48" s="34" t="s">
        <v>48</v>
      </c>
      <c r="Q48" s="33" t="n">
        <f>3635</f>
        <v>3635.0</v>
      </c>
      <c r="R48" s="34" t="s">
        <v>50</v>
      </c>
      <c r="S48" s="35" t="n">
        <f>3642.84</f>
        <v>3642.84</v>
      </c>
      <c r="T48" s="32" t="n">
        <f>1562890</f>
        <v>1562890.0</v>
      </c>
      <c r="U48" s="32" t="n">
        <f>1003900</f>
        <v>1003900.0</v>
      </c>
      <c r="V48" s="32" t="n">
        <f>5656894054</f>
        <v>5.656894054E9</v>
      </c>
      <c r="W48" s="32" t="n">
        <f>3634668334</f>
        <v>3.634668334E9</v>
      </c>
      <c r="X48" s="36" t="n">
        <f>19</f>
        <v>19.0</v>
      </c>
    </row>
    <row r="49">
      <c r="A49" s="27" t="s">
        <v>42</v>
      </c>
      <c r="B49" s="27" t="s">
        <v>183</v>
      </c>
      <c r="C49" s="27" t="s">
        <v>184</v>
      </c>
      <c r="D49" s="27" t="s">
        <v>185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31700</f>
        <v>31700.0</v>
      </c>
      <c r="L49" s="34" t="s">
        <v>48</v>
      </c>
      <c r="M49" s="33" t="n">
        <f>33400</f>
        <v>33400.0</v>
      </c>
      <c r="N49" s="34" t="s">
        <v>49</v>
      </c>
      <c r="O49" s="33" t="n">
        <f>31700</f>
        <v>31700.0</v>
      </c>
      <c r="P49" s="34" t="s">
        <v>48</v>
      </c>
      <c r="Q49" s="33" t="n">
        <f>32510</f>
        <v>32510.0</v>
      </c>
      <c r="R49" s="34" t="s">
        <v>50</v>
      </c>
      <c r="S49" s="35" t="n">
        <f>32613.68</f>
        <v>32613.68</v>
      </c>
      <c r="T49" s="32" t="n">
        <f>215241</f>
        <v>215241.0</v>
      </c>
      <c r="U49" s="32" t="n">
        <f>205583</f>
        <v>205583.0</v>
      </c>
      <c r="V49" s="32" t="n">
        <f>7040266269</f>
        <v>7.040266269E9</v>
      </c>
      <c r="W49" s="32" t="n">
        <f>6725707789</f>
        <v>6.725707789E9</v>
      </c>
      <c r="X49" s="36" t="n">
        <f>19</f>
        <v>19.0</v>
      </c>
    </row>
    <row r="50">
      <c r="A50" s="27" t="s">
        <v>42</v>
      </c>
      <c r="B50" s="27" t="s">
        <v>186</v>
      </c>
      <c r="C50" s="27" t="s">
        <v>187</v>
      </c>
      <c r="D50" s="27" t="s">
        <v>188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357.1</f>
        <v>357.1</v>
      </c>
      <c r="L50" s="34" t="s">
        <v>48</v>
      </c>
      <c r="M50" s="33" t="n">
        <f>380.1</f>
        <v>380.1</v>
      </c>
      <c r="N50" s="34" t="s">
        <v>49</v>
      </c>
      <c r="O50" s="33" t="n">
        <f>357.1</f>
        <v>357.1</v>
      </c>
      <c r="P50" s="34" t="s">
        <v>48</v>
      </c>
      <c r="Q50" s="33" t="n">
        <f>368.5</f>
        <v>368.5</v>
      </c>
      <c r="R50" s="34" t="s">
        <v>50</v>
      </c>
      <c r="S50" s="35" t="n">
        <f>369.93</f>
        <v>369.93</v>
      </c>
      <c r="T50" s="32" t="n">
        <f>215013300</f>
        <v>2.150133E8</v>
      </c>
      <c r="U50" s="32" t="n">
        <f>122739070</f>
        <v>1.2273907E8</v>
      </c>
      <c r="V50" s="32" t="n">
        <f>78883104640</f>
        <v>7.888310464E10</v>
      </c>
      <c r="W50" s="32" t="n">
        <f>44846793735</f>
        <v>4.4846793735E10</v>
      </c>
      <c r="X50" s="36" t="n">
        <f>19</f>
        <v>19.0</v>
      </c>
    </row>
    <row r="51">
      <c r="A51" s="27" t="s">
        <v>42</v>
      </c>
      <c r="B51" s="27" t="s">
        <v>189</v>
      </c>
      <c r="C51" s="27" t="s">
        <v>190</v>
      </c>
      <c r="D51" s="27" t="s">
        <v>191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2106</f>
        <v>2106.0</v>
      </c>
      <c r="L51" s="34" t="s">
        <v>48</v>
      </c>
      <c r="M51" s="33" t="n">
        <f>2157</f>
        <v>2157.0</v>
      </c>
      <c r="N51" s="34" t="s">
        <v>103</v>
      </c>
      <c r="O51" s="33" t="n">
        <f>2037</f>
        <v>2037.0</v>
      </c>
      <c r="P51" s="34" t="s">
        <v>70</v>
      </c>
      <c r="Q51" s="33" t="n">
        <f>2061</f>
        <v>2061.0</v>
      </c>
      <c r="R51" s="34" t="s">
        <v>50</v>
      </c>
      <c r="S51" s="35" t="n">
        <f>2098.32</f>
        <v>2098.32</v>
      </c>
      <c r="T51" s="32" t="n">
        <f>9372402</f>
        <v>9372402.0</v>
      </c>
      <c r="U51" s="32" t="n">
        <f>4778537</f>
        <v>4778537.0</v>
      </c>
      <c r="V51" s="32" t="n">
        <f>19571972489</f>
        <v>1.9571972489E10</v>
      </c>
      <c r="W51" s="32" t="n">
        <f>9962396196</f>
        <v>9.962396196E9</v>
      </c>
      <c r="X51" s="36" t="n">
        <f>19</f>
        <v>19.0</v>
      </c>
    </row>
    <row r="52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3040</f>
        <v>3040.0</v>
      </c>
      <c r="L52" s="34" t="s">
        <v>48</v>
      </c>
      <c r="M52" s="33" t="n">
        <f>3190</f>
        <v>3190.0</v>
      </c>
      <c r="N52" s="34" t="s">
        <v>155</v>
      </c>
      <c r="O52" s="33" t="n">
        <f>2936</f>
        <v>2936.0</v>
      </c>
      <c r="P52" s="34" t="s">
        <v>195</v>
      </c>
      <c r="Q52" s="33" t="n">
        <f>3090</f>
        <v>3090.0</v>
      </c>
      <c r="R52" s="34" t="s">
        <v>50</v>
      </c>
      <c r="S52" s="35" t="n">
        <f>3101.58</f>
        <v>3101.58</v>
      </c>
      <c r="T52" s="32" t="n">
        <f>1327736</f>
        <v>1327736.0</v>
      </c>
      <c r="U52" s="32" t="n">
        <f>1214572</f>
        <v>1214572.0</v>
      </c>
      <c r="V52" s="32" t="n">
        <f>4134681514</f>
        <v>4.134681514E9</v>
      </c>
      <c r="W52" s="32" t="n">
        <f>3782612883</f>
        <v>3.782612883E9</v>
      </c>
      <c r="X52" s="36" t="n">
        <f>19</f>
        <v>19.0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4696</f>
        <v>4696.0</v>
      </c>
      <c r="L53" s="34" t="s">
        <v>48</v>
      </c>
      <c r="M53" s="33" t="n">
        <f>4957</f>
        <v>4957.0</v>
      </c>
      <c r="N53" s="34" t="s">
        <v>65</v>
      </c>
      <c r="O53" s="33" t="n">
        <f>4638</f>
        <v>4638.0</v>
      </c>
      <c r="P53" s="34" t="s">
        <v>70</v>
      </c>
      <c r="Q53" s="33" t="n">
        <f>4771</f>
        <v>4771.0</v>
      </c>
      <c r="R53" s="34" t="s">
        <v>50</v>
      </c>
      <c r="S53" s="35" t="n">
        <f>4807.47</f>
        <v>4807.47</v>
      </c>
      <c r="T53" s="32" t="n">
        <f>2924924</f>
        <v>2924924.0</v>
      </c>
      <c r="U53" s="32" t="n">
        <f>1784377</f>
        <v>1784377.0</v>
      </c>
      <c r="V53" s="32" t="n">
        <f>14099214711</f>
        <v>1.4099214711E10</v>
      </c>
      <c r="W53" s="32" t="n">
        <f>8633381741</f>
        <v>8.633381741E9</v>
      </c>
      <c r="X53" s="36" t="n">
        <f>19</f>
        <v>19.0</v>
      </c>
    </row>
    <row r="5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43540</f>
        <v>43540.0</v>
      </c>
      <c r="L54" s="34" t="s">
        <v>69</v>
      </c>
      <c r="M54" s="33" t="n">
        <f>47670</f>
        <v>47670.0</v>
      </c>
      <c r="N54" s="34" t="s">
        <v>202</v>
      </c>
      <c r="O54" s="33" t="n">
        <f>43160</f>
        <v>43160.0</v>
      </c>
      <c r="P54" s="34" t="s">
        <v>75</v>
      </c>
      <c r="Q54" s="33" t="n">
        <f>45960</f>
        <v>45960.0</v>
      </c>
      <c r="R54" s="34" t="s">
        <v>61</v>
      </c>
      <c r="S54" s="35" t="n">
        <f>45462.5</f>
        <v>45462.5</v>
      </c>
      <c r="T54" s="32" t="n">
        <f>35</f>
        <v>35.0</v>
      </c>
      <c r="U54" s="32" t="str">
        <f>"－"</f>
        <v>－</v>
      </c>
      <c r="V54" s="32" t="n">
        <f>1603000</f>
        <v>1603000.0</v>
      </c>
      <c r="W54" s="32" t="str">
        <f>"－"</f>
        <v>－</v>
      </c>
      <c r="X54" s="36" t="n">
        <f>8</f>
        <v>8.0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33480</f>
        <v>33480.0</v>
      </c>
      <c r="L55" s="34" t="s">
        <v>48</v>
      </c>
      <c r="M55" s="33" t="n">
        <f>35520</f>
        <v>35520.0</v>
      </c>
      <c r="N55" s="34" t="s">
        <v>206</v>
      </c>
      <c r="O55" s="33" t="n">
        <f>33430</f>
        <v>33430.0</v>
      </c>
      <c r="P55" s="34" t="s">
        <v>195</v>
      </c>
      <c r="Q55" s="33" t="n">
        <f>34180</f>
        <v>34180.0</v>
      </c>
      <c r="R55" s="34" t="s">
        <v>50</v>
      </c>
      <c r="S55" s="35" t="n">
        <f>34412.5</f>
        <v>34412.5</v>
      </c>
      <c r="T55" s="32" t="n">
        <f>131</f>
        <v>131.0</v>
      </c>
      <c r="U55" s="32" t="n">
        <f>18</f>
        <v>18.0</v>
      </c>
      <c r="V55" s="32" t="n">
        <f>4500760</f>
        <v>4500760.0</v>
      </c>
      <c r="W55" s="32" t="n">
        <f>632190</f>
        <v>632190.0</v>
      </c>
      <c r="X55" s="36" t="n">
        <f>8</f>
        <v>8.0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3367</f>
        <v>3367.0</v>
      </c>
      <c r="L56" s="34" t="s">
        <v>48</v>
      </c>
      <c r="M56" s="33" t="n">
        <f>3454</f>
        <v>3454.0</v>
      </c>
      <c r="N56" s="34" t="s">
        <v>49</v>
      </c>
      <c r="O56" s="33" t="n">
        <f>3275</f>
        <v>3275.0</v>
      </c>
      <c r="P56" s="34" t="s">
        <v>70</v>
      </c>
      <c r="Q56" s="33" t="n">
        <f>3306</f>
        <v>3306.0</v>
      </c>
      <c r="R56" s="34" t="s">
        <v>50</v>
      </c>
      <c r="S56" s="35" t="n">
        <f>3377.13</f>
        <v>3377.13</v>
      </c>
      <c r="T56" s="32" t="n">
        <f>2307</f>
        <v>2307.0</v>
      </c>
      <c r="U56" s="32" t="str">
        <f>"－"</f>
        <v>－</v>
      </c>
      <c r="V56" s="32" t="n">
        <f>7771050</f>
        <v>7771050.0</v>
      </c>
      <c r="W56" s="32" t="str">
        <f>"－"</f>
        <v>－</v>
      </c>
      <c r="X56" s="36" t="n">
        <f>15</f>
        <v>15.0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1638</f>
        <v>1638.0</v>
      </c>
      <c r="L57" s="34" t="s">
        <v>48</v>
      </c>
      <c r="M57" s="33" t="n">
        <f>1640</f>
        <v>1640.0</v>
      </c>
      <c r="N57" s="34" t="s">
        <v>69</v>
      </c>
      <c r="O57" s="33" t="n">
        <f>1608</f>
        <v>1608.0</v>
      </c>
      <c r="P57" s="34" t="s">
        <v>213</v>
      </c>
      <c r="Q57" s="33" t="n">
        <f>1611</f>
        <v>1611.0</v>
      </c>
      <c r="R57" s="34" t="s">
        <v>50</v>
      </c>
      <c r="S57" s="35" t="n">
        <f>1619.63</f>
        <v>1619.63</v>
      </c>
      <c r="T57" s="32" t="n">
        <f>4079222</f>
        <v>4079222.0</v>
      </c>
      <c r="U57" s="32" t="n">
        <f>2344922</f>
        <v>2344922.0</v>
      </c>
      <c r="V57" s="32" t="n">
        <f>6610869226</f>
        <v>6.610869226E9</v>
      </c>
      <c r="W57" s="32" t="n">
        <f>3792290907</f>
        <v>3.792290907E9</v>
      </c>
      <c r="X57" s="36" t="n">
        <f>19</f>
        <v>19.0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3330</f>
        <v>3330.0</v>
      </c>
      <c r="L58" s="34" t="s">
        <v>48</v>
      </c>
      <c r="M58" s="33" t="n">
        <f>3455</f>
        <v>3455.0</v>
      </c>
      <c r="N58" s="34" t="s">
        <v>49</v>
      </c>
      <c r="O58" s="33" t="n">
        <f>3309</f>
        <v>3309.0</v>
      </c>
      <c r="P58" s="34" t="s">
        <v>61</v>
      </c>
      <c r="Q58" s="33" t="n">
        <f>3320</f>
        <v>3320.0</v>
      </c>
      <c r="R58" s="34" t="s">
        <v>50</v>
      </c>
      <c r="S58" s="35" t="n">
        <f>3381.29</f>
        <v>3381.29</v>
      </c>
      <c r="T58" s="32" t="n">
        <f>773</f>
        <v>773.0</v>
      </c>
      <c r="U58" s="32" t="str">
        <f>"－"</f>
        <v>－</v>
      </c>
      <c r="V58" s="32" t="n">
        <f>2605392</f>
        <v>2605392.0</v>
      </c>
      <c r="W58" s="32" t="str">
        <f>"－"</f>
        <v>－</v>
      </c>
      <c r="X58" s="36" t="n">
        <f>14</f>
        <v>14.0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3368</f>
        <v>3368.0</v>
      </c>
      <c r="L59" s="34" t="s">
        <v>48</v>
      </c>
      <c r="M59" s="33" t="n">
        <f>3434</f>
        <v>3434.0</v>
      </c>
      <c r="N59" s="34" t="s">
        <v>49</v>
      </c>
      <c r="O59" s="33" t="n">
        <f>3259</f>
        <v>3259.0</v>
      </c>
      <c r="P59" s="34" t="s">
        <v>70</v>
      </c>
      <c r="Q59" s="33" t="n">
        <f>3294</f>
        <v>3294.0</v>
      </c>
      <c r="R59" s="34" t="s">
        <v>50</v>
      </c>
      <c r="S59" s="35" t="n">
        <f>3351.84</f>
        <v>3351.84</v>
      </c>
      <c r="T59" s="32" t="n">
        <f>47690</f>
        <v>47690.0</v>
      </c>
      <c r="U59" s="32" t="n">
        <f>20000</f>
        <v>20000.0</v>
      </c>
      <c r="V59" s="32" t="n">
        <f>160387600</f>
        <v>1.603876E8</v>
      </c>
      <c r="W59" s="32" t="n">
        <f>67317800</f>
        <v>6.73178E7</v>
      </c>
      <c r="X59" s="36" t="n">
        <f>19</f>
        <v>19.0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49540</f>
        <v>49540.0</v>
      </c>
      <c r="L60" s="34" t="s">
        <v>69</v>
      </c>
      <c r="M60" s="33" t="n">
        <f>56350</f>
        <v>56350.0</v>
      </c>
      <c r="N60" s="34" t="s">
        <v>74</v>
      </c>
      <c r="O60" s="33" t="n">
        <f>49180</f>
        <v>49180.0</v>
      </c>
      <c r="P60" s="34" t="s">
        <v>206</v>
      </c>
      <c r="Q60" s="33" t="n">
        <f>49750</f>
        <v>49750.0</v>
      </c>
      <c r="R60" s="34" t="s">
        <v>223</v>
      </c>
      <c r="S60" s="35" t="n">
        <f>50550</f>
        <v>50550.0</v>
      </c>
      <c r="T60" s="32" t="n">
        <f>337</f>
        <v>337.0</v>
      </c>
      <c r="U60" s="32" t="str">
        <f>"－"</f>
        <v>－</v>
      </c>
      <c r="V60" s="32" t="n">
        <f>16804990</f>
        <v>1.680499E7</v>
      </c>
      <c r="W60" s="32" t="str">
        <f>"－"</f>
        <v>－</v>
      </c>
      <c r="X60" s="36" t="n">
        <f>8</f>
        <v>8.0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24890</f>
        <v>24890.0</v>
      </c>
      <c r="L61" s="34" t="s">
        <v>48</v>
      </c>
      <c r="M61" s="33" t="n">
        <f>24940</f>
        <v>24940.0</v>
      </c>
      <c r="N61" s="34" t="s">
        <v>48</v>
      </c>
      <c r="O61" s="33" t="n">
        <f>23520</f>
        <v>23520.0</v>
      </c>
      <c r="P61" s="34" t="s">
        <v>61</v>
      </c>
      <c r="Q61" s="33" t="n">
        <f>23690</f>
        <v>23690.0</v>
      </c>
      <c r="R61" s="34" t="s">
        <v>50</v>
      </c>
      <c r="S61" s="35" t="n">
        <f>24327.11</f>
        <v>24327.11</v>
      </c>
      <c r="T61" s="32" t="n">
        <f>287428</f>
        <v>287428.0</v>
      </c>
      <c r="U61" s="32" t="n">
        <f>247091</f>
        <v>247091.0</v>
      </c>
      <c r="V61" s="32" t="n">
        <f>6940976571</f>
        <v>6.940976571E9</v>
      </c>
      <c r="W61" s="32" t="n">
        <f>5969482586</f>
        <v>5.969482586E9</v>
      </c>
      <c r="X61" s="36" t="n">
        <f>19</f>
        <v>19.0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12700</f>
        <v>12700.0</v>
      </c>
      <c r="L62" s="34" t="s">
        <v>48</v>
      </c>
      <c r="M62" s="33" t="n">
        <f>12720</f>
        <v>12720.0</v>
      </c>
      <c r="N62" s="34" t="s">
        <v>69</v>
      </c>
      <c r="O62" s="33" t="n">
        <f>12315</f>
        <v>12315.0</v>
      </c>
      <c r="P62" s="34" t="s">
        <v>213</v>
      </c>
      <c r="Q62" s="33" t="n">
        <f>12335</f>
        <v>12335.0</v>
      </c>
      <c r="R62" s="34" t="s">
        <v>50</v>
      </c>
      <c r="S62" s="35" t="n">
        <f>12431.05</f>
        <v>12431.05</v>
      </c>
      <c r="T62" s="32" t="n">
        <f>203733</f>
        <v>203733.0</v>
      </c>
      <c r="U62" s="32" t="n">
        <f>77571</f>
        <v>77571.0</v>
      </c>
      <c r="V62" s="32" t="n">
        <f>2563920226</f>
        <v>2.563920226E9</v>
      </c>
      <c r="W62" s="32" t="n">
        <f>966657771</f>
        <v>9.66657771E8</v>
      </c>
      <c r="X62" s="36" t="n">
        <f>19</f>
        <v>19.0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2105</f>
        <v>2105.0</v>
      </c>
      <c r="L63" s="34" t="s">
        <v>48</v>
      </c>
      <c r="M63" s="33" t="n">
        <f>2156</f>
        <v>2156.0</v>
      </c>
      <c r="N63" s="34" t="s">
        <v>49</v>
      </c>
      <c r="O63" s="33" t="n">
        <f>2032</f>
        <v>2032.0</v>
      </c>
      <c r="P63" s="34" t="s">
        <v>70</v>
      </c>
      <c r="Q63" s="33" t="n">
        <f>2066</f>
        <v>2066.0</v>
      </c>
      <c r="R63" s="34" t="s">
        <v>50</v>
      </c>
      <c r="S63" s="35" t="n">
        <f>2094.47</f>
        <v>2094.47</v>
      </c>
      <c r="T63" s="32" t="n">
        <f>15660779</f>
        <v>1.5660779E7</v>
      </c>
      <c r="U63" s="32" t="n">
        <f>12052519</f>
        <v>1.2052519E7</v>
      </c>
      <c r="V63" s="32" t="n">
        <f>32609170481</f>
        <v>3.2609170481E10</v>
      </c>
      <c r="W63" s="32" t="n">
        <f>25074461095</f>
        <v>2.5074461095E10</v>
      </c>
      <c r="X63" s="36" t="n">
        <f>19</f>
        <v>19.0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2878</f>
        <v>2878.0</v>
      </c>
      <c r="L64" s="34" t="s">
        <v>48</v>
      </c>
      <c r="M64" s="33" t="n">
        <f>3106</f>
        <v>3106.0</v>
      </c>
      <c r="N64" s="34" t="s">
        <v>49</v>
      </c>
      <c r="O64" s="33" t="n">
        <f>2877</f>
        <v>2877.0</v>
      </c>
      <c r="P64" s="34" t="s">
        <v>48</v>
      </c>
      <c r="Q64" s="33" t="n">
        <f>3021</f>
        <v>3021.0</v>
      </c>
      <c r="R64" s="34" t="s">
        <v>50</v>
      </c>
      <c r="S64" s="35" t="n">
        <f>3008.58</f>
        <v>3008.58</v>
      </c>
      <c r="T64" s="32" t="n">
        <f>23313907</f>
        <v>2.3313907E7</v>
      </c>
      <c r="U64" s="32" t="n">
        <f>8334977</f>
        <v>8334977.0</v>
      </c>
      <c r="V64" s="32" t="n">
        <f>69862597556</f>
        <v>6.9862597556E10</v>
      </c>
      <c r="W64" s="32" t="n">
        <f>24873339303</f>
        <v>2.4873339303E10</v>
      </c>
      <c r="X64" s="36" t="n">
        <f>19</f>
        <v>19.0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7638</f>
        <v>7638.0</v>
      </c>
      <c r="L65" s="34" t="s">
        <v>75</v>
      </c>
      <c r="M65" s="33" t="n">
        <f>7734</f>
        <v>7734.0</v>
      </c>
      <c r="N65" s="34" t="s">
        <v>103</v>
      </c>
      <c r="O65" s="33" t="n">
        <f>7598</f>
        <v>7598.0</v>
      </c>
      <c r="P65" s="34" t="s">
        <v>49</v>
      </c>
      <c r="Q65" s="33" t="n">
        <f>7650</f>
        <v>7650.0</v>
      </c>
      <c r="R65" s="34" t="s">
        <v>50</v>
      </c>
      <c r="S65" s="35" t="n">
        <f>7664.14</f>
        <v>7664.14</v>
      </c>
      <c r="T65" s="32" t="n">
        <f>15269</f>
        <v>15269.0</v>
      </c>
      <c r="U65" s="32" t="n">
        <f>15004</f>
        <v>15004.0</v>
      </c>
      <c r="V65" s="32" t="n">
        <f>116579558</f>
        <v>1.16579558E8</v>
      </c>
      <c r="W65" s="32" t="n">
        <f>114555752</f>
        <v>1.14555752E8</v>
      </c>
      <c r="X65" s="36" t="n">
        <f>7</f>
        <v>7.0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22910</f>
        <v>22910.0</v>
      </c>
      <c r="L66" s="34" t="s">
        <v>48</v>
      </c>
      <c r="M66" s="33" t="n">
        <f>23580</f>
        <v>23580.0</v>
      </c>
      <c r="N66" s="34" t="s">
        <v>155</v>
      </c>
      <c r="O66" s="33" t="n">
        <f>22270</f>
        <v>22270.0</v>
      </c>
      <c r="P66" s="34" t="s">
        <v>48</v>
      </c>
      <c r="Q66" s="33" t="n">
        <f>22885</f>
        <v>22885.0</v>
      </c>
      <c r="R66" s="34" t="s">
        <v>50</v>
      </c>
      <c r="S66" s="35" t="n">
        <f>22953.68</f>
        <v>22953.68</v>
      </c>
      <c r="T66" s="32" t="n">
        <f>6222</f>
        <v>6222.0</v>
      </c>
      <c r="U66" s="32" t="n">
        <f>2</f>
        <v>2.0</v>
      </c>
      <c r="V66" s="32" t="n">
        <f>142240637</f>
        <v>1.42240637E8</v>
      </c>
      <c r="W66" s="32" t="n">
        <f>46252</f>
        <v>46252.0</v>
      </c>
      <c r="X66" s="36" t="n">
        <f>19</f>
        <v>19.0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39910</f>
        <v>39910.0</v>
      </c>
      <c r="L67" s="34" t="s">
        <v>48</v>
      </c>
      <c r="M67" s="33" t="n">
        <f>42100</f>
        <v>42100.0</v>
      </c>
      <c r="N67" s="34" t="s">
        <v>155</v>
      </c>
      <c r="O67" s="33" t="n">
        <f>39830</f>
        <v>39830.0</v>
      </c>
      <c r="P67" s="34" t="s">
        <v>48</v>
      </c>
      <c r="Q67" s="33" t="n">
        <f>41290</f>
        <v>41290.0</v>
      </c>
      <c r="R67" s="34" t="s">
        <v>50</v>
      </c>
      <c r="S67" s="35" t="n">
        <f>41284.21</f>
        <v>41284.21</v>
      </c>
      <c r="T67" s="32" t="n">
        <f>306932</f>
        <v>306932.0</v>
      </c>
      <c r="U67" s="32" t="n">
        <f>260600</f>
        <v>260600.0</v>
      </c>
      <c r="V67" s="32" t="n">
        <f>12628594485</f>
        <v>1.2628594485E10</v>
      </c>
      <c r="W67" s="32" t="n">
        <f>10721847055</f>
        <v>1.0721847055E10</v>
      </c>
      <c r="X67" s="36" t="n">
        <f>19</f>
        <v>19.0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11700</f>
        <v>11700.0</v>
      </c>
      <c r="L68" s="34" t="s">
        <v>48</v>
      </c>
      <c r="M68" s="33" t="n">
        <f>12240</f>
        <v>12240.0</v>
      </c>
      <c r="N68" s="34" t="s">
        <v>65</v>
      </c>
      <c r="O68" s="33" t="n">
        <f>11615</f>
        <v>11615.0</v>
      </c>
      <c r="P68" s="34" t="s">
        <v>61</v>
      </c>
      <c r="Q68" s="33" t="n">
        <f>11680</f>
        <v>11680.0</v>
      </c>
      <c r="R68" s="34" t="s">
        <v>50</v>
      </c>
      <c r="S68" s="35" t="n">
        <f>11855.26</f>
        <v>11855.26</v>
      </c>
      <c r="T68" s="32" t="n">
        <f>7642</f>
        <v>7642.0</v>
      </c>
      <c r="U68" s="32" t="n">
        <f>19</f>
        <v>19.0</v>
      </c>
      <c r="V68" s="32" t="n">
        <f>90986964</f>
        <v>9.0986964E7</v>
      </c>
      <c r="W68" s="32" t="n">
        <f>222804</f>
        <v>222804.0</v>
      </c>
      <c r="X68" s="36" t="n">
        <f>19</f>
        <v>19.0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1749</f>
        <v>1749.0</v>
      </c>
      <c r="L69" s="34" t="s">
        <v>48</v>
      </c>
      <c r="M69" s="33" t="n">
        <f>1749</f>
        <v>1749.0</v>
      </c>
      <c r="N69" s="34" t="s">
        <v>48</v>
      </c>
      <c r="O69" s="33" t="n">
        <f>1712</f>
        <v>1712.0</v>
      </c>
      <c r="P69" s="34" t="s">
        <v>213</v>
      </c>
      <c r="Q69" s="33" t="n">
        <f>1719</f>
        <v>1719.0</v>
      </c>
      <c r="R69" s="34" t="s">
        <v>50</v>
      </c>
      <c r="S69" s="35" t="n">
        <f>1728.53</f>
        <v>1728.53</v>
      </c>
      <c r="T69" s="32" t="n">
        <f>1737479</f>
        <v>1737479.0</v>
      </c>
      <c r="U69" s="32" t="n">
        <f>1172500</f>
        <v>1172500.0</v>
      </c>
      <c r="V69" s="32" t="n">
        <f>3005057824</f>
        <v>3.005057824E9</v>
      </c>
      <c r="W69" s="32" t="n">
        <f>2027920100</f>
        <v>2.0279201E9</v>
      </c>
      <c r="X69" s="36" t="n">
        <f>19</f>
        <v>19.0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1814</f>
        <v>1814.0</v>
      </c>
      <c r="L70" s="34" t="s">
        <v>48</v>
      </c>
      <c r="M70" s="33" t="n">
        <f>1823</f>
        <v>1823.0</v>
      </c>
      <c r="N70" s="34" t="s">
        <v>195</v>
      </c>
      <c r="O70" s="33" t="n">
        <f>1786</f>
        <v>1786.0</v>
      </c>
      <c r="P70" s="34" t="s">
        <v>213</v>
      </c>
      <c r="Q70" s="33" t="n">
        <f>1789</f>
        <v>1789.0</v>
      </c>
      <c r="R70" s="34" t="s">
        <v>50</v>
      </c>
      <c r="S70" s="35" t="n">
        <f>1797.11</f>
        <v>1797.11</v>
      </c>
      <c r="T70" s="32" t="n">
        <f>695209</f>
        <v>695209.0</v>
      </c>
      <c r="U70" s="32" t="n">
        <f>11</f>
        <v>11.0</v>
      </c>
      <c r="V70" s="32" t="n">
        <f>1248027858</f>
        <v>1.248027858E9</v>
      </c>
      <c r="W70" s="32" t="n">
        <f>18503</f>
        <v>18503.0</v>
      </c>
      <c r="X70" s="36" t="n">
        <f>19</f>
        <v>19.0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28120</f>
        <v>28120.0</v>
      </c>
      <c r="L71" s="34" t="s">
        <v>48</v>
      </c>
      <c r="M71" s="33" t="n">
        <f>29790</f>
        <v>29790.0</v>
      </c>
      <c r="N71" s="34" t="s">
        <v>155</v>
      </c>
      <c r="O71" s="33" t="n">
        <f>28085</f>
        <v>28085.0</v>
      </c>
      <c r="P71" s="34" t="s">
        <v>257</v>
      </c>
      <c r="Q71" s="33" t="n">
        <f>28845</f>
        <v>28845.0</v>
      </c>
      <c r="R71" s="34" t="s">
        <v>50</v>
      </c>
      <c r="S71" s="35" t="n">
        <f>28938.16</f>
        <v>28938.16</v>
      </c>
      <c r="T71" s="32" t="n">
        <f>135454</f>
        <v>135454.0</v>
      </c>
      <c r="U71" s="32" t="n">
        <f>130807</f>
        <v>130807.0</v>
      </c>
      <c r="V71" s="32" t="n">
        <f>3969395503</f>
        <v>3.969395503E9</v>
      </c>
      <c r="W71" s="32" t="n">
        <f>3835593033</f>
        <v>3.835593033E9</v>
      </c>
      <c r="X71" s="36" t="n">
        <f>19</f>
        <v>19.0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9076</f>
        <v>9076.0</v>
      </c>
      <c r="L72" s="34" t="s">
        <v>48</v>
      </c>
      <c r="M72" s="33" t="n">
        <f>9259</f>
        <v>9259.0</v>
      </c>
      <c r="N72" s="34" t="s">
        <v>49</v>
      </c>
      <c r="O72" s="33" t="n">
        <f>9032</f>
        <v>9032.0</v>
      </c>
      <c r="P72" s="34" t="s">
        <v>195</v>
      </c>
      <c r="Q72" s="33" t="n">
        <f>9095</f>
        <v>9095.0</v>
      </c>
      <c r="R72" s="34" t="s">
        <v>50</v>
      </c>
      <c r="S72" s="35" t="n">
        <f>9134.84</f>
        <v>9134.84</v>
      </c>
      <c r="T72" s="32" t="n">
        <f>3103</f>
        <v>3103.0</v>
      </c>
      <c r="U72" s="32" t="n">
        <f>8</f>
        <v>8.0</v>
      </c>
      <c r="V72" s="32" t="n">
        <f>28346939</f>
        <v>2.8346939E7</v>
      </c>
      <c r="W72" s="32" t="n">
        <f>73247</f>
        <v>73247.0</v>
      </c>
      <c r="X72" s="36" t="n">
        <f>19</f>
        <v>19.0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21160</f>
        <v>21160.0</v>
      </c>
      <c r="L73" s="34" t="s">
        <v>48</v>
      </c>
      <c r="M73" s="33" t="n">
        <f>26585</f>
        <v>26585.0</v>
      </c>
      <c r="N73" s="34" t="s">
        <v>70</v>
      </c>
      <c r="O73" s="33" t="n">
        <f>21070</f>
        <v>21070.0</v>
      </c>
      <c r="P73" s="34" t="s">
        <v>48</v>
      </c>
      <c r="Q73" s="33" t="n">
        <f>24695</f>
        <v>24695.0</v>
      </c>
      <c r="R73" s="34" t="s">
        <v>50</v>
      </c>
      <c r="S73" s="35" t="n">
        <f>22980.53</f>
        <v>22980.53</v>
      </c>
      <c r="T73" s="32" t="n">
        <f>21498857</f>
        <v>2.1498857E7</v>
      </c>
      <c r="U73" s="32" t="n">
        <f>741550</f>
        <v>741550.0</v>
      </c>
      <c r="V73" s="32" t="n">
        <f>506222737902</f>
        <v>5.06222737902E11</v>
      </c>
      <c r="W73" s="32" t="n">
        <f>16472543652</f>
        <v>1.6472543652E10</v>
      </c>
      <c r="X73" s="36" t="n">
        <f>19</f>
        <v>19.0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11420</f>
        <v>11420.0</v>
      </c>
      <c r="L74" s="34" t="s">
        <v>48</v>
      </c>
      <c r="M74" s="33" t="n">
        <f>15000</f>
        <v>15000.0</v>
      </c>
      <c r="N74" s="34" t="s">
        <v>70</v>
      </c>
      <c r="O74" s="33" t="n">
        <f>10465</f>
        <v>10465.0</v>
      </c>
      <c r="P74" s="34" t="s">
        <v>257</v>
      </c>
      <c r="Q74" s="33" t="n">
        <f>13500</f>
        <v>13500.0</v>
      </c>
      <c r="R74" s="34" t="s">
        <v>50</v>
      </c>
      <c r="S74" s="35" t="n">
        <f>12220.79</f>
        <v>12220.79</v>
      </c>
      <c r="T74" s="32" t="n">
        <f>7064216</f>
        <v>7064216.0</v>
      </c>
      <c r="U74" s="32" t="n">
        <f>16641</f>
        <v>16641.0</v>
      </c>
      <c r="V74" s="32" t="n">
        <f>90511841624</f>
        <v>9.0511841624E10</v>
      </c>
      <c r="W74" s="32" t="n">
        <f>203679634</f>
        <v>2.03679634E8</v>
      </c>
      <c r="X74" s="36" t="n">
        <f>19</f>
        <v>19.0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35900</f>
        <v>35900.0</v>
      </c>
      <c r="L75" s="34" t="s">
        <v>48</v>
      </c>
      <c r="M75" s="33" t="n">
        <f>65000</f>
        <v>65000.0</v>
      </c>
      <c r="N75" s="34" t="s">
        <v>50</v>
      </c>
      <c r="O75" s="33" t="n">
        <f>34590</f>
        <v>34590.0</v>
      </c>
      <c r="P75" s="34" t="s">
        <v>75</v>
      </c>
      <c r="Q75" s="33" t="n">
        <f>56800</f>
        <v>56800.0</v>
      </c>
      <c r="R75" s="34" t="s">
        <v>50</v>
      </c>
      <c r="S75" s="35" t="n">
        <f>45921.58</f>
        <v>45921.58</v>
      </c>
      <c r="T75" s="32" t="n">
        <f>13747056</f>
        <v>1.3747056E7</v>
      </c>
      <c r="U75" s="32" t="n">
        <f>65402</f>
        <v>65402.0</v>
      </c>
      <c r="V75" s="32" t="n">
        <f>692361493415</f>
        <v>6.92361493415E11</v>
      </c>
      <c r="W75" s="32" t="n">
        <f>3157213895</f>
        <v>3.157213895E9</v>
      </c>
      <c r="X75" s="36" t="n">
        <f>19</f>
        <v>19.0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77930</f>
        <v>77930.0</v>
      </c>
      <c r="L76" s="34" t="s">
        <v>48</v>
      </c>
      <c r="M76" s="33" t="n">
        <f>94730</f>
        <v>94730.0</v>
      </c>
      <c r="N76" s="34" t="s">
        <v>273</v>
      </c>
      <c r="O76" s="33" t="n">
        <f>75880</f>
        <v>75880.0</v>
      </c>
      <c r="P76" s="34" t="s">
        <v>48</v>
      </c>
      <c r="Q76" s="33" t="n">
        <f>86230</f>
        <v>86230.0</v>
      </c>
      <c r="R76" s="34" t="s">
        <v>50</v>
      </c>
      <c r="S76" s="35" t="n">
        <f>84498.95</f>
        <v>84498.95</v>
      </c>
      <c r="T76" s="32" t="n">
        <f>127431</f>
        <v>127431.0</v>
      </c>
      <c r="U76" s="32" t="n">
        <f>2662</f>
        <v>2662.0</v>
      </c>
      <c r="V76" s="32" t="n">
        <f>10976260534</f>
        <v>1.0976260534E10</v>
      </c>
      <c r="W76" s="32" t="n">
        <f>227411284</f>
        <v>2.27411284E8</v>
      </c>
      <c r="X76" s="36" t="n">
        <f>19</f>
        <v>19.0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40060</f>
        <v>40060.0</v>
      </c>
      <c r="L77" s="34" t="s">
        <v>48</v>
      </c>
      <c r="M77" s="33" t="n">
        <f>41470</f>
        <v>41470.0</v>
      </c>
      <c r="N77" s="34" t="s">
        <v>74</v>
      </c>
      <c r="O77" s="33" t="n">
        <f>39570</f>
        <v>39570.0</v>
      </c>
      <c r="P77" s="34" t="s">
        <v>273</v>
      </c>
      <c r="Q77" s="33" t="n">
        <f>39900</f>
        <v>39900.0</v>
      </c>
      <c r="R77" s="34" t="s">
        <v>50</v>
      </c>
      <c r="S77" s="35" t="n">
        <f>40465.79</f>
        <v>40465.79</v>
      </c>
      <c r="T77" s="32" t="n">
        <f>861068</f>
        <v>861068.0</v>
      </c>
      <c r="U77" s="32" t="n">
        <f>136421</f>
        <v>136421.0</v>
      </c>
      <c r="V77" s="32" t="n">
        <f>35003332133</f>
        <v>3.5003332133E10</v>
      </c>
      <c r="W77" s="32" t="n">
        <f>5614909763</f>
        <v>5.614909763E9</v>
      </c>
      <c r="X77" s="36" t="n">
        <f>19</f>
        <v>19.0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73960</f>
        <v>73960.0</v>
      </c>
      <c r="L78" s="34" t="s">
        <v>48</v>
      </c>
      <c r="M78" s="33" t="n">
        <f>76760</f>
        <v>76760.0</v>
      </c>
      <c r="N78" s="34" t="s">
        <v>60</v>
      </c>
      <c r="O78" s="33" t="n">
        <f>72770</f>
        <v>72770.0</v>
      </c>
      <c r="P78" s="34" t="s">
        <v>61</v>
      </c>
      <c r="Q78" s="33" t="n">
        <f>72970</f>
        <v>72970.0</v>
      </c>
      <c r="R78" s="34" t="s">
        <v>50</v>
      </c>
      <c r="S78" s="35" t="n">
        <f>74964.21</f>
        <v>74964.21</v>
      </c>
      <c r="T78" s="32" t="n">
        <f>75219</f>
        <v>75219.0</v>
      </c>
      <c r="U78" s="32" t="n">
        <f>24824</f>
        <v>24824.0</v>
      </c>
      <c r="V78" s="32" t="n">
        <f>5647275950</f>
        <v>5.64727595E9</v>
      </c>
      <c r="W78" s="32" t="n">
        <f>1875581220</f>
        <v>1.87558122E9</v>
      </c>
      <c r="X78" s="36" t="n">
        <f>19</f>
        <v>19.0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11775</f>
        <v>11775.0</v>
      </c>
      <c r="L79" s="34" t="s">
        <v>48</v>
      </c>
      <c r="M79" s="33" t="n">
        <f>12130</f>
        <v>12130.0</v>
      </c>
      <c r="N79" s="34" t="s">
        <v>74</v>
      </c>
      <c r="O79" s="33" t="n">
        <f>11480</f>
        <v>11480.0</v>
      </c>
      <c r="P79" s="34" t="s">
        <v>273</v>
      </c>
      <c r="Q79" s="33" t="n">
        <f>11515</f>
        <v>11515.0</v>
      </c>
      <c r="R79" s="34" t="s">
        <v>50</v>
      </c>
      <c r="S79" s="35" t="n">
        <f>11792.89</f>
        <v>11792.89</v>
      </c>
      <c r="T79" s="32" t="n">
        <f>767191</f>
        <v>767191.0</v>
      </c>
      <c r="U79" s="32" t="n">
        <f>81262</f>
        <v>81262.0</v>
      </c>
      <c r="V79" s="32" t="n">
        <f>9081863711</f>
        <v>9.081863711E9</v>
      </c>
      <c r="W79" s="32" t="n">
        <f>963378151</f>
        <v>9.63378151E8</v>
      </c>
      <c r="X79" s="36" t="n">
        <f>19</f>
        <v>19.0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7230</f>
        <v>7230.0</v>
      </c>
      <c r="L80" s="34" t="s">
        <v>48</v>
      </c>
      <c r="M80" s="33" t="n">
        <f>7457</f>
        <v>7457.0</v>
      </c>
      <c r="N80" s="34" t="s">
        <v>74</v>
      </c>
      <c r="O80" s="33" t="n">
        <f>7181</f>
        <v>7181.0</v>
      </c>
      <c r="P80" s="34" t="s">
        <v>273</v>
      </c>
      <c r="Q80" s="33" t="n">
        <f>7196</f>
        <v>7196.0</v>
      </c>
      <c r="R80" s="34" t="s">
        <v>50</v>
      </c>
      <c r="S80" s="35" t="n">
        <f>7312.37</f>
        <v>7312.37</v>
      </c>
      <c r="T80" s="32" t="n">
        <f>163807</f>
        <v>163807.0</v>
      </c>
      <c r="U80" s="32" t="n">
        <f>4946</f>
        <v>4946.0</v>
      </c>
      <c r="V80" s="32" t="n">
        <f>1196499943</f>
        <v>1.196499943E9</v>
      </c>
      <c r="W80" s="32" t="n">
        <f>36160129</f>
        <v>3.6160129E7</v>
      </c>
      <c r="X80" s="36" t="n">
        <f>19</f>
        <v>19.0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6150</f>
        <v>6150.0</v>
      </c>
      <c r="L81" s="34" t="s">
        <v>48</v>
      </c>
      <c r="M81" s="33" t="n">
        <f>6600</f>
        <v>6600.0</v>
      </c>
      <c r="N81" s="34" t="s">
        <v>155</v>
      </c>
      <c r="O81" s="33" t="n">
        <f>6052</f>
        <v>6052.0</v>
      </c>
      <c r="P81" s="34" t="s">
        <v>48</v>
      </c>
      <c r="Q81" s="33" t="n">
        <f>6235</f>
        <v>6235.0</v>
      </c>
      <c r="R81" s="34" t="s">
        <v>50</v>
      </c>
      <c r="S81" s="35" t="n">
        <f>6378.79</f>
        <v>6378.79</v>
      </c>
      <c r="T81" s="32" t="n">
        <f>3220</f>
        <v>3220.0</v>
      </c>
      <c r="U81" s="32" t="n">
        <f>10</f>
        <v>10.0</v>
      </c>
      <c r="V81" s="32" t="n">
        <f>20498920</f>
        <v>2.049892E7</v>
      </c>
      <c r="W81" s="32" t="n">
        <f>64520</f>
        <v>64520.0</v>
      </c>
      <c r="X81" s="36" t="n">
        <f>19</f>
        <v>19.0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6083</f>
        <v>6083.0</v>
      </c>
      <c r="L82" s="34" t="s">
        <v>48</v>
      </c>
      <c r="M82" s="33" t="n">
        <f>6282</f>
        <v>6282.0</v>
      </c>
      <c r="N82" s="34" t="s">
        <v>74</v>
      </c>
      <c r="O82" s="33" t="n">
        <f>5967</f>
        <v>5967.0</v>
      </c>
      <c r="P82" s="34" t="s">
        <v>273</v>
      </c>
      <c r="Q82" s="33" t="n">
        <f>6015</f>
        <v>6015.0</v>
      </c>
      <c r="R82" s="34" t="s">
        <v>50</v>
      </c>
      <c r="S82" s="35" t="n">
        <f>6121.68</f>
        <v>6121.68</v>
      </c>
      <c r="T82" s="32" t="n">
        <f>119356</f>
        <v>119356.0</v>
      </c>
      <c r="U82" s="32" t="n">
        <f>2619</f>
        <v>2619.0</v>
      </c>
      <c r="V82" s="32" t="n">
        <f>729110739</f>
        <v>7.29110739E8</v>
      </c>
      <c r="W82" s="32" t="n">
        <f>16084625</f>
        <v>1.6084625E7</v>
      </c>
      <c r="X82" s="36" t="n">
        <f>19</f>
        <v>19.0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2518</f>
        <v>2518.0</v>
      </c>
      <c r="L83" s="34" t="s">
        <v>48</v>
      </c>
      <c r="M83" s="33" t="n">
        <f>2583</f>
        <v>2583.0</v>
      </c>
      <c r="N83" s="34" t="s">
        <v>155</v>
      </c>
      <c r="O83" s="33" t="n">
        <f>2495</f>
        <v>2495.0</v>
      </c>
      <c r="P83" s="34" t="s">
        <v>69</v>
      </c>
      <c r="Q83" s="33" t="n">
        <f>2529</f>
        <v>2529.0</v>
      </c>
      <c r="R83" s="34" t="s">
        <v>50</v>
      </c>
      <c r="S83" s="35" t="n">
        <f>2529.11</f>
        <v>2529.11</v>
      </c>
      <c r="T83" s="32" t="n">
        <f>86959</f>
        <v>86959.0</v>
      </c>
      <c r="U83" s="32" t="n">
        <f>460</f>
        <v>460.0</v>
      </c>
      <c r="V83" s="32" t="n">
        <f>220117358</f>
        <v>2.20117358E8</v>
      </c>
      <c r="W83" s="32" t="n">
        <f>1157276</f>
        <v>1157276.0</v>
      </c>
      <c r="X83" s="36" t="n">
        <f>19</f>
        <v>19.0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107350</f>
        <v>107350.0</v>
      </c>
      <c r="L84" s="34" t="s">
        <v>48</v>
      </c>
      <c r="M84" s="33" t="n">
        <f>110600</f>
        <v>110600.0</v>
      </c>
      <c r="N84" s="34" t="s">
        <v>74</v>
      </c>
      <c r="O84" s="33" t="n">
        <f>105800</f>
        <v>105800.0</v>
      </c>
      <c r="P84" s="34" t="s">
        <v>273</v>
      </c>
      <c r="Q84" s="33" t="n">
        <f>106250</f>
        <v>106250.0</v>
      </c>
      <c r="R84" s="34" t="s">
        <v>50</v>
      </c>
      <c r="S84" s="35" t="n">
        <f>108231.58</f>
        <v>108231.58</v>
      </c>
      <c r="T84" s="32" t="n">
        <f>54599</f>
        <v>54599.0</v>
      </c>
      <c r="U84" s="32" t="n">
        <f>1500</f>
        <v>1500.0</v>
      </c>
      <c r="V84" s="32" t="n">
        <f>5893473765</f>
        <v>5.893473765E9</v>
      </c>
      <c r="W84" s="32" t="n">
        <f>160402415</f>
        <v>1.60402415E8</v>
      </c>
      <c r="X84" s="36" t="n">
        <f>19</f>
        <v>19.0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3859</f>
        <v>3859.0</v>
      </c>
      <c r="L85" s="34" t="s">
        <v>48</v>
      </c>
      <c r="M85" s="33" t="n">
        <f>4124</f>
        <v>4124.0</v>
      </c>
      <c r="N85" s="34" t="s">
        <v>206</v>
      </c>
      <c r="O85" s="33" t="n">
        <f>3825</f>
        <v>3825.0</v>
      </c>
      <c r="P85" s="34" t="s">
        <v>60</v>
      </c>
      <c r="Q85" s="33" t="n">
        <f>4002</f>
        <v>4002.0</v>
      </c>
      <c r="R85" s="34" t="s">
        <v>50</v>
      </c>
      <c r="S85" s="35" t="n">
        <f>3975.89</f>
        <v>3975.89</v>
      </c>
      <c r="T85" s="32" t="n">
        <f>19319</f>
        <v>19319.0</v>
      </c>
      <c r="U85" s="32" t="n">
        <f>2</f>
        <v>2.0</v>
      </c>
      <c r="V85" s="32" t="n">
        <f>77240253</f>
        <v>7.7240253E7</v>
      </c>
      <c r="W85" s="32" t="n">
        <f>7700</f>
        <v>7700.0</v>
      </c>
      <c r="X85" s="36" t="n">
        <f>19</f>
        <v>19.0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6340</f>
        <v>6340.0</v>
      </c>
      <c r="L86" s="34" t="s">
        <v>48</v>
      </c>
      <c r="M86" s="33" t="n">
        <f>7200</f>
        <v>7200.0</v>
      </c>
      <c r="N86" s="34" t="s">
        <v>61</v>
      </c>
      <c r="O86" s="33" t="n">
        <f>6230</f>
        <v>6230.0</v>
      </c>
      <c r="P86" s="34" t="s">
        <v>48</v>
      </c>
      <c r="Q86" s="33" t="n">
        <f>6700</f>
        <v>6700.0</v>
      </c>
      <c r="R86" s="34" t="s">
        <v>50</v>
      </c>
      <c r="S86" s="35" t="n">
        <f>6524.68</f>
        <v>6524.68</v>
      </c>
      <c r="T86" s="32" t="n">
        <f>28697</f>
        <v>28697.0</v>
      </c>
      <c r="U86" s="32" t="str">
        <f>"－"</f>
        <v>－</v>
      </c>
      <c r="V86" s="32" t="n">
        <f>190582677</f>
        <v>1.90582677E8</v>
      </c>
      <c r="W86" s="32" t="str">
        <f>"－"</f>
        <v>－</v>
      </c>
      <c r="X86" s="36" t="n">
        <f>19</f>
        <v>19.0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2137</f>
        <v>2137.0</v>
      </c>
      <c r="L87" s="34" t="s">
        <v>48</v>
      </c>
      <c r="M87" s="33" t="n">
        <f>2350</f>
        <v>2350.0</v>
      </c>
      <c r="N87" s="34" t="s">
        <v>202</v>
      </c>
      <c r="O87" s="33" t="n">
        <f>2101</f>
        <v>2101.0</v>
      </c>
      <c r="P87" s="34" t="s">
        <v>48</v>
      </c>
      <c r="Q87" s="33" t="n">
        <f>2209</f>
        <v>2209.0</v>
      </c>
      <c r="R87" s="34" t="s">
        <v>50</v>
      </c>
      <c r="S87" s="35" t="n">
        <f>2232.32</f>
        <v>2232.32</v>
      </c>
      <c r="T87" s="32" t="n">
        <f>575643</f>
        <v>575643.0</v>
      </c>
      <c r="U87" s="32" t="n">
        <f>1344</f>
        <v>1344.0</v>
      </c>
      <c r="V87" s="32" t="n">
        <f>1284864518</f>
        <v>1.284864518E9</v>
      </c>
      <c r="W87" s="32" t="n">
        <f>3025371</f>
        <v>3025371.0</v>
      </c>
      <c r="X87" s="36" t="n">
        <f>19</f>
        <v>19.0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54120</f>
        <v>54120.0</v>
      </c>
      <c r="L88" s="34" t="s">
        <v>48</v>
      </c>
      <c r="M88" s="33" t="n">
        <f>55000</f>
        <v>55000.0</v>
      </c>
      <c r="N88" s="34" t="s">
        <v>155</v>
      </c>
      <c r="O88" s="33" t="n">
        <f>53510</f>
        <v>53510.0</v>
      </c>
      <c r="P88" s="34" t="s">
        <v>223</v>
      </c>
      <c r="Q88" s="33" t="n">
        <f>53910</f>
        <v>53910.0</v>
      </c>
      <c r="R88" s="34" t="s">
        <v>50</v>
      </c>
      <c r="S88" s="35" t="n">
        <f>54526.32</f>
        <v>54526.32</v>
      </c>
      <c r="T88" s="32" t="n">
        <f>16557</f>
        <v>16557.0</v>
      </c>
      <c r="U88" s="32" t="n">
        <f>103</f>
        <v>103.0</v>
      </c>
      <c r="V88" s="32" t="n">
        <f>901492587</f>
        <v>9.01492587E8</v>
      </c>
      <c r="W88" s="32" t="n">
        <f>5392027</f>
        <v>5392027.0</v>
      </c>
      <c r="X88" s="36" t="n">
        <f>19</f>
        <v>19.0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728.6</f>
        <v>728.6</v>
      </c>
      <c r="L89" s="34" t="s">
        <v>48</v>
      </c>
      <c r="M89" s="33" t="n">
        <f>828.6</f>
        <v>828.6</v>
      </c>
      <c r="N89" s="34" t="s">
        <v>49</v>
      </c>
      <c r="O89" s="33" t="n">
        <f>728.6</f>
        <v>728.6</v>
      </c>
      <c r="P89" s="34" t="s">
        <v>48</v>
      </c>
      <c r="Q89" s="33" t="n">
        <f>780.2</f>
        <v>780.2</v>
      </c>
      <c r="R89" s="34" t="s">
        <v>50</v>
      </c>
      <c r="S89" s="35" t="n">
        <f>785.04</f>
        <v>785.04</v>
      </c>
      <c r="T89" s="32" t="n">
        <f>91513180</f>
        <v>9.151318E7</v>
      </c>
      <c r="U89" s="32" t="n">
        <f>193250</f>
        <v>193250.0</v>
      </c>
      <c r="V89" s="32" t="n">
        <f>71422088377</f>
        <v>7.1422088377E10</v>
      </c>
      <c r="W89" s="32" t="n">
        <f>154211734</f>
        <v>1.54211734E8</v>
      </c>
      <c r="X89" s="36" t="n">
        <f>19</f>
        <v>19.0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911.2</f>
        <v>911.2</v>
      </c>
      <c r="L90" s="34" t="s">
        <v>48</v>
      </c>
      <c r="M90" s="33" t="n">
        <f>911.2</f>
        <v>911.2</v>
      </c>
      <c r="N90" s="34" t="s">
        <v>48</v>
      </c>
      <c r="O90" s="33" t="n">
        <f>855</f>
        <v>855.0</v>
      </c>
      <c r="P90" s="34" t="s">
        <v>49</v>
      </c>
      <c r="Q90" s="33" t="n">
        <f>879.2</f>
        <v>879.2</v>
      </c>
      <c r="R90" s="34" t="s">
        <v>50</v>
      </c>
      <c r="S90" s="35" t="n">
        <f>878.59</f>
        <v>878.59</v>
      </c>
      <c r="T90" s="32" t="n">
        <f>3705130</f>
        <v>3705130.0</v>
      </c>
      <c r="U90" s="32" t="n">
        <f>2396810</f>
        <v>2396810.0</v>
      </c>
      <c r="V90" s="32" t="n">
        <f>3202919232</f>
        <v>3.202919232E9</v>
      </c>
      <c r="W90" s="32" t="n">
        <f>2054803217</f>
        <v>2.054803217E9</v>
      </c>
      <c r="X90" s="36" t="n">
        <f>19</f>
        <v>19.0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45000</f>
        <v>45000.0</v>
      </c>
      <c r="L91" s="34" t="s">
        <v>48</v>
      </c>
      <c r="M91" s="33" t="n">
        <f>50330</f>
        <v>50330.0</v>
      </c>
      <c r="N91" s="34" t="s">
        <v>74</v>
      </c>
      <c r="O91" s="33" t="n">
        <f>44240</f>
        <v>44240.0</v>
      </c>
      <c r="P91" s="34" t="s">
        <v>75</v>
      </c>
      <c r="Q91" s="33" t="n">
        <f>48070</f>
        <v>48070.0</v>
      </c>
      <c r="R91" s="34" t="s">
        <v>50</v>
      </c>
      <c r="S91" s="35" t="n">
        <f>47742.11</f>
        <v>47742.11</v>
      </c>
      <c r="T91" s="32" t="n">
        <f>64158700</f>
        <v>6.41587E7</v>
      </c>
      <c r="U91" s="32" t="n">
        <f>689939</f>
        <v>689939.0</v>
      </c>
      <c r="V91" s="32" t="n">
        <f>3056951902559</f>
        <v>3.056951902559E12</v>
      </c>
      <c r="W91" s="32" t="n">
        <f>32819944909</f>
        <v>3.2819944909E10</v>
      </c>
      <c r="X91" s="36" t="n">
        <f>19</f>
        <v>19.0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410</f>
        <v>410.0</v>
      </c>
      <c r="L92" s="34" t="s">
        <v>48</v>
      </c>
      <c r="M92" s="33" t="n">
        <f>411</f>
        <v>411.0</v>
      </c>
      <c r="N92" s="34" t="s">
        <v>75</v>
      </c>
      <c r="O92" s="33" t="n">
        <f>383</f>
        <v>383.0</v>
      </c>
      <c r="P92" s="34" t="s">
        <v>74</v>
      </c>
      <c r="Q92" s="33" t="n">
        <f>391</f>
        <v>391.0</v>
      </c>
      <c r="R92" s="34" t="s">
        <v>50</v>
      </c>
      <c r="S92" s="35" t="n">
        <f>394.05</f>
        <v>394.05</v>
      </c>
      <c r="T92" s="32" t="n">
        <f>42696471</f>
        <v>4.2696471E7</v>
      </c>
      <c r="U92" s="32" t="n">
        <f>5686825</f>
        <v>5686825.0</v>
      </c>
      <c r="V92" s="32" t="n">
        <f>16866327211</f>
        <v>1.6866327211E10</v>
      </c>
      <c r="W92" s="32" t="n">
        <f>2279610706</f>
        <v>2.279610706E9</v>
      </c>
      <c r="X92" s="36" t="n">
        <f>19</f>
        <v>19.0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8408</f>
        <v>8408.0</v>
      </c>
      <c r="L93" s="34" t="s">
        <v>48</v>
      </c>
      <c r="M93" s="33" t="n">
        <f>8814</f>
        <v>8814.0</v>
      </c>
      <c r="N93" s="34" t="s">
        <v>74</v>
      </c>
      <c r="O93" s="33" t="n">
        <f>7961</f>
        <v>7961.0</v>
      </c>
      <c r="P93" s="34" t="s">
        <v>75</v>
      </c>
      <c r="Q93" s="33" t="n">
        <f>8386</f>
        <v>8386.0</v>
      </c>
      <c r="R93" s="34" t="s">
        <v>50</v>
      </c>
      <c r="S93" s="35" t="n">
        <f>8379.16</f>
        <v>8379.16</v>
      </c>
      <c r="T93" s="32" t="n">
        <f>119780</f>
        <v>119780.0</v>
      </c>
      <c r="U93" s="32" t="str">
        <f>"－"</f>
        <v>－</v>
      </c>
      <c r="V93" s="32" t="n">
        <f>1013075340</f>
        <v>1.01307534E9</v>
      </c>
      <c r="W93" s="32" t="str">
        <f>"－"</f>
        <v>－</v>
      </c>
      <c r="X93" s="36" t="n">
        <f>19</f>
        <v>19.0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7788</f>
        <v>7788.0</v>
      </c>
      <c r="L94" s="34" t="s">
        <v>48</v>
      </c>
      <c r="M94" s="33" t="n">
        <f>7953</f>
        <v>7953.0</v>
      </c>
      <c r="N94" s="34" t="s">
        <v>206</v>
      </c>
      <c r="O94" s="33" t="n">
        <f>6983</f>
        <v>6983.0</v>
      </c>
      <c r="P94" s="34" t="s">
        <v>61</v>
      </c>
      <c r="Q94" s="33" t="n">
        <f>7463</f>
        <v>7463.0</v>
      </c>
      <c r="R94" s="34" t="s">
        <v>50</v>
      </c>
      <c r="S94" s="35" t="n">
        <f>7718.58</f>
        <v>7718.58</v>
      </c>
      <c r="T94" s="32" t="n">
        <f>23610</f>
        <v>23610.0</v>
      </c>
      <c r="U94" s="32" t="str">
        <f>"－"</f>
        <v>－</v>
      </c>
      <c r="V94" s="32" t="n">
        <f>180802630</f>
        <v>1.8080263E8</v>
      </c>
      <c r="W94" s="32" t="str">
        <f>"－"</f>
        <v>－</v>
      </c>
      <c r="X94" s="36" t="n">
        <f>19</f>
        <v>19.0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49520</f>
        <v>49520.0</v>
      </c>
      <c r="L95" s="34" t="s">
        <v>48</v>
      </c>
      <c r="M95" s="33" t="n">
        <f>52970</f>
        <v>52970.0</v>
      </c>
      <c r="N95" s="34" t="s">
        <v>49</v>
      </c>
      <c r="O95" s="33" t="n">
        <f>49520</f>
        <v>49520.0</v>
      </c>
      <c r="P95" s="34" t="s">
        <v>48</v>
      </c>
      <c r="Q95" s="33" t="n">
        <f>51620</f>
        <v>51620.0</v>
      </c>
      <c r="R95" s="34" t="s">
        <v>50</v>
      </c>
      <c r="S95" s="35" t="n">
        <f>51493.16</f>
        <v>51493.16</v>
      </c>
      <c r="T95" s="32" t="n">
        <f>270731</f>
        <v>270731.0</v>
      </c>
      <c r="U95" s="32" t="n">
        <f>168785</f>
        <v>168785.0</v>
      </c>
      <c r="V95" s="32" t="n">
        <f>13942873725</f>
        <v>1.3942873725E10</v>
      </c>
      <c r="W95" s="32" t="n">
        <f>8698471725</f>
        <v>8.698471725E9</v>
      </c>
      <c r="X95" s="36" t="n">
        <f>19</f>
        <v>19.0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4105</f>
        <v>4105.0</v>
      </c>
      <c r="L96" s="34" t="s">
        <v>48</v>
      </c>
      <c r="M96" s="33" t="n">
        <f>4345</f>
        <v>4345.0</v>
      </c>
      <c r="N96" s="34" t="s">
        <v>74</v>
      </c>
      <c r="O96" s="33" t="n">
        <f>4071</f>
        <v>4071.0</v>
      </c>
      <c r="P96" s="34" t="s">
        <v>75</v>
      </c>
      <c r="Q96" s="33" t="n">
        <f>4242</f>
        <v>4242.0</v>
      </c>
      <c r="R96" s="34" t="s">
        <v>50</v>
      </c>
      <c r="S96" s="35" t="n">
        <f>4237.26</f>
        <v>4237.26</v>
      </c>
      <c r="T96" s="32" t="n">
        <f>657228</f>
        <v>657228.0</v>
      </c>
      <c r="U96" s="32" t="n">
        <f>459137</f>
        <v>459137.0</v>
      </c>
      <c r="V96" s="32" t="n">
        <f>2809564515</f>
        <v>2.809564515E9</v>
      </c>
      <c r="W96" s="32" t="n">
        <f>1972190110</f>
        <v>1.97219011E9</v>
      </c>
      <c r="X96" s="36" t="n">
        <f>19</f>
        <v>19.0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484.4</f>
        <v>484.4</v>
      </c>
      <c r="L97" s="34" t="s">
        <v>48</v>
      </c>
      <c r="M97" s="33" t="n">
        <f>541.8</f>
        <v>541.8</v>
      </c>
      <c r="N97" s="34" t="s">
        <v>74</v>
      </c>
      <c r="O97" s="33" t="n">
        <f>476</f>
        <v>476.0</v>
      </c>
      <c r="P97" s="34" t="s">
        <v>75</v>
      </c>
      <c r="Q97" s="33" t="n">
        <f>517.4</f>
        <v>517.4</v>
      </c>
      <c r="R97" s="34" t="s">
        <v>50</v>
      </c>
      <c r="S97" s="35" t="n">
        <f>513.67</f>
        <v>513.67</v>
      </c>
      <c r="T97" s="32" t="n">
        <f>375526950</f>
        <v>3.7552695E8</v>
      </c>
      <c r="U97" s="32" t="n">
        <f>8229290</f>
        <v>8229290.0</v>
      </c>
      <c r="V97" s="32" t="n">
        <f>192517387687</f>
        <v>1.92517387687E11</v>
      </c>
      <c r="W97" s="32" t="n">
        <f>4210613459</f>
        <v>4.210613459E9</v>
      </c>
      <c r="X97" s="36" t="n">
        <f>19</f>
        <v>19.0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1085.5</f>
        <v>1085.5</v>
      </c>
      <c r="L98" s="34" t="s">
        <v>48</v>
      </c>
      <c r="M98" s="33" t="n">
        <f>1088.5</f>
        <v>1088.5</v>
      </c>
      <c r="N98" s="34" t="s">
        <v>75</v>
      </c>
      <c r="O98" s="33" t="n">
        <f>1018.5</f>
        <v>1018.5</v>
      </c>
      <c r="P98" s="34" t="s">
        <v>74</v>
      </c>
      <c r="Q98" s="33" t="n">
        <f>1041</f>
        <v>1041.0</v>
      </c>
      <c r="R98" s="34" t="s">
        <v>50</v>
      </c>
      <c r="S98" s="35" t="n">
        <f>1046.32</f>
        <v>1046.32</v>
      </c>
      <c r="T98" s="32" t="n">
        <f>7960430</f>
        <v>7960430.0</v>
      </c>
      <c r="U98" s="32" t="n">
        <f>3497350</f>
        <v>3497350.0</v>
      </c>
      <c r="V98" s="32" t="n">
        <f>8291184545</f>
        <v>8.291184545E9</v>
      </c>
      <c r="W98" s="32" t="n">
        <f>3616438480</f>
        <v>3.61643848E9</v>
      </c>
      <c r="X98" s="36" t="n">
        <f>19</f>
        <v>19.0</v>
      </c>
    </row>
    <row r="99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2287.5</f>
        <v>2287.5</v>
      </c>
      <c r="L99" s="34" t="s">
        <v>48</v>
      </c>
      <c r="M99" s="33" t="n">
        <f>2487.5</f>
        <v>2487.5</v>
      </c>
      <c r="N99" s="34" t="s">
        <v>60</v>
      </c>
      <c r="O99" s="33" t="n">
        <f>2287.5</f>
        <v>2287.5</v>
      </c>
      <c r="P99" s="34" t="s">
        <v>48</v>
      </c>
      <c r="Q99" s="33" t="n">
        <f>2395</f>
        <v>2395.0</v>
      </c>
      <c r="R99" s="34" t="s">
        <v>50</v>
      </c>
      <c r="S99" s="35" t="n">
        <f>2408.82</f>
        <v>2408.82</v>
      </c>
      <c r="T99" s="32" t="n">
        <f>108030</f>
        <v>108030.0</v>
      </c>
      <c r="U99" s="32" t="n">
        <f>84530</f>
        <v>84530.0</v>
      </c>
      <c r="V99" s="32" t="n">
        <f>258689009</f>
        <v>2.58689009E8</v>
      </c>
      <c r="W99" s="32" t="n">
        <f>202125659</f>
        <v>2.02125659E8</v>
      </c>
      <c r="X99" s="36" t="n">
        <f>17</f>
        <v>17.0</v>
      </c>
    </row>
    <row r="100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2740</f>
        <v>2740.0</v>
      </c>
      <c r="L100" s="34" t="s">
        <v>48</v>
      </c>
      <c r="M100" s="33" t="n">
        <f>2857</f>
        <v>2857.0</v>
      </c>
      <c r="N100" s="34" t="s">
        <v>74</v>
      </c>
      <c r="O100" s="33" t="n">
        <f>2700</f>
        <v>2700.0</v>
      </c>
      <c r="P100" s="34" t="s">
        <v>75</v>
      </c>
      <c r="Q100" s="33" t="n">
        <f>2753</f>
        <v>2753.0</v>
      </c>
      <c r="R100" s="34" t="s">
        <v>50</v>
      </c>
      <c r="S100" s="35" t="n">
        <f>2770.37</f>
        <v>2770.37</v>
      </c>
      <c r="T100" s="32" t="n">
        <f>4813</f>
        <v>4813.0</v>
      </c>
      <c r="U100" s="32" t="n">
        <f>5</f>
        <v>5.0</v>
      </c>
      <c r="V100" s="32" t="n">
        <f>13321329</f>
        <v>1.3321329E7</v>
      </c>
      <c r="W100" s="32" t="n">
        <f>13643</f>
        <v>13643.0</v>
      </c>
      <c r="X100" s="36" t="n">
        <f>19</f>
        <v>19.0</v>
      </c>
    </row>
    <row r="101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31240</f>
        <v>31240.0</v>
      </c>
      <c r="L101" s="34" t="s">
        <v>48</v>
      </c>
      <c r="M101" s="33" t="n">
        <f>33170</f>
        <v>33170.0</v>
      </c>
      <c r="N101" s="34" t="s">
        <v>49</v>
      </c>
      <c r="O101" s="33" t="n">
        <f>31240</f>
        <v>31240.0</v>
      </c>
      <c r="P101" s="34" t="s">
        <v>48</v>
      </c>
      <c r="Q101" s="33" t="n">
        <f>32300</f>
        <v>32300.0</v>
      </c>
      <c r="R101" s="34" t="s">
        <v>50</v>
      </c>
      <c r="S101" s="35" t="n">
        <f>32340.53</f>
        <v>32340.53</v>
      </c>
      <c r="T101" s="32" t="n">
        <f>223116</f>
        <v>223116.0</v>
      </c>
      <c r="U101" s="32" t="n">
        <f>171479</f>
        <v>171479.0</v>
      </c>
      <c r="V101" s="32" t="n">
        <f>7200873175</f>
        <v>7.200873175E9</v>
      </c>
      <c r="W101" s="32" t="n">
        <f>5530183875</f>
        <v>5.530183875E9</v>
      </c>
      <c r="X101" s="36" t="n">
        <f>19</f>
        <v>19.0</v>
      </c>
    </row>
    <row r="102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2889</f>
        <v>2889.0</v>
      </c>
      <c r="L102" s="34" t="s">
        <v>48</v>
      </c>
      <c r="M102" s="33" t="n">
        <f>3045</f>
        <v>3045.0</v>
      </c>
      <c r="N102" s="34" t="s">
        <v>49</v>
      </c>
      <c r="O102" s="33" t="n">
        <f>2885</f>
        <v>2885.0</v>
      </c>
      <c r="P102" s="34" t="s">
        <v>75</v>
      </c>
      <c r="Q102" s="33" t="n">
        <f>2949</f>
        <v>2949.0</v>
      </c>
      <c r="R102" s="34" t="s">
        <v>50</v>
      </c>
      <c r="S102" s="35" t="n">
        <f>2965.11</f>
        <v>2965.11</v>
      </c>
      <c r="T102" s="32" t="n">
        <f>715543</f>
        <v>715543.0</v>
      </c>
      <c r="U102" s="32" t="n">
        <f>354916</f>
        <v>354916.0</v>
      </c>
      <c r="V102" s="32" t="n">
        <f>2128266158</f>
        <v>2.128266158E9</v>
      </c>
      <c r="W102" s="32" t="n">
        <f>1057530599</f>
        <v>1.057530599E9</v>
      </c>
      <c r="X102" s="36" t="n">
        <f>19</f>
        <v>19.0</v>
      </c>
    </row>
    <row r="103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32280</f>
        <v>32280.0</v>
      </c>
      <c r="L103" s="34" t="s">
        <v>48</v>
      </c>
      <c r="M103" s="33" t="n">
        <f>34080</f>
        <v>34080.0</v>
      </c>
      <c r="N103" s="34" t="s">
        <v>74</v>
      </c>
      <c r="O103" s="33" t="n">
        <f>32280</f>
        <v>32280.0</v>
      </c>
      <c r="P103" s="34" t="s">
        <v>48</v>
      </c>
      <c r="Q103" s="33" t="n">
        <f>33020</f>
        <v>33020.0</v>
      </c>
      <c r="R103" s="34" t="s">
        <v>50</v>
      </c>
      <c r="S103" s="35" t="n">
        <f>33302.11</f>
        <v>33302.11</v>
      </c>
      <c r="T103" s="32" t="n">
        <f>196348</f>
        <v>196348.0</v>
      </c>
      <c r="U103" s="32" t="n">
        <f>153975</f>
        <v>153975.0</v>
      </c>
      <c r="V103" s="32" t="n">
        <f>6504331237</f>
        <v>6.504331237E9</v>
      </c>
      <c r="W103" s="32" t="n">
        <f>5095356757</f>
        <v>5.095356757E9</v>
      </c>
      <c r="X103" s="36" t="n">
        <f>19</f>
        <v>19.0</v>
      </c>
    </row>
    <row r="10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2069.5</f>
        <v>2069.5</v>
      </c>
      <c r="L104" s="34" t="s">
        <v>48</v>
      </c>
      <c r="M104" s="33" t="n">
        <f>2115</f>
        <v>2115.0</v>
      </c>
      <c r="N104" s="34" t="s">
        <v>103</v>
      </c>
      <c r="O104" s="33" t="n">
        <f>1999</f>
        <v>1999.0</v>
      </c>
      <c r="P104" s="34" t="s">
        <v>70</v>
      </c>
      <c r="Q104" s="33" t="n">
        <f>2026.5</f>
        <v>2026.5</v>
      </c>
      <c r="R104" s="34" t="s">
        <v>50</v>
      </c>
      <c r="S104" s="35" t="n">
        <f>2063.68</f>
        <v>2063.68</v>
      </c>
      <c r="T104" s="32" t="n">
        <f>3367870</f>
        <v>3367870.0</v>
      </c>
      <c r="U104" s="32" t="n">
        <f>2666680</f>
        <v>2666680.0</v>
      </c>
      <c r="V104" s="32" t="n">
        <f>6907334936</f>
        <v>6.907334936E9</v>
      </c>
      <c r="W104" s="32" t="n">
        <f>5463708706</f>
        <v>5.463708706E9</v>
      </c>
      <c r="X104" s="36" t="n">
        <f>19</f>
        <v>19.0</v>
      </c>
    </row>
    <row r="105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2745</f>
        <v>2745.0</v>
      </c>
      <c r="L105" s="34" t="s">
        <v>48</v>
      </c>
      <c r="M105" s="33" t="n">
        <f>2815.5</f>
        <v>2815.5</v>
      </c>
      <c r="N105" s="34" t="s">
        <v>60</v>
      </c>
      <c r="O105" s="33" t="n">
        <f>2635</f>
        <v>2635.0</v>
      </c>
      <c r="P105" s="34" t="s">
        <v>103</v>
      </c>
      <c r="Q105" s="33" t="n">
        <f>2699.5</f>
        <v>2699.5</v>
      </c>
      <c r="R105" s="34" t="s">
        <v>206</v>
      </c>
      <c r="S105" s="35" t="n">
        <f>2723.55</f>
        <v>2723.55</v>
      </c>
      <c r="T105" s="32" t="n">
        <f>2690</f>
        <v>2690.0</v>
      </c>
      <c r="U105" s="32" t="str">
        <f>"－"</f>
        <v>－</v>
      </c>
      <c r="V105" s="32" t="n">
        <f>7374415</f>
        <v>7374415.0</v>
      </c>
      <c r="W105" s="32" t="str">
        <f>"－"</f>
        <v>－</v>
      </c>
      <c r="X105" s="36" t="n">
        <f>10</f>
        <v>10.0</v>
      </c>
    </row>
    <row r="106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2089</f>
        <v>2089.0</v>
      </c>
      <c r="L106" s="34" t="s">
        <v>48</v>
      </c>
      <c r="M106" s="33" t="n">
        <f>2140</f>
        <v>2140.0</v>
      </c>
      <c r="N106" s="34" t="s">
        <v>103</v>
      </c>
      <c r="O106" s="33" t="n">
        <f>2020</f>
        <v>2020.0</v>
      </c>
      <c r="P106" s="34" t="s">
        <v>70</v>
      </c>
      <c r="Q106" s="33" t="n">
        <f>2052</f>
        <v>2052.0</v>
      </c>
      <c r="R106" s="34" t="s">
        <v>50</v>
      </c>
      <c r="S106" s="35" t="n">
        <f>2082.58</f>
        <v>2082.58</v>
      </c>
      <c r="T106" s="32" t="n">
        <f>7253264</f>
        <v>7253264.0</v>
      </c>
      <c r="U106" s="32" t="n">
        <f>3842858</f>
        <v>3842858.0</v>
      </c>
      <c r="V106" s="32" t="n">
        <f>15046472291</f>
        <v>1.5046472291E10</v>
      </c>
      <c r="W106" s="32" t="n">
        <f>7964078078</f>
        <v>7.964078078E9</v>
      </c>
      <c r="X106" s="36" t="n">
        <f>19</f>
        <v>19.0</v>
      </c>
    </row>
    <row r="107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32010</f>
        <v>32010.0</v>
      </c>
      <c r="L107" s="34" t="s">
        <v>48</v>
      </c>
      <c r="M107" s="33" t="n">
        <f>33640</f>
        <v>33640.0</v>
      </c>
      <c r="N107" s="34" t="s">
        <v>65</v>
      </c>
      <c r="O107" s="33" t="n">
        <f>31840</f>
        <v>31840.0</v>
      </c>
      <c r="P107" s="34" t="s">
        <v>257</v>
      </c>
      <c r="Q107" s="33" t="n">
        <f>32470</f>
        <v>32470.0</v>
      </c>
      <c r="R107" s="34" t="s">
        <v>50</v>
      </c>
      <c r="S107" s="35" t="n">
        <f>32836.84</f>
        <v>32836.84</v>
      </c>
      <c r="T107" s="32" t="n">
        <f>193698</f>
        <v>193698.0</v>
      </c>
      <c r="U107" s="32" t="n">
        <f>158939</f>
        <v>158939.0</v>
      </c>
      <c r="V107" s="32" t="n">
        <f>6321425091</f>
        <v>6.321425091E9</v>
      </c>
      <c r="W107" s="32" t="n">
        <f>5187019521</f>
        <v>5.187019521E9</v>
      </c>
      <c r="X107" s="36" t="n">
        <f>19</f>
        <v>19.0</v>
      </c>
    </row>
    <row r="108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643.4</f>
        <v>643.4</v>
      </c>
      <c r="L108" s="34" t="s">
        <v>48</v>
      </c>
      <c r="M108" s="33" t="n">
        <f>675.9</f>
        <v>675.9</v>
      </c>
      <c r="N108" s="34" t="s">
        <v>202</v>
      </c>
      <c r="O108" s="33" t="n">
        <f>632.9</f>
        <v>632.9</v>
      </c>
      <c r="P108" s="34" t="s">
        <v>48</v>
      </c>
      <c r="Q108" s="33" t="n">
        <f>644.6</f>
        <v>644.6</v>
      </c>
      <c r="R108" s="34" t="s">
        <v>50</v>
      </c>
      <c r="S108" s="35" t="n">
        <f>651.25</f>
        <v>651.25</v>
      </c>
      <c r="T108" s="32" t="n">
        <f>197660</f>
        <v>197660.0</v>
      </c>
      <c r="U108" s="32" t="n">
        <f>20000</f>
        <v>20000.0</v>
      </c>
      <c r="V108" s="32" t="n">
        <f>128841902</f>
        <v>1.28841902E8</v>
      </c>
      <c r="W108" s="32" t="n">
        <f>12806000</f>
        <v>1.2806E7</v>
      </c>
      <c r="X108" s="36" t="n">
        <f>19</f>
        <v>19.0</v>
      </c>
    </row>
    <row r="109">
      <c r="A109" s="27" t="s">
        <v>42</v>
      </c>
      <c r="B109" s="27" t="s">
        <v>370</v>
      </c>
      <c r="C109" s="27" t="s">
        <v>371</v>
      </c>
      <c r="D109" s="27" t="s">
        <v>372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534</f>
        <v>534.0</v>
      </c>
      <c r="L109" s="34" t="s">
        <v>48</v>
      </c>
      <c r="M109" s="33" t="n">
        <f>616.9</f>
        <v>616.9</v>
      </c>
      <c r="N109" s="34" t="s">
        <v>65</v>
      </c>
      <c r="O109" s="33" t="n">
        <f>534</f>
        <v>534.0</v>
      </c>
      <c r="P109" s="34" t="s">
        <v>48</v>
      </c>
      <c r="Q109" s="33" t="n">
        <f>598.3</f>
        <v>598.3</v>
      </c>
      <c r="R109" s="34" t="s">
        <v>50</v>
      </c>
      <c r="S109" s="35" t="n">
        <f>584.37</f>
        <v>584.37</v>
      </c>
      <c r="T109" s="32" t="n">
        <f>123367440</f>
        <v>1.2336744E8</v>
      </c>
      <c r="U109" s="32" t="n">
        <f>35085380</f>
        <v>3.508538E7</v>
      </c>
      <c r="V109" s="32" t="n">
        <f>71615649975</f>
        <v>7.1615649975E10</v>
      </c>
      <c r="W109" s="32" t="n">
        <f>20497232062</f>
        <v>2.0497232062E10</v>
      </c>
      <c r="X109" s="36" t="n">
        <f>19</f>
        <v>19.0</v>
      </c>
    </row>
    <row r="110">
      <c r="A110" s="27" t="s">
        <v>42</v>
      </c>
      <c r="B110" s="27" t="s">
        <v>373</v>
      </c>
      <c r="C110" s="27" t="s">
        <v>374</v>
      </c>
      <c r="D110" s="27" t="s">
        <v>375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41360</f>
        <v>41360.0</v>
      </c>
      <c r="L110" s="34" t="s">
        <v>48</v>
      </c>
      <c r="M110" s="33" t="n">
        <f>43740</f>
        <v>43740.0</v>
      </c>
      <c r="N110" s="34" t="s">
        <v>202</v>
      </c>
      <c r="O110" s="33" t="n">
        <f>41060</f>
        <v>41060.0</v>
      </c>
      <c r="P110" s="34" t="s">
        <v>70</v>
      </c>
      <c r="Q110" s="33" t="n">
        <f>42090</f>
        <v>42090.0</v>
      </c>
      <c r="R110" s="34" t="s">
        <v>50</v>
      </c>
      <c r="S110" s="35" t="n">
        <f>42138.42</f>
        <v>42138.42</v>
      </c>
      <c r="T110" s="32" t="n">
        <f>42697</f>
        <v>42697.0</v>
      </c>
      <c r="U110" s="32" t="n">
        <f>32872</f>
        <v>32872.0</v>
      </c>
      <c r="V110" s="32" t="n">
        <f>1812805580</f>
        <v>1.81280558E9</v>
      </c>
      <c r="W110" s="32" t="n">
        <f>1394851270</f>
        <v>1.39485127E9</v>
      </c>
      <c r="X110" s="36" t="n">
        <f>19</f>
        <v>19.0</v>
      </c>
    </row>
    <row r="111">
      <c r="A111" s="27" t="s">
        <v>42</v>
      </c>
      <c r="B111" s="27" t="s">
        <v>376</v>
      </c>
      <c r="C111" s="27" t="s">
        <v>377</v>
      </c>
      <c r="D111" s="27" t="s">
        <v>378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30000</f>
        <v>30000.0</v>
      </c>
      <c r="L111" s="34" t="s">
        <v>48</v>
      </c>
      <c r="M111" s="33" t="n">
        <f>34260</f>
        <v>34260.0</v>
      </c>
      <c r="N111" s="34" t="s">
        <v>50</v>
      </c>
      <c r="O111" s="33" t="n">
        <f>29710</f>
        <v>29710.0</v>
      </c>
      <c r="P111" s="34" t="s">
        <v>48</v>
      </c>
      <c r="Q111" s="33" t="n">
        <f>33790</f>
        <v>33790.0</v>
      </c>
      <c r="R111" s="34" t="s">
        <v>50</v>
      </c>
      <c r="S111" s="35" t="n">
        <f>31830.53</f>
        <v>31830.53</v>
      </c>
      <c r="T111" s="32" t="n">
        <f>34966</f>
        <v>34966.0</v>
      </c>
      <c r="U111" s="32" t="n">
        <f>736</f>
        <v>736.0</v>
      </c>
      <c r="V111" s="32" t="n">
        <f>1120755363</f>
        <v>1.120755363E9</v>
      </c>
      <c r="W111" s="32" t="n">
        <f>23089458</f>
        <v>2.3089458E7</v>
      </c>
      <c r="X111" s="36" t="n">
        <f>19</f>
        <v>19.0</v>
      </c>
    </row>
    <row r="112">
      <c r="A112" s="27" t="s">
        <v>42</v>
      </c>
      <c r="B112" s="27" t="s">
        <v>379</v>
      </c>
      <c r="C112" s="27" t="s">
        <v>380</v>
      </c>
      <c r="D112" s="27" t="s">
        <v>381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43970</f>
        <v>43970.0</v>
      </c>
      <c r="L112" s="34" t="s">
        <v>48</v>
      </c>
      <c r="M112" s="33" t="n">
        <f>47260</f>
        <v>47260.0</v>
      </c>
      <c r="N112" s="34" t="s">
        <v>65</v>
      </c>
      <c r="O112" s="33" t="n">
        <f>43730</f>
        <v>43730.0</v>
      </c>
      <c r="P112" s="34" t="s">
        <v>48</v>
      </c>
      <c r="Q112" s="33" t="n">
        <f>45440</f>
        <v>45440.0</v>
      </c>
      <c r="R112" s="34" t="s">
        <v>50</v>
      </c>
      <c r="S112" s="35" t="n">
        <f>45932.11</f>
        <v>45932.11</v>
      </c>
      <c r="T112" s="32" t="n">
        <f>32966</f>
        <v>32966.0</v>
      </c>
      <c r="U112" s="32" t="n">
        <f>11588</f>
        <v>11588.0</v>
      </c>
      <c r="V112" s="32" t="n">
        <f>1504851594</f>
        <v>1.504851594E9</v>
      </c>
      <c r="W112" s="32" t="n">
        <f>528810334</f>
        <v>5.28810334E8</v>
      </c>
      <c r="X112" s="36" t="n">
        <f>19</f>
        <v>19.0</v>
      </c>
    </row>
    <row r="113">
      <c r="A113" s="27" t="s">
        <v>42</v>
      </c>
      <c r="B113" s="27" t="s">
        <v>382</v>
      </c>
      <c r="C113" s="27" t="s">
        <v>383</v>
      </c>
      <c r="D113" s="27" t="s">
        <v>384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31690</f>
        <v>31690.0</v>
      </c>
      <c r="L113" s="34" t="s">
        <v>48</v>
      </c>
      <c r="M113" s="33" t="n">
        <f>34360</f>
        <v>34360.0</v>
      </c>
      <c r="N113" s="34" t="s">
        <v>103</v>
      </c>
      <c r="O113" s="33" t="n">
        <f>31450</f>
        <v>31450.0</v>
      </c>
      <c r="P113" s="34" t="s">
        <v>48</v>
      </c>
      <c r="Q113" s="33" t="n">
        <f>32560</f>
        <v>32560.0</v>
      </c>
      <c r="R113" s="34" t="s">
        <v>50</v>
      </c>
      <c r="S113" s="35" t="n">
        <f>32746.84</f>
        <v>32746.84</v>
      </c>
      <c r="T113" s="32" t="n">
        <f>10373</f>
        <v>10373.0</v>
      </c>
      <c r="U113" s="32" t="n">
        <f>219</f>
        <v>219.0</v>
      </c>
      <c r="V113" s="32" t="n">
        <f>338453748</f>
        <v>3.38453748E8</v>
      </c>
      <c r="W113" s="32" t="n">
        <f>7247668</f>
        <v>7247668.0</v>
      </c>
      <c r="X113" s="36" t="n">
        <f>19</f>
        <v>19.0</v>
      </c>
    </row>
    <row r="114">
      <c r="A114" s="27" t="s">
        <v>42</v>
      </c>
      <c r="B114" s="27" t="s">
        <v>385</v>
      </c>
      <c r="C114" s="27" t="s">
        <v>386</v>
      </c>
      <c r="D114" s="27" t="s">
        <v>387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29660</f>
        <v>29660.0</v>
      </c>
      <c r="L114" s="34" t="s">
        <v>48</v>
      </c>
      <c r="M114" s="33" t="n">
        <f>31320</f>
        <v>31320.0</v>
      </c>
      <c r="N114" s="34" t="s">
        <v>60</v>
      </c>
      <c r="O114" s="33" t="n">
        <f>29235</f>
        <v>29235.0</v>
      </c>
      <c r="P114" s="34" t="s">
        <v>70</v>
      </c>
      <c r="Q114" s="33" t="n">
        <f>30160</f>
        <v>30160.0</v>
      </c>
      <c r="R114" s="34" t="s">
        <v>50</v>
      </c>
      <c r="S114" s="35" t="n">
        <f>30315.26</f>
        <v>30315.26</v>
      </c>
      <c r="T114" s="32" t="n">
        <f>9751</f>
        <v>9751.0</v>
      </c>
      <c r="U114" s="32" t="n">
        <f>508</f>
        <v>508.0</v>
      </c>
      <c r="V114" s="32" t="n">
        <f>294719106</f>
        <v>2.94719106E8</v>
      </c>
      <c r="W114" s="32" t="n">
        <f>15342886</f>
        <v>1.5342886E7</v>
      </c>
      <c r="X114" s="36" t="n">
        <f>19</f>
        <v>19.0</v>
      </c>
    </row>
    <row r="115">
      <c r="A115" s="27" t="s">
        <v>42</v>
      </c>
      <c r="B115" s="27" t="s">
        <v>388</v>
      </c>
      <c r="C115" s="27" t="s">
        <v>389</v>
      </c>
      <c r="D115" s="27" t="s">
        <v>390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36730</f>
        <v>36730.0</v>
      </c>
      <c r="L115" s="34" t="s">
        <v>48</v>
      </c>
      <c r="M115" s="33" t="n">
        <f>39440</f>
        <v>39440.0</v>
      </c>
      <c r="N115" s="34" t="s">
        <v>49</v>
      </c>
      <c r="O115" s="33" t="n">
        <f>35690</f>
        <v>35690.0</v>
      </c>
      <c r="P115" s="34" t="s">
        <v>70</v>
      </c>
      <c r="Q115" s="33" t="n">
        <f>37160</f>
        <v>37160.0</v>
      </c>
      <c r="R115" s="34" t="s">
        <v>50</v>
      </c>
      <c r="S115" s="35" t="n">
        <f>37455.26</f>
        <v>37455.26</v>
      </c>
      <c r="T115" s="32" t="n">
        <f>18255</f>
        <v>18255.0</v>
      </c>
      <c r="U115" s="32" t="n">
        <f>6712</f>
        <v>6712.0</v>
      </c>
      <c r="V115" s="32" t="n">
        <f>674317587</f>
        <v>6.74317587E8</v>
      </c>
      <c r="W115" s="32" t="n">
        <f>246557307</f>
        <v>2.46557307E8</v>
      </c>
      <c r="X115" s="36" t="n">
        <f>19</f>
        <v>19.0</v>
      </c>
    </row>
    <row r="116">
      <c r="A116" s="27" t="s">
        <v>42</v>
      </c>
      <c r="B116" s="27" t="s">
        <v>391</v>
      </c>
      <c r="C116" s="27" t="s">
        <v>392</v>
      </c>
      <c r="D116" s="27" t="s">
        <v>393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45500</f>
        <v>45500.0</v>
      </c>
      <c r="L116" s="34" t="s">
        <v>48</v>
      </c>
      <c r="M116" s="33" t="n">
        <f>52030</f>
        <v>52030.0</v>
      </c>
      <c r="N116" s="34" t="s">
        <v>70</v>
      </c>
      <c r="O116" s="33" t="n">
        <f>45000</f>
        <v>45000.0</v>
      </c>
      <c r="P116" s="34" t="s">
        <v>257</v>
      </c>
      <c r="Q116" s="33" t="n">
        <f>50570</f>
        <v>50570.0</v>
      </c>
      <c r="R116" s="34" t="s">
        <v>50</v>
      </c>
      <c r="S116" s="35" t="n">
        <f>48547.37</f>
        <v>48547.37</v>
      </c>
      <c r="T116" s="32" t="n">
        <f>82751</f>
        <v>82751.0</v>
      </c>
      <c r="U116" s="32" t="n">
        <f>45641</f>
        <v>45641.0</v>
      </c>
      <c r="V116" s="32" t="n">
        <f>4013025967</f>
        <v>4.013025967E9</v>
      </c>
      <c r="W116" s="32" t="n">
        <f>2204104727</f>
        <v>2.204104727E9</v>
      </c>
      <c r="X116" s="36" t="n">
        <f>19</f>
        <v>19.0</v>
      </c>
    </row>
    <row r="117">
      <c r="A117" s="27" t="s">
        <v>42</v>
      </c>
      <c r="B117" s="27" t="s">
        <v>394</v>
      </c>
      <c r="C117" s="27" t="s">
        <v>395</v>
      </c>
      <c r="D117" s="27" t="s">
        <v>396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74090</f>
        <v>74090.0</v>
      </c>
      <c r="L117" s="34" t="s">
        <v>48</v>
      </c>
      <c r="M117" s="33" t="n">
        <f>85990</f>
        <v>85990.0</v>
      </c>
      <c r="N117" s="34" t="s">
        <v>155</v>
      </c>
      <c r="O117" s="33" t="n">
        <f>73500</f>
        <v>73500.0</v>
      </c>
      <c r="P117" s="34" t="s">
        <v>48</v>
      </c>
      <c r="Q117" s="33" t="n">
        <f>83590</f>
        <v>83590.0</v>
      </c>
      <c r="R117" s="34" t="s">
        <v>50</v>
      </c>
      <c r="S117" s="35" t="n">
        <f>82238.42</f>
        <v>82238.42</v>
      </c>
      <c r="T117" s="32" t="n">
        <f>10566</f>
        <v>10566.0</v>
      </c>
      <c r="U117" s="32" t="n">
        <f>2150</f>
        <v>2150.0</v>
      </c>
      <c r="V117" s="32" t="n">
        <f>841592244</f>
        <v>8.41592244E8</v>
      </c>
      <c r="W117" s="32" t="n">
        <f>165649184</f>
        <v>1.65649184E8</v>
      </c>
      <c r="X117" s="36" t="n">
        <f>19</f>
        <v>19.0</v>
      </c>
    </row>
    <row r="118">
      <c r="A118" s="27" t="s">
        <v>42</v>
      </c>
      <c r="B118" s="27" t="s">
        <v>397</v>
      </c>
      <c r="C118" s="27" t="s">
        <v>398</v>
      </c>
      <c r="D118" s="27" t="s">
        <v>399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49750</f>
        <v>49750.0</v>
      </c>
      <c r="L118" s="34" t="s">
        <v>48</v>
      </c>
      <c r="M118" s="33" t="n">
        <f>52840</f>
        <v>52840.0</v>
      </c>
      <c r="N118" s="34" t="s">
        <v>74</v>
      </c>
      <c r="O118" s="33" t="n">
        <f>49470</f>
        <v>49470.0</v>
      </c>
      <c r="P118" s="34" t="s">
        <v>257</v>
      </c>
      <c r="Q118" s="33" t="n">
        <f>51430</f>
        <v>51430.0</v>
      </c>
      <c r="R118" s="34" t="s">
        <v>50</v>
      </c>
      <c r="S118" s="35" t="n">
        <f>51514.21</f>
        <v>51514.21</v>
      </c>
      <c r="T118" s="32" t="n">
        <f>17207</f>
        <v>17207.0</v>
      </c>
      <c r="U118" s="32" t="n">
        <f>3678</f>
        <v>3678.0</v>
      </c>
      <c r="V118" s="32" t="n">
        <f>882179827</f>
        <v>8.82179827E8</v>
      </c>
      <c r="W118" s="32" t="n">
        <f>188049787</f>
        <v>1.88049787E8</v>
      </c>
      <c r="X118" s="36" t="n">
        <f>19</f>
        <v>19.0</v>
      </c>
    </row>
    <row r="119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42850</f>
        <v>42850.0</v>
      </c>
      <c r="L119" s="34" t="s">
        <v>48</v>
      </c>
      <c r="M119" s="33" t="n">
        <f>43320</f>
        <v>43320.0</v>
      </c>
      <c r="N119" s="34" t="s">
        <v>69</v>
      </c>
      <c r="O119" s="33" t="n">
        <f>40250</f>
        <v>40250.0</v>
      </c>
      <c r="P119" s="34" t="s">
        <v>70</v>
      </c>
      <c r="Q119" s="33" t="n">
        <f>40560</f>
        <v>40560.0</v>
      </c>
      <c r="R119" s="34" t="s">
        <v>50</v>
      </c>
      <c r="S119" s="35" t="n">
        <f>41984.74</f>
        <v>41984.74</v>
      </c>
      <c r="T119" s="32" t="n">
        <f>5213</f>
        <v>5213.0</v>
      </c>
      <c r="U119" s="32" t="n">
        <f>335</f>
        <v>335.0</v>
      </c>
      <c r="V119" s="32" t="n">
        <f>217899234</f>
        <v>2.17899234E8</v>
      </c>
      <c r="W119" s="32" t="n">
        <f>14116744</f>
        <v>1.4116744E7</v>
      </c>
      <c r="X119" s="36" t="n">
        <f>19</f>
        <v>19.0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11510</f>
        <v>11510.0</v>
      </c>
      <c r="L120" s="34" t="s">
        <v>48</v>
      </c>
      <c r="M120" s="33" t="n">
        <f>11970</f>
        <v>11970.0</v>
      </c>
      <c r="N120" s="34" t="s">
        <v>155</v>
      </c>
      <c r="O120" s="33" t="n">
        <f>11160</f>
        <v>11160.0</v>
      </c>
      <c r="P120" s="34" t="s">
        <v>70</v>
      </c>
      <c r="Q120" s="33" t="n">
        <f>11600</f>
        <v>11600.0</v>
      </c>
      <c r="R120" s="34" t="s">
        <v>50</v>
      </c>
      <c r="S120" s="35" t="n">
        <f>11603.42</f>
        <v>11603.42</v>
      </c>
      <c r="T120" s="32" t="n">
        <f>126822</f>
        <v>126822.0</v>
      </c>
      <c r="U120" s="32" t="n">
        <f>49658</f>
        <v>49658.0</v>
      </c>
      <c r="V120" s="32" t="n">
        <f>1470977579</f>
        <v>1.470977579E9</v>
      </c>
      <c r="W120" s="32" t="n">
        <f>577355109</f>
        <v>5.77355109E8</v>
      </c>
      <c r="X120" s="36" t="n">
        <f>19</f>
        <v>19.0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21100</f>
        <v>21100.0</v>
      </c>
      <c r="L121" s="34" t="s">
        <v>48</v>
      </c>
      <c r="M121" s="33" t="n">
        <f>21515</f>
        <v>21515.0</v>
      </c>
      <c r="N121" s="34" t="s">
        <v>60</v>
      </c>
      <c r="O121" s="33" t="n">
        <f>20470</f>
        <v>20470.0</v>
      </c>
      <c r="P121" s="34" t="s">
        <v>70</v>
      </c>
      <c r="Q121" s="33" t="n">
        <f>20935</f>
        <v>20935.0</v>
      </c>
      <c r="R121" s="34" t="s">
        <v>50</v>
      </c>
      <c r="S121" s="35" t="n">
        <f>21133.95</f>
        <v>21133.95</v>
      </c>
      <c r="T121" s="32" t="n">
        <f>8305</f>
        <v>8305.0</v>
      </c>
      <c r="U121" s="32" t="n">
        <f>145</f>
        <v>145.0</v>
      </c>
      <c r="V121" s="32" t="n">
        <f>174400339</f>
        <v>1.74400339E8</v>
      </c>
      <c r="W121" s="32" t="n">
        <f>3045054</f>
        <v>3045054.0</v>
      </c>
      <c r="X121" s="36" t="n">
        <f>19</f>
        <v>19.0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116250</f>
        <v>116250.0</v>
      </c>
      <c r="L122" s="34" t="s">
        <v>48</v>
      </c>
      <c r="M122" s="33" t="n">
        <f>127600</f>
        <v>127600.0</v>
      </c>
      <c r="N122" s="34" t="s">
        <v>49</v>
      </c>
      <c r="O122" s="33" t="n">
        <f>115250</f>
        <v>115250.0</v>
      </c>
      <c r="P122" s="34" t="s">
        <v>48</v>
      </c>
      <c r="Q122" s="33" t="n">
        <f>124250</f>
        <v>124250.0</v>
      </c>
      <c r="R122" s="34" t="s">
        <v>50</v>
      </c>
      <c r="S122" s="35" t="n">
        <f>122789.47</f>
        <v>122789.47</v>
      </c>
      <c r="T122" s="32" t="n">
        <f>53829</f>
        <v>53829.0</v>
      </c>
      <c r="U122" s="32" t="n">
        <f>19871</f>
        <v>19871.0</v>
      </c>
      <c r="V122" s="32" t="n">
        <f>6625144116</f>
        <v>6.625144116E9</v>
      </c>
      <c r="W122" s="32" t="n">
        <f>2469073316</f>
        <v>2.469073316E9</v>
      </c>
      <c r="X122" s="36" t="n">
        <f>19</f>
        <v>19.0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415</v>
      </c>
      <c r="J123" s="32" t="n">
        <v>1.0</v>
      </c>
      <c r="K123" s="33" t="n">
        <f>13190</f>
        <v>13190.0</v>
      </c>
      <c r="L123" s="34" t="s">
        <v>48</v>
      </c>
      <c r="M123" s="33" t="n">
        <f>14250</f>
        <v>14250.0</v>
      </c>
      <c r="N123" s="34" t="s">
        <v>65</v>
      </c>
      <c r="O123" s="33" t="n">
        <f>13190</f>
        <v>13190.0</v>
      </c>
      <c r="P123" s="34" t="s">
        <v>48</v>
      </c>
      <c r="Q123" s="33" t="n">
        <f>13710</f>
        <v>13710.0</v>
      </c>
      <c r="R123" s="34" t="s">
        <v>50</v>
      </c>
      <c r="S123" s="35" t="n">
        <f>13803.68</f>
        <v>13803.68</v>
      </c>
      <c r="T123" s="32" t="n">
        <f>14717</f>
        <v>14717.0</v>
      </c>
      <c r="U123" s="32" t="str">
        <f>"－"</f>
        <v>－</v>
      </c>
      <c r="V123" s="32" t="n">
        <f>203966645</f>
        <v>2.03966645E8</v>
      </c>
      <c r="W123" s="32" t="str">
        <f>"－"</f>
        <v>－</v>
      </c>
      <c r="X123" s="36" t="n">
        <f>19</f>
        <v>19.0</v>
      </c>
    </row>
    <row r="1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37300</f>
        <v>37300.0</v>
      </c>
      <c r="L124" s="34" t="s">
        <v>48</v>
      </c>
      <c r="M124" s="33" t="n">
        <f>38660</f>
        <v>38660.0</v>
      </c>
      <c r="N124" s="34" t="s">
        <v>202</v>
      </c>
      <c r="O124" s="33" t="n">
        <f>35550</f>
        <v>35550.0</v>
      </c>
      <c r="P124" s="34" t="s">
        <v>70</v>
      </c>
      <c r="Q124" s="33" t="n">
        <f>36170</f>
        <v>36170.0</v>
      </c>
      <c r="R124" s="34" t="s">
        <v>50</v>
      </c>
      <c r="S124" s="35" t="n">
        <f>37192.63</f>
        <v>37192.63</v>
      </c>
      <c r="T124" s="32" t="n">
        <f>38153</f>
        <v>38153.0</v>
      </c>
      <c r="U124" s="32" t="n">
        <f>31237</f>
        <v>31237.0</v>
      </c>
      <c r="V124" s="32" t="n">
        <f>1415386888</f>
        <v>1.415386888E9</v>
      </c>
      <c r="W124" s="32" t="n">
        <f>1157722928</f>
        <v>1.157722928E9</v>
      </c>
      <c r="X124" s="36" t="n">
        <f>19</f>
        <v>19.0</v>
      </c>
    </row>
    <row r="125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28515</f>
        <v>28515.0</v>
      </c>
      <c r="L125" s="34" t="s">
        <v>48</v>
      </c>
      <c r="M125" s="33" t="n">
        <f>34250</f>
        <v>34250.0</v>
      </c>
      <c r="N125" s="34" t="s">
        <v>65</v>
      </c>
      <c r="O125" s="33" t="n">
        <f>28515</f>
        <v>28515.0</v>
      </c>
      <c r="P125" s="34" t="s">
        <v>48</v>
      </c>
      <c r="Q125" s="33" t="n">
        <f>31960</f>
        <v>31960.0</v>
      </c>
      <c r="R125" s="34" t="s">
        <v>50</v>
      </c>
      <c r="S125" s="35" t="n">
        <f>31362.11</f>
        <v>31362.11</v>
      </c>
      <c r="T125" s="32" t="n">
        <f>110984</f>
        <v>110984.0</v>
      </c>
      <c r="U125" s="32" t="n">
        <f>35506</f>
        <v>35506.0</v>
      </c>
      <c r="V125" s="32" t="n">
        <f>3468378309</f>
        <v>3.468378309E9</v>
      </c>
      <c r="W125" s="32" t="n">
        <f>1117213774</f>
        <v>1.117213774E9</v>
      </c>
      <c r="X125" s="36" t="n">
        <f>19</f>
        <v>19.0</v>
      </c>
    </row>
    <row r="126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34700</f>
        <v>34700.0</v>
      </c>
      <c r="L126" s="34" t="s">
        <v>48</v>
      </c>
      <c r="M126" s="33" t="n">
        <f>36680</f>
        <v>36680.0</v>
      </c>
      <c r="N126" s="34" t="s">
        <v>49</v>
      </c>
      <c r="O126" s="33" t="n">
        <f>33810</f>
        <v>33810.0</v>
      </c>
      <c r="P126" s="34" t="s">
        <v>70</v>
      </c>
      <c r="Q126" s="33" t="n">
        <f>34850</f>
        <v>34850.0</v>
      </c>
      <c r="R126" s="34" t="s">
        <v>50</v>
      </c>
      <c r="S126" s="35" t="n">
        <f>35367.89</f>
        <v>35367.89</v>
      </c>
      <c r="T126" s="32" t="n">
        <f>15443</f>
        <v>15443.0</v>
      </c>
      <c r="U126" s="32" t="n">
        <f>3233</f>
        <v>3233.0</v>
      </c>
      <c r="V126" s="32" t="n">
        <f>547420035</f>
        <v>5.47420035E8</v>
      </c>
      <c r="W126" s="32" t="n">
        <f>114534505</f>
        <v>1.14534505E8</v>
      </c>
      <c r="X126" s="36" t="n">
        <f>19</f>
        <v>19.0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53080</f>
        <v>53080.0</v>
      </c>
      <c r="L127" s="34" t="s">
        <v>48</v>
      </c>
      <c r="M127" s="33" t="n">
        <f>56480</f>
        <v>56480.0</v>
      </c>
      <c r="N127" s="34" t="s">
        <v>74</v>
      </c>
      <c r="O127" s="33" t="n">
        <f>51800</f>
        <v>51800.0</v>
      </c>
      <c r="P127" s="34" t="s">
        <v>70</v>
      </c>
      <c r="Q127" s="33" t="n">
        <f>54360</f>
        <v>54360.0</v>
      </c>
      <c r="R127" s="34" t="s">
        <v>50</v>
      </c>
      <c r="S127" s="35" t="n">
        <f>54480</f>
        <v>54480.0</v>
      </c>
      <c r="T127" s="32" t="n">
        <f>6859</f>
        <v>6859.0</v>
      </c>
      <c r="U127" s="32" t="n">
        <f>85</f>
        <v>85.0</v>
      </c>
      <c r="V127" s="32" t="n">
        <f>370205137</f>
        <v>3.70205137E8</v>
      </c>
      <c r="W127" s="32" t="n">
        <f>4570447</f>
        <v>4570447.0</v>
      </c>
      <c r="X127" s="36" t="n">
        <f>19</f>
        <v>19.0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415</v>
      </c>
      <c r="J128" s="32" t="n">
        <v>1.0</v>
      </c>
      <c r="K128" s="33" t="n">
        <f>12730</f>
        <v>12730.0</v>
      </c>
      <c r="L128" s="34" t="s">
        <v>48</v>
      </c>
      <c r="M128" s="33" t="n">
        <f>15280</f>
        <v>15280.0</v>
      </c>
      <c r="N128" s="34" t="s">
        <v>70</v>
      </c>
      <c r="O128" s="33" t="n">
        <f>12730</f>
        <v>12730.0</v>
      </c>
      <c r="P128" s="34" t="s">
        <v>48</v>
      </c>
      <c r="Q128" s="33" t="n">
        <f>14475</f>
        <v>14475.0</v>
      </c>
      <c r="R128" s="34" t="s">
        <v>50</v>
      </c>
      <c r="S128" s="35" t="n">
        <f>13975.26</f>
        <v>13975.26</v>
      </c>
      <c r="T128" s="32" t="n">
        <f>130337</f>
        <v>130337.0</v>
      </c>
      <c r="U128" s="32" t="str">
        <f>"－"</f>
        <v>－</v>
      </c>
      <c r="V128" s="32" t="n">
        <f>1822788760</f>
        <v>1.82278876E9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2679</f>
        <v>2679.0</v>
      </c>
      <c r="L129" s="34" t="s">
        <v>48</v>
      </c>
      <c r="M129" s="33" t="n">
        <f>2917</f>
        <v>2917.0</v>
      </c>
      <c r="N129" s="34" t="s">
        <v>49</v>
      </c>
      <c r="O129" s="33" t="n">
        <f>2661</f>
        <v>2661.0</v>
      </c>
      <c r="P129" s="34" t="s">
        <v>48</v>
      </c>
      <c r="Q129" s="33" t="n">
        <f>2822</f>
        <v>2822.0</v>
      </c>
      <c r="R129" s="34" t="s">
        <v>50</v>
      </c>
      <c r="S129" s="35" t="n">
        <f>2805.58</f>
        <v>2805.58</v>
      </c>
      <c r="T129" s="32" t="n">
        <f>3477574</f>
        <v>3477574.0</v>
      </c>
      <c r="U129" s="32" t="n">
        <f>2295887</f>
        <v>2295887.0</v>
      </c>
      <c r="V129" s="32" t="n">
        <f>9792922939</f>
        <v>9.792922939E9</v>
      </c>
      <c r="W129" s="32" t="n">
        <f>6481732225</f>
        <v>6.481732225E9</v>
      </c>
      <c r="X129" s="36" t="n">
        <f>19</f>
        <v>19.0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4177</f>
        <v>4177.0</v>
      </c>
      <c r="L130" s="34" t="s">
        <v>69</v>
      </c>
      <c r="M130" s="33" t="n">
        <f>4727</f>
        <v>4727.0</v>
      </c>
      <c r="N130" s="34" t="s">
        <v>60</v>
      </c>
      <c r="O130" s="33" t="n">
        <f>4138</f>
        <v>4138.0</v>
      </c>
      <c r="P130" s="34" t="s">
        <v>75</v>
      </c>
      <c r="Q130" s="33" t="n">
        <f>4206</f>
        <v>4206.0</v>
      </c>
      <c r="R130" s="34" t="s">
        <v>70</v>
      </c>
      <c r="S130" s="35" t="n">
        <f>4239.8</f>
        <v>4239.8</v>
      </c>
      <c r="T130" s="32" t="n">
        <f>7120</f>
        <v>7120.0</v>
      </c>
      <c r="U130" s="32" t="str">
        <f>"－"</f>
        <v>－</v>
      </c>
      <c r="V130" s="32" t="n">
        <f>30066050</f>
        <v>3.006605E7</v>
      </c>
      <c r="W130" s="32" t="str">
        <f>"－"</f>
        <v>－</v>
      </c>
      <c r="X130" s="36" t="n">
        <f>15</f>
        <v>15.0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4553</f>
        <v>4553.0</v>
      </c>
      <c r="L131" s="34" t="s">
        <v>48</v>
      </c>
      <c r="M131" s="33" t="n">
        <f>4782</f>
        <v>4782.0</v>
      </c>
      <c r="N131" s="34" t="s">
        <v>155</v>
      </c>
      <c r="O131" s="33" t="n">
        <f>4530</f>
        <v>4530.0</v>
      </c>
      <c r="P131" s="34" t="s">
        <v>70</v>
      </c>
      <c r="Q131" s="33" t="n">
        <f>4610</f>
        <v>4610.0</v>
      </c>
      <c r="R131" s="34" t="s">
        <v>50</v>
      </c>
      <c r="S131" s="35" t="n">
        <f>4659.74</f>
        <v>4659.74</v>
      </c>
      <c r="T131" s="32" t="n">
        <f>357770</f>
        <v>357770.0</v>
      </c>
      <c r="U131" s="32" t="n">
        <f>229390</f>
        <v>229390.0</v>
      </c>
      <c r="V131" s="32" t="n">
        <f>1668409813</f>
        <v>1.668409813E9</v>
      </c>
      <c r="W131" s="32" t="n">
        <f>1073240163</f>
        <v>1.073240163E9</v>
      </c>
      <c r="X131" s="36" t="n">
        <f>19</f>
        <v>19.0</v>
      </c>
    </row>
    <row r="132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2853</f>
        <v>2853.0</v>
      </c>
      <c r="L132" s="34" t="s">
        <v>48</v>
      </c>
      <c r="M132" s="33" t="n">
        <f>2987.5</f>
        <v>2987.5</v>
      </c>
      <c r="N132" s="34" t="s">
        <v>49</v>
      </c>
      <c r="O132" s="33" t="n">
        <f>2853</f>
        <v>2853.0</v>
      </c>
      <c r="P132" s="34" t="s">
        <v>48</v>
      </c>
      <c r="Q132" s="33" t="n">
        <f>2904.5</f>
        <v>2904.5</v>
      </c>
      <c r="R132" s="34" t="s">
        <v>50</v>
      </c>
      <c r="S132" s="35" t="n">
        <f>2937.75</f>
        <v>2937.75</v>
      </c>
      <c r="T132" s="32" t="n">
        <f>361670</f>
        <v>361670.0</v>
      </c>
      <c r="U132" s="32" t="n">
        <f>349000</f>
        <v>349000.0</v>
      </c>
      <c r="V132" s="32" t="n">
        <f>1058354345</f>
        <v>1.058354345E9</v>
      </c>
      <c r="W132" s="32" t="n">
        <f>1021509350</f>
        <v>1.02150935E9</v>
      </c>
      <c r="X132" s="36" t="n">
        <f>14</f>
        <v>14.0</v>
      </c>
    </row>
    <row r="133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778.4</f>
        <v>778.4</v>
      </c>
      <c r="L133" s="34" t="s">
        <v>48</v>
      </c>
      <c r="M133" s="33" t="n">
        <f>801.7</f>
        <v>801.7</v>
      </c>
      <c r="N133" s="34" t="s">
        <v>74</v>
      </c>
      <c r="O133" s="33" t="n">
        <f>766.3</f>
        <v>766.3</v>
      </c>
      <c r="P133" s="34" t="s">
        <v>273</v>
      </c>
      <c r="Q133" s="33" t="n">
        <f>769.5</f>
        <v>769.5</v>
      </c>
      <c r="R133" s="34" t="s">
        <v>50</v>
      </c>
      <c r="S133" s="35" t="n">
        <f>784.35</f>
        <v>784.35</v>
      </c>
      <c r="T133" s="32" t="n">
        <f>44818600</f>
        <v>4.48186E7</v>
      </c>
      <c r="U133" s="32" t="n">
        <f>5286920</f>
        <v>5286920.0</v>
      </c>
      <c r="V133" s="32" t="n">
        <f>35047243157</f>
        <v>3.5047243157E10</v>
      </c>
      <c r="W133" s="32" t="n">
        <f>4123983219</f>
        <v>4.123983219E9</v>
      </c>
      <c r="X133" s="36" t="n">
        <f>19</f>
        <v>19.0</v>
      </c>
    </row>
    <row r="13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318.2</f>
        <v>318.2</v>
      </c>
      <c r="L134" s="34" t="s">
        <v>48</v>
      </c>
      <c r="M134" s="33" t="n">
        <f>320.4</f>
        <v>320.4</v>
      </c>
      <c r="N134" s="34" t="s">
        <v>74</v>
      </c>
      <c r="O134" s="33" t="n">
        <f>305.5</f>
        <v>305.5</v>
      </c>
      <c r="P134" s="34" t="s">
        <v>61</v>
      </c>
      <c r="Q134" s="33" t="n">
        <f>307.8</f>
        <v>307.8</v>
      </c>
      <c r="R134" s="34" t="s">
        <v>50</v>
      </c>
      <c r="S134" s="35" t="n">
        <f>315.14</f>
        <v>315.14</v>
      </c>
      <c r="T134" s="32" t="n">
        <f>5665220</f>
        <v>5665220.0</v>
      </c>
      <c r="U134" s="32" t="n">
        <f>2885180</f>
        <v>2885180.0</v>
      </c>
      <c r="V134" s="32" t="n">
        <f>1780632912</f>
        <v>1.780632912E9</v>
      </c>
      <c r="W134" s="32" t="n">
        <f>909618739</f>
        <v>9.09618739E8</v>
      </c>
      <c r="X134" s="36" t="n">
        <f>19</f>
        <v>19.0</v>
      </c>
    </row>
    <row r="135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6526</f>
        <v>6526.0</v>
      </c>
      <c r="L135" s="34" t="s">
        <v>48</v>
      </c>
      <c r="M135" s="33" t="n">
        <f>6714</f>
        <v>6714.0</v>
      </c>
      <c r="N135" s="34" t="s">
        <v>74</v>
      </c>
      <c r="O135" s="33" t="n">
        <f>6467</f>
        <v>6467.0</v>
      </c>
      <c r="P135" s="34" t="s">
        <v>273</v>
      </c>
      <c r="Q135" s="33" t="n">
        <f>6491</f>
        <v>6491.0</v>
      </c>
      <c r="R135" s="34" t="s">
        <v>50</v>
      </c>
      <c r="S135" s="35" t="n">
        <f>6585.63</f>
        <v>6585.63</v>
      </c>
      <c r="T135" s="32" t="n">
        <f>88536</f>
        <v>88536.0</v>
      </c>
      <c r="U135" s="32" t="n">
        <f>3100</f>
        <v>3100.0</v>
      </c>
      <c r="V135" s="32" t="n">
        <f>584404191</f>
        <v>5.84404191E8</v>
      </c>
      <c r="W135" s="32" t="n">
        <f>20714510</f>
        <v>2.071451E7</v>
      </c>
      <c r="X135" s="36" t="n">
        <f>19</f>
        <v>19.0</v>
      </c>
    </row>
    <row r="136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3676</f>
        <v>3676.0</v>
      </c>
      <c r="L136" s="34" t="s">
        <v>48</v>
      </c>
      <c r="M136" s="33" t="n">
        <f>3949</f>
        <v>3949.0</v>
      </c>
      <c r="N136" s="34" t="s">
        <v>70</v>
      </c>
      <c r="O136" s="33" t="n">
        <f>3670</f>
        <v>3670.0</v>
      </c>
      <c r="P136" s="34" t="s">
        <v>48</v>
      </c>
      <c r="Q136" s="33" t="n">
        <f>3890</f>
        <v>3890.0</v>
      </c>
      <c r="R136" s="34" t="s">
        <v>50</v>
      </c>
      <c r="S136" s="35" t="n">
        <f>3832.79</f>
        <v>3832.79</v>
      </c>
      <c r="T136" s="32" t="n">
        <f>183303</f>
        <v>183303.0</v>
      </c>
      <c r="U136" s="32" t="n">
        <f>12337</f>
        <v>12337.0</v>
      </c>
      <c r="V136" s="32" t="n">
        <f>701229781</f>
        <v>7.01229781E8</v>
      </c>
      <c r="W136" s="32" t="n">
        <f>47231185</f>
        <v>4.7231185E7</v>
      </c>
      <c r="X136" s="36" t="n">
        <f>19</f>
        <v>19.0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3350</f>
        <v>3350.0</v>
      </c>
      <c r="L137" s="34" t="s">
        <v>48</v>
      </c>
      <c r="M137" s="33" t="n">
        <f>3530</f>
        <v>3530.0</v>
      </c>
      <c r="N137" s="34" t="s">
        <v>202</v>
      </c>
      <c r="O137" s="33" t="n">
        <f>3280</f>
        <v>3280.0</v>
      </c>
      <c r="P137" s="34" t="s">
        <v>70</v>
      </c>
      <c r="Q137" s="33" t="n">
        <f>3351</f>
        <v>3351.0</v>
      </c>
      <c r="R137" s="34" t="s">
        <v>50</v>
      </c>
      <c r="S137" s="35" t="n">
        <f>3411.95</f>
        <v>3411.95</v>
      </c>
      <c r="T137" s="32" t="n">
        <f>179620</f>
        <v>179620.0</v>
      </c>
      <c r="U137" s="32" t="str">
        <f>"－"</f>
        <v>－</v>
      </c>
      <c r="V137" s="32" t="n">
        <f>608244170</f>
        <v>6.0824417E8</v>
      </c>
      <c r="W137" s="32" t="str">
        <f>"－"</f>
        <v>－</v>
      </c>
      <c r="X137" s="36" t="n">
        <f>19</f>
        <v>19.0</v>
      </c>
    </row>
    <row r="138">
      <c r="A138" s="27" t="s">
        <v>42</v>
      </c>
      <c r="B138" s="27" t="s">
        <v>458</v>
      </c>
      <c r="C138" s="27" t="s">
        <v>459</v>
      </c>
      <c r="D138" s="27" t="s">
        <v>460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11990</f>
        <v>11990.0</v>
      </c>
      <c r="L138" s="34" t="s">
        <v>48</v>
      </c>
      <c r="M138" s="33" t="n">
        <f>12100</f>
        <v>12100.0</v>
      </c>
      <c r="N138" s="34" t="s">
        <v>103</v>
      </c>
      <c r="O138" s="33" t="n">
        <f>11430</f>
        <v>11430.0</v>
      </c>
      <c r="P138" s="34" t="s">
        <v>70</v>
      </c>
      <c r="Q138" s="33" t="n">
        <f>11590</f>
        <v>11590.0</v>
      </c>
      <c r="R138" s="34" t="s">
        <v>50</v>
      </c>
      <c r="S138" s="35" t="n">
        <f>11831.58</f>
        <v>11831.58</v>
      </c>
      <c r="T138" s="32" t="n">
        <f>522403</f>
        <v>522403.0</v>
      </c>
      <c r="U138" s="32" t="n">
        <f>381372</f>
        <v>381372.0</v>
      </c>
      <c r="V138" s="32" t="n">
        <f>6184885066</f>
        <v>6.184885066E9</v>
      </c>
      <c r="W138" s="32" t="n">
        <f>4520302401</f>
        <v>4.520302401E9</v>
      </c>
      <c r="X138" s="36" t="n">
        <f>19</f>
        <v>19.0</v>
      </c>
    </row>
    <row r="139">
      <c r="A139" s="27" t="s">
        <v>42</v>
      </c>
      <c r="B139" s="27" t="s">
        <v>461</v>
      </c>
      <c r="C139" s="27" t="s">
        <v>462</v>
      </c>
      <c r="D139" s="27" t="s">
        <v>463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2967</f>
        <v>2967.0</v>
      </c>
      <c r="L139" s="34" t="s">
        <v>48</v>
      </c>
      <c r="M139" s="33" t="n">
        <f>3326</f>
        <v>3326.0</v>
      </c>
      <c r="N139" s="34" t="s">
        <v>50</v>
      </c>
      <c r="O139" s="33" t="n">
        <f>2886</f>
        <v>2886.0</v>
      </c>
      <c r="P139" s="34" t="s">
        <v>195</v>
      </c>
      <c r="Q139" s="33" t="n">
        <f>3271</f>
        <v>3271.0</v>
      </c>
      <c r="R139" s="34" t="s">
        <v>50</v>
      </c>
      <c r="S139" s="35" t="n">
        <f>3103.89</f>
        <v>3103.89</v>
      </c>
      <c r="T139" s="32" t="n">
        <f>5707197</f>
        <v>5707197.0</v>
      </c>
      <c r="U139" s="32" t="n">
        <f>41405</f>
        <v>41405.0</v>
      </c>
      <c r="V139" s="32" t="n">
        <f>17709128670</f>
        <v>1.770912867E10</v>
      </c>
      <c r="W139" s="32" t="n">
        <f>127082932</f>
        <v>1.27082932E8</v>
      </c>
      <c r="X139" s="36" t="n">
        <f>19</f>
        <v>19.0</v>
      </c>
    </row>
    <row r="140">
      <c r="A140" s="27" t="s">
        <v>42</v>
      </c>
      <c r="B140" s="27" t="s">
        <v>464</v>
      </c>
      <c r="C140" s="27" t="s">
        <v>465</v>
      </c>
      <c r="D140" s="27" t="s">
        <v>466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64460</f>
        <v>64460.0</v>
      </c>
      <c r="L140" s="34" t="s">
        <v>48</v>
      </c>
      <c r="M140" s="33" t="n">
        <f>79860</f>
        <v>79860.0</v>
      </c>
      <c r="N140" s="34" t="s">
        <v>70</v>
      </c>
      <c r="O140" s="33" t="n">
        <f>64070</f>
        <v>64070.0</v>
      </c>
      <c r="P140" s="34" t="s">
        <v>48</v>
      </c>
      <c r="Q140" s="33" t="n">
        <f>74200</f>
        <v>74200.0</v>
      </c>
      <c r="R140" s="34" t="s">
        <v>50</v>
      </c>
      <c r="S140" s="35" t="n">
        <f>69708.42</f>
        <v>69708.42</v>
      </c>
      <c r="T140" s="32" t="n">
        <f>43943</f>
        <v>43943.0</v>
      </c>
      <c r="U140" s="32" t="str">
        <f>"－"</f>
        <v>－</v>
      </c>
      <c r="V140" s="32" t="n">
        <f>3165855530</f>
        <v>3.16585553E9</v>
      </c>
      <c r="W140" s="32" t="str">
        <f>"－"</f>
        <v>－</v>
      </c>
      <c r="X140" s="36" t="n">
        <f>19</f>
        <v>19.0</v>
      </c>
    </row>
    <row r="141">
      <c r="A141" s="27" t="s">
        <v>42</v>
      </c>
      <c r="B141" s="27" t="s">
        <v>467</v>
      </c>
      <c r="C141" s="27" t="s">
        <v>468</v>
      </c>
      <c r="D141" s="27" t="s">
        <v>469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10565</f>
        <v>10565.0</v>
      </c>
      <c r="L141" s="34" t="s">
        <v>48</v>
      </c>
      <c r="M141" s="33" t="n">
        <f>17895</f>
        <v>17895.0</v>
      </c>
      <c r="N141" s="34" t="s">
        <v>223</v>
      </c>
      <c r="O141" s="33" t="n">
        <f>10565</f>
        <v>10565.0</v>
      </c>
      <c r="P141" s="34" t="s">
        <v>48</v>
      </c>
      <c r="Q141" s="33" t="n">
        <f>15375</f>
        <v>15375.0</v>
      </c>
      <c r="R141" s="34" t="s">
        <v>50</v>
      </c>
      <c r="S141" s="35" t="n">
        <f>13500.26</f>
        <v>13500.26</v>
      </c>
      <c r="T141" s="32" t="n">
        <f>1792240</f>
        <v>1792240.0</v>
      </c>
      <c r="U141" s="32" t="str">
        <f>"－"</f>
        <v>－</v>
      </c>
      <c r="V141" s="32" t="n">
        <f>25422542750</f>
        <v>2.542254275E10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470</v>
      </c>
      <c r="C142" s="27" t="s">
        <v>471</v>
      </c>
      <c r="D142" s="27" t="s">
        <v>472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32000</f>
        <v>32000.0</v>
      </c>
      <c r="L142" s="34" t="s">
        <v>48</v>
      </c>
      <c r="M142" s="33" t="n">
        <f>41210</f>
        <v>41210.0</v>
      </c>
      <c r="N142" s="34" t="s">
        <v>273</v>
      </c>
      <c r="O142" s="33" t="n">
        <f>30890</f>
        <v>30890.0</v>
      </c>
      <c r="P142" s="34" t="s">
        <v>48</v>
      </c>
      <c r="Q142" s="33" t="n">
        <f>35450</f>
        <v>35450.0</v>
      </c>
      <c r="R142" s="34" t="s">
        <v>50</v>
      </c>
      <c r="S142" s="35" t="n">
        <f>35059.47</f>
        <v>35059.47</v>
      </c>
      <c r="T142" s="32" t="n">
        <f>225426</f>
        <v>225426.0</v>
      </c>
      <c r="U142" s="32" t="str">
        <f>"－"</f>
        <v>－</v>
      </c>
      <c r="V142" s="32" t="n">
        <f>8072078170</f>
        <v>8.07207817E9</v>
      </c>
      <c r="W142" s="32" t="str">
        <f>"－"</f>
        <v>－</v>
      </c>
      <c r="X142" s="36" t="n">
        <f>19</f>
        <v>19.0</v>
      </c>
    </row>
    <row r="143">
      <c r="A143" s="27" t="s">
        <v>42</v>
      </c>
      <c r="B143" s="27" t="s">
        <v>473</v>
      </c>
      <c r="C143" s="27" t="s">
        <v>474</v>
      </c>
      <c r="D143" s="27" t="s">
        <v>475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24315</f>
        <v>24315.0</v>
      </c>
      <c r="L143" s="34" t="s">
        <v>48</v>
      </c>
      <c r="M143" s="33" t="n">
        <f>29635</f>
        <v>29635.0</v>
      </c>
      <c r="N143" s="34" t="s">
        <v>70</v>
      </c>
      <c r="O143" s="33" t="n">
        <f>23405</f>
        <v>23405.0</v>
      </c>
      <c r="P143" s="34" t="s">
        <v>48</v>
      </c>
      <c r="Q143" s="33" t="n">
        <f>26835</f>
        <v>26835.0</v>
      </c>
      <c r="R143" s="34" t="s">
        <v>50</v>
      </c>
      <c r="S143" s="35" t="n">
        <f>26498.42</f>
        <v>26498.42</v>
      </c>
      <c r="T143" s="32" t="n">
        <f>49449</f>
        <v>49449.0</v>
      </c>
      <c r="U143" s="32" t="str">
        <f>"－"</f>
        <v>－</v>
      </c>
      <c r="V143" s="32" t="n">
        <f>1322111665</f>
        <v>1.322111665E9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476</v>
      </c>
      <c r="C144" s="27" t="s">
        <v>477</v>
      </c>
      <c r="D144" s="27" t="s">
        <v>478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46580</f>
        <v>46580.0</v>
      </c>
      <c r="L144" s="34" t="s">
        <v>48</v>
      </c>
      <c r="M144" s="33" t="n">
        <f>64500</f>
        <v>64500.0</v>
      </c>
      <c r="N144" s="34" t="s">
        <v>273</v>
      </c>
      <c r="O144" s="33" t="n">
        <f>46580</f>
        <v>46580.0</v>
      </c>
      <c r="P144" s="34" t="s">
        <v>48</v>
      </c>
      <c r="Q144" s="33" t="n">
        <f>57060</f>
        <v>57060.0</v>
      </c>
      <c r="R144" s="34" t="s">
        <v>50</v>
      </c>
      <c r="S144" s="35" t="n">
        <f>53507.89</f>
        <v>53507.89</v>
      </c>
      <c r="T144" s="32" t="n">
        <f>19570</f>
        <v>19570.0</v>
      </c>
      <c r="U144" s="32" t="str">
        <f>"－"</f>
        <v>－</v>
      </c>
      <c r="V144" s="32" t="n">
        <f>1084026820</f>
        <v>1.08402682E9</v>
      </c>
      <c r="W144" s="32" t="str">
        <f>"－"</f>
        <v>－</v>
      </c>
      <c r="X144" s="36" t="n">
        <f>19</f>
        <v>19.0</v>
      </c>
    </row>
    <row r="145">
      <c r="A145" s="27" t="s">
        <v>42</v>
      </c>
      <c r="B145" s="27" t="s">
        <v>479</v>
      </c>
      <c r="C145" s="27" t="s">
        <v>480</v>
      </c>
      <c r="D145" s="27" t="s">
        <v>481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59970</f>
        <v>59970.0</v>
      </c>
      <c r="L145" s="34" t="s">
        <v>48</v>
      </c>
      <c r="M145" s="33" t="n">
        <f>60950</f>
        <v>60950.0</v>
      </c>
      <c r="N145" s="34" t="s">
        <v>155</v>
      </c>
      <c r="O145" s="33" t="n">
        <f>59090</f>
        <v>59090.0</v>
      </c>
      <c r="P145" s="34" t="s">
        <v>61</v>
      </c>
      <c r="Q145" s="33" t="n">
        <f>59510</f>
        <v>59510.0</v>
      </c>
      <c r="R145" s="34" t="s">
        <v>50</v>
      </c>
      <c r="S145" s="35" t="n">
        <f>60184.21</f>
        <v>60184.21</v>
      </c>
      <c r="T145" s="32" t="n">
        <f>7340</f>
        <v>7340.0</v>
      </c>
      <c r="U145" s="32" t="n">
        <f>4530</f>
        <v>4530.0</v>
      </c>
      <c r="V145" s="32" t="n">
        <f>443195552</f>
        <v>4.43195552E8</v>
      </c>
      <c r="W145" s="32" t="n">
        <f>274213252</f>
        <v>2.74213252E8</v>
      </c>
      <c r="X145" s="36" t="n">
        <f>19</f>
        <v>19.0</v>
      </c>
    </row>
    <row r="146">
      <c r="A146" s="27" t="s">
        <v>42</v>
      </c>
      <c r="B146" s="27" t="s">
        <v>482</v>
      </c>
      <c r="C146" s="27" t="s">
        <v>483</v>
      </c>
      <c r="D146" s="27" t="s">
        <v>484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357.5</f>
        <v>357.5</v>
      </c>
      <c r="L146" s="34" t="s">
        <v>48</v>
      </c>
      <c r="M146" s="33" t="n">
        <f>363.9</f>
        <v>363.9</v>
      </c>
      <c r="N146" s="34" t="s">
        <v>48</v>
      </c>
      <c r="O146" s="33" t="n">
        <f>331.8</f>
        <v>331.8</v>
      </c>
      <c r="P146" s="34" t="s">
        <v>70</v>
      </c>
      <c r="Q146" s="33" t="n">
        <f>334.6</f>
        <v>334.6</v>
      </c>
      <c r="R146" s="34" t="s">
        <v>50</v>
      </c>
      <c r="S146" s="35" t="n">
        <f>348.47</f>
        <v>348.47</v>
      </c>
      <c r="T146" s="32" t="n">
        <f>21774170</f>
        <v>2.177417E7</v>
      </c>
      <c r="U146" s="32" t="n">
        <f>449680</f>
        <v>449680.0</v>
      </c>
      <c r="V146" s="32" t="n">
        <f>7578571264</f>
        <v>7.578571264E9</v>
      </c>
      <c r="W146" s="32" t="n">
        <f>156009997</f>
        <v>1.56009997E8</v>
      </c>
      <c r="X146" s="36" t="n">
        <f>19</f>
        <v>19.0</v>
      </c>
    </row>
    <row r="147">
      <c r="A147" s="27" t="s">
        <v>42</v>
      </c>
      <c r="B147" s="27" t="s">
        <v>485</v>
      </c>
      <c r="C147" s="27" t="s">
        <v>486</v>
      </c>
      <c r="D147" s="27" t="s">
        <v>487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61700</f>
        <v>61700.0</v>
      </c>
      <c r="L147" s="34" t="s">
        <v>48</v>
      </c>
      <c r="M147" s="33" t="n">
        <f>63500</f>
        <v>63500.0</v>
      </c>
      <c r="N147" s="34" t="s">
        <v>75</v>
      </c>
      <c r="O147" s="33" t="n">
        <f>61520</f>
        <v>61520.0</v>
      </c>
      <c r="P147" s="34" t="s">
        <v>75</v>
      </c>
      <c r="Q147" s="33" t="n">
        <f>62300</f>
        <v>62300.0</v>
      </c>
      <c r="R147" s="34" t="s">
        <v>61</v>
      </c>
      <c r="S147" s="35" t="n">
        <f>62688</f>
        <v>62688.0</v>
      </c>
      <c r="T147" s="32" t="n">
        <f>1740</f>
        <v>1740.0</v>
      </c>
      <c r="U147" s="32" t="str">
        <f>"－"</f>
        <v>－</v>
      </c>
      <c r="V147" s="32" t="n">
        <f>107384600</f>
        <v>1.073846E8</v>
      </c>
      <c r="W147" s="32" t="str">
        <f>"－"</f>
        <v>－</v>
      </c>
      <c r="X147" s="36" t="n">
        <f>10</f>
        <v>10.0</v>
      </c>
    </row>
    <row r="148">
      <c r="A148" s="27" t="s">
        <v>42</v>
      </c>
      <c r="B148" s="27" t="s">
        <v>488</v>
      </c>
      <c r="C148" s="27" t="s">
        <v>489</v>
      </c>
      <c r="D148" s="27" t="s">
        <v>490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7477</f>
        <v>7477.0</v>
      </c>
      <c r="L148" s="34" t="s">
        <v>48</v>
      </c>
      <c r="M148" s="33" t="n">
        <f>7715</f>
        <v>7715.0</v>
      </c>
      <c r="N148" s="34" t="s">
        <v>74</v>
      </c>
      <c r="O148" s="33" t="n">
        <f>7325</f>
        <v>7325.0</v>
      </c>
      <c r="P148" s="34" t="s">
        <v>273</v>
      </c>
      <c r="Q148" s="33" t="n">
        <f>7355</f>
        <v>7355.0</v>
      </c>
      <c r="R148" s="34" t="s">
        <v>50</v>
      </c>
      <c r="S148" s="35" t="n">
        <f>7514</f>
        <v>7514.0</v>
      </c>
      <c r="T148" s="32" t="n">
        <f>69325</f>
        <v>69325.0</v>
      </c>
      <c r="U148" s="32" t="n">
        <f>203</f>
        <v>203.0</v>
      </c>
      <c r="V148" s="32" t="n">
        <f>523952970</f>
        <v>5.2395297E8</v>
      </c>
      <c r="W148" s="32" t="n">
        <f>1518771</f>
        <v>1518771.0</v>
      </c>
      <c r="X148" s="36" t="n">
        <f>19</f>
        <v>19.0</v>
      </c>
    </row>
    <row r="149">
      <c r="A149" s="27" t="s">
        <v>42</v>
      </c>
      <c r="B149" s="27" t="s">
        <v>491</v>
      </c>
      <c r="C149" s="27" t="s">
        <v>492</v>
      </c>
      <c r="D149" s="27" t="s">
        <v>493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2791</f>
        <v>2791.0</v>
      </c>
      <c r="L149" s="34" t="s">
        <v>48</v>
      </c>
      <c r="M149" s="33" t="n">
        <f>2988</f>
        <v>2988.0</v>
      </c>
      <c r="N149" s="34" t="s">
        <v>74</v>
      </c>
      <c r="O149" s="33" t="n">
        <f>2791</f>
        <v>2791.0</v>
      </c>
      <c r="P149" s="34" t="s">
        <v>48</v>
      </c>
      <c r="Q149" s="33" t="n">
        <f>2931</f>
        <v>2931.0</v>
      </c>
      <c r="R149" s="34" t="s">
        <v>50</v>
      </c>
      <c r="S149" s="35" t="n">
        <f>2923.32</f>
        <v>2923.32</v>
      </c>
      <c r="T149" s="32" t="n">
        <f>146731</f>
        <v>146731.0</v>
      </c>
      <c r="U149" s="32" t="n">
        <f>3300</f>
        <v>3300.0</v>
      </c>
      <c r="V149" s="32" t="n">
        <f>428932343</f>
        <v>4.28932343E8</v>
      </c>
      <c r="W149" s="32" t="n">
        <f>9679326</f>
        <v>9679326.0</v>
      </c>
      <c r="X149" s="36" t="n">
        <f>19</f>
        <v>19.0</v>
      </c>
    </row>
    <row r="150">
      <c r="A150" s="27" t="s">
        <v>42</v>
      </c>
      <c r="B150" s="27" t="s">
        <v>494</v>
      </c>
      <c r="C150" s="27" t="s">
        <v>495</v>
      </c>
      <c r="D150" s="27" t="s">
        <v>496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2117</f>
        <v>2117.0</v>
      </c>
      <c r="L150" s="34" t="s">
        <v>48</v>
      </c>
      <c r="M150" s="33" t="n">
        <f>2370</f>
        <v>2370.0</v>
      </c>
      <c r="N150" s="34" t="s">
        <v>61</v>
      </c>
      <c r="O150" s="33" t="n">
        <f>1957.5</f>
        <v>1957.5</v>
      </c>
      <c r="P150" s="34" t="s">
        <v>48</v>
      </c>
      <c r="Q150" s="33" t="n">
        <f>2232.5</f>
        <v>2232.5</v>
      </c>
      <c r="R150" s="34" t="s">
        <v>50</v>
      </c>
      <c r="S150" s="35" t="n">
        <f>2128.92</f>
        <v>2128.92</v>
      </c>
      <c r="T150" s="32" t="n">
        <f>5010</f>
        <v>5010.0</v>
      </c>
      <c r="U150" s="32" t="str">
        <f>"－"</f>
        <v>－</v>
      </c>
      <c r="V150" s="32" t="n">
        <f>10766270</f>
        <v>1.076627E7</v>
      </c>
      <c r="W150" s="32" t="str">
        <f>"－"</f>
        <v>－</v>
      </c>
      <c r="X150" s="36" t="n">
        <f>19</f>
        <v>19.0</v>
      </c>
    </row>
    <row r="151">
      <c r="A151" s="27" t="s">
        <v>42</v>
      </c>
      <c r="B151" s="27" t="s">
        <v>497</v>
      </c>
      <c r="C151" s="27" t="s">
        <v>498</v>
      </c>
      <c r="D151" s="27" t="s">
        <v>499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499.8</f>
        <v>499.8</v>
      </c>
      <c r="L151" s="34" t="s">
        <v>48</v>
      </c>
      <c r="M151" s="33" t="n">
        <f>575</f>
        <v>575.0</v>
      </c>
      <c r="N151" s="34" t="s">
        <v>50</v>
      </c>
      <c r="O151" s="33" t="n">
        <f>484</f>
        <v>484.0</v>
      </c>
      <c r="P151" s="34" t="s">
        <v>257</v>
      </c>
      <c r="Q151" s="33" t="n">
        <f>574.6</f>
        <v>574.6</v>
      </c>
      <c r="R151" s="34" t="s">
        <v>50</v>
      </c>
      <c r="S151" s="35" t="n">
        <f>523.91</f>
        <v>523.91</v>
      </c>
      <c r="T151" s="32" t="n">
        <f>106240</f>
        <v>106240.0</v>
      </c>
      <c r="U151" s="32" t="str">
        <f>"－"</f>
        <v>－</v>
      </c>
      <c r="V151" s="32" t="n">
        <f>56347197</f>
        <v>5.6347197E7</v>
      </c>
      <c r="W151" s="32" t="str">
        <f>"－"</f>
        <v>－</v>
      </c>
      <c r="X151" s="36" t="n">
        <f>19</f>
        <v>19.0</v>
      </c>
    </row>
    <row r="152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2871</f>
        <v>2871.0</v>
      </c>
      <c r="L152" s="34" t="s">
        <v>48</v>
      </c>
      <c r="M152" s="33" t="n">
        <f>3430</f>
        <v>3430.0</v>
      </c>
      <c r="N152" s="34" t="s">
        <v>195</v>
      </c>
      <c r="O152" s="33" t="n">
        <f>2771.5</f>
        <v>2771.5</v>
      </c>
      <c r="P152" s="34" t="s">
        <v>48</v>
      </c>
      <c r="Q152" s="33" t="n">
        <f>2901</f>
        <v>2901.0</v>
      </c>
      <c r="R152" s="34" t="s">
        <v>50</v>
      </c>
      <c r="S152" s="35" t="n">
        <f>3027.74</f>
        <v>3027.74</v>
      </c>
      <c r="T152" s="32" t="n">
        <f>34570</f>
        <v>34570.0</v>
      </c>
      <c r="U152" s="32" t="str">
        <f>"－"</f>
        <v>－</v>
      </c>
      <c r="V152" s="32" t="n">
        <f>104415910</f>
        <v>1.0441591E8</v>
      </c>
      <c r="W152" s="32" t="str">
        <f>"－"</f>
        <v>－</v>
      </c>
      <c r="X152" s="36" t="n">
        <f>19</f>
        <v>19.0</v>
      </c>
    </row>
    <row r="153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910.2</f>
        <v>910.2</v>
      </c>
      <c r="L153" s="34" t="s">
        <v>48</v>
      </c>
      <c r="M153" s="33" t="n">
        <f>970.9</f>
        <v>970.9</v>
      </c>
      <c r="N153" s="34" t="s">
        <v>49</v>
      </c>
      <c r="O153" s="33" t="n">
        <f>901.9</f>
        <v>901.9</v>
      </c>
      <c r="P153" s="34" t="s">
        <v>273</v>
      </c>
      <c r="Q153" s="33" t="n">
        <f>912</f>
        <v>912.0</v>
      </c>
      <c r="R153" s="34" t="s">
        <v>50</v>
      </c>
      <c r="S153" s="35" t="n">
        <f>926.87</f>
        <v>926.87</v>
      </c>
      <c r="T153" s="32" t="n">
        <f>49790</f>
        <v>49790.0</v>
      </c>
      <c r="U153" s="32" t="str">
        <f>"－"</f>
        <v>－</v>
      </c>
      <c r="V153" s="32" t="n">
        <f>45856275</f>
        <v>4.5856275E7</v>
      </c>
      <c r="W153" s="32" t="str">
        <f>"－"</f>
        <v>－</v>
      </c>
      <c r="X153" s="36" t="n">
        <f>19</f>
        <v>19.0</v>
      </c>
    </row>
    <row r="15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520</f>
        <v>520.0</v>
      </c>
      <c r="L154" s="34" t="s">
        <v>48</v>
      </c>
      <c r="M154" s="33" t="n">
        <f>525.9</f>
        <v>525.9</v>
      </c>
      <c r="N154" s="34" t="s">
        <v>49</v>
      </c>
      <c r="O154" s="33" t="n">
        <f>498.1</f>
        <v>498.1</v>
      </c>
      <c r="P154" s="34" t="s">
        <v>70</v>
      </c>
      <c r="Q154" s="33" t="n">
        <f>512.7</f>
        <v>512.7</v>
      </c>
      <c r="R154" s="34" t="s">
        <v>50</v>
      </c>
      <c r="S154" s="35" t="n">
        <f>512.88</f>
        <v>512.88</v>
      </c>
      <c r="T154" s="32" t="n">
        <f>60180</f>
        <v>60180.0</v>
      </c>
      <c r="U154" s="32" t="str">
        <f>"－"</f>
        <v>－</v>
      </c>
      <c r="V154" s="32" t="n">
        <f>30832389</f>
        <v>3.0832389E7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945</f>
        <v>945.0</v>
      </c>
      <c r="L155" s="34" t="s">
        <v>48</v>
      </c>
      <c r="M155" s="33" t="n">
        <f>1141</f>
        <v>1141.0</v>
      </c>
      <c r="N155" s="34" t="s">
        <v>273</v>
      </c>
      <c r="O155" s="33" t="n">
        <f>810</f>
        <v>810.0</v>
      </c>
      <c r="P155" s="34" t="s">
        <v>65</v>
      </c>
      <c r="Q155" s="33" t="n">
        <f>1126</f>
        <v>1126.0</v>
      </c>
      <c r="R155" s="34" t="s">
        <v>50</v>
      </c>
      <c r="S155" s="35" t="n">
        <f>952.05</f>
        <v>952.05</v>
      </c>
      <c r="T155" s="32" t="n">
        <f>4379161</f>
        <v>4379161.0</v>
      </c>
      <c r="U155" s="32" t="str">
        <f>"－"</f>
        <v>－</v>
      </c>
      <c r="V155" s="32" t="n">
        <f>4157122314</f>
        <v>4.157122314E9</v>
      </c>
      <c r="W155" s="32" t="str">
        <f>"－"</f>
        <v>－</v>
      </c>
      <c r="X155" s="36" t="n">
        <f>19</f>
        <v>19.0</v>
      </c>
    </row>
    <row r="156">
      <c r="A156" s="27" t="s">
        <v>42</v>
      </c>
      <c r="B156" s="27" t="s">
        <v>512</v>
      </c>
      <c r="C156" s="27" t="s">
        <v>513</v>
      </c>
      <c r="D156" s="27" t="s">
        <v>514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1420</f>
        <v>1420.0</v>
      </c>
      <c r="L156" s="34" t="s">
        <v>48</v>
      </c>
      <c r="M156" s="33" t="n">
        <f>1548</f>
        <v>1548.0</v>
      </c>
      <c r="N156" s="34" t="s">
        <v>50</v>
      </c>
      <c r="O156" s="33" t="n">
        <f>1352.5</f>
        <v>1352.5</v>
      </c>
      <c r="P156" s="34" t="s">
        <v>195</v>
      </c>
      <c r="Q156" s="33" t="n">
        <f>1522</f>
        <v>1522.0</v>
      </c>
      <c r="R156" s="34" t="s">
        <v>50</v>
      </c>
      <c r="S156" s="35" t="n">
        <f>1449.82</f>
        <v>1449.82</v>
      </c>
      <c r="T156" s="32" t="n">
        <f>105680</f>
        <v>105680.0</v>
      </c>
      <c r="U156" s="32" t="str">
        <f>"－"</f>
        <v>－</v>
      </c>
      <c r="V156" s="32" t="n">
        <f>154467515</f>
        <v>1.54467515E8</v>
      </c>
      <c r="W156" s="32" t="str">
        <f>"－"</f>
        <v>－</v>
      </c>
      <c r="X156" s="36" t="n">
        <f>19</f>
        <v>19.0</v>
      </c>
    </row>
    <row r="157">
      <c r="A157" s="27" t="s">
        <v>42</v>
      </c>
      <c r="B157" s="27" t="s">
        <v>515</v>
      </c>
      <c r="C157" s="27" t="s">
        <v>516</v>
      </c>
      <c r="D157" s="27" t="s">
        <v>517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7877</f>
        <v>7877.0</v>
      </c>
      <c r="L157" s="34" t="s">
        <v>48</v>
      </c>
      <c r="M157" s="33" t="n">
        <f>8500</f>
        <v>8500.0</v>
      </c>
      <c r="N157" s="34" t="s">
        <v>155</v>
      </c>
      <c r="O157" s="33" t="n">
        <f>7680</f>
        <v>7680.0</v>
      </c>
      <c r="P157" s="34" t="s">
        <v>75</v>
      </c>
      <c r="Q157" s="33" t="n">
        <f>8356</f>
        <v>8356.0</v>
      </c>
      <c r="R157" s="34" t="s">
        <v>50</v>
      </c>
      <c r="S157" s="35" t="n">
        <f>8145.56</f>
        <v>8145.56</v>
      </c>
      <c r="T157" s="32" t="n">
        <f>2016</f>
        <v>2016.0</v>
      </c>
      <c r="U157" s="32" t="str">
        <f>"－"</f>
        <v>－</v>
      </c>
      <c r="V157" s="32" t="n">
        <f>16533649</f>
        <v>1.6533649E7</v>
      </c>
      <c r="W157" s="32" t="str">
        <f>"－"</f>
        <v>－</v>
      </c>
      <c r="X157" s="36" t="n">
        <f>16</f>
        <v>16.0</v>
      </c>
    </row>
    <row r="158">
      <c r="A158" s="27" t="s">
        <v>42</v>
      </c>
      <c r="B158" s="27" t="s">
        <v>518</v>
      </c>
      <c r="C158" s="27" t="s">
        <v>519</v>
      </c>
      <c r="D158" s="27" t="s">
        <v>520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627</f>
        <v>627.0</v>
      </c>
      <c r="L158" s="34" t="s">
        <v>48</v>
      </c>
      <c r="M158" s="33" t="n">
        <f>779</f>
        <v>779.0</v>
      </c>
      <c r="N158" s="34" t="s">
        <v>195</v>
      </c>
      <c r="O158" s="33" t="n">
        <f>615.1</f>
        <v>615.1</v>
      </c>
      <c r="P158" s="34" t="s">
        <v>48</v>
      </c>
      <c r="Q158" s="33" t="n">
        <f>642</f>
        <v>642.0</v>
      </c>
      <c r="R158" s="34" t="s">
        <v>50</v>
      </c>
      <c r="S158" s="35" t="n">
        <f>651.18</f>
        <v>651.18</v>
      </c>
      <c r="T158" s="32" t="n">
        <f>553300</f>
        <v>553300.0</v>
      </c>
      <c r="U158" s="32" t="str">
        <f>"－"</f>
        <v>－</v>
      </c>
      <c r="V158" s="32" t="n">
        <f>363759000</f>
        <v>3.63759E8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521</v>
      </c>
      <c r="C159" s="27" t="s">
        <v>522</v>
      </c>
      <c r="D159" s="27" t="s">
        <v>523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7999</f>
        <v>7999.0</v>
      </c>
      <c r="L159" s="34" t="s">
        <v>48</v>
      </c>
      <c r="M159" s="33" t="n">
        <f>8999</f>
        <v>8999.0</v>
      </c>
      <c r="N159" s="34" t="s">
        <v>195</v>
      </c>
      <c r="O159" s="33" t="n">
        <f>7822</f>
        <v>7822.0</v>
      </c>
      <c r="P159" s="34" t="s">
        <v>48</v>
      </c>
      <c r="Q159" s="33" t="n">
        <f>8178</f>
        <v>8178.0</v>
      </c>
      <c r="R159" s="34" t="s">
        <v>50</v>
      </c>
      <c r="S159" s="35" t="n">
        <f>8252</f>
        <v>8252.0</v>
      </c>
      <c r="T159" s="32" t="n">
        <f>2270280</f>
        <v>2270280.0</v>
      </c>
      <c r="U159" s="32" t="str">
        <f>"－"</f>
        <v>－</v>
      </c>
      <c r="V159" s="32" t="n">
        <f>18814262500</f>
        <v>1.88142625E10</v>
      </c>
      <c r="W159" s="32" t="str">
        <f>"－"</f>
        <v>－</v>
      </c>
      <c r="X159" s="36" t="n">
        <f>19</f>
        <v>19.0</v>
      </c>
    </row>
    <row r="160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2327.5</f>
        <v>2327.5</v>
      </c>
      <c r="L160" s="34" t="s">
        <v>48</v>
      </c>
      <c r="M160" s="33" t="n">
        <f>2715.5</f>
        <v>2715.5</v>
      </c>
      <c r="N160" s="34" t="s">
        <v>195</v>
      </c>
      <c r="O160" s="33" t="n">
        <f>2200.5</f>
        <v>2200.5</v>
      </c>
      <c r="P160" s="34" t="s">
        <v>48</v>
      </c>
      <c r="Q160" s="33" t="n">
        <f>2437.5</f>
        <v>2437.5</v>
      </c>
      <c r="R160" s="34" t="s">
        <v>50</v>
      </c>
      <c r="S160" s="35" t="n">
        <f>2486.55</f>
        <v>2486.55</v>
      </c>
      <c r="T160" s="32" t="n">
        <f>98980</f>
        <v>98980.0</v>
      </c>
      <c r="U160" s="32" t="str">
        <f>"－"</f>
        <v>－</v>
      </c>
      <c r="V160" s="32" t="n">
        <f>247397685</f>
        <v>2.47397685E8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2690</f>
        <v>2690.0</v>
      </c>
      <c r="L161" s="34" t="s">
        <v>48</v>
      </c>
      <c r="M161" s="33" t="n">
        <f>2810</f>
        <v>2810.0</v>
      </c>
      <c r="N161" s="34" t="s">
        <v>50</v>
      </c>
      <c r="O161" s="33" t="n">
        <f>2675</f>
        <v>2675.0</v>
      </c>
      <c r="P161" s="34" t="s">
        <v>48</v>
      </c>
      <c r="Q161" s="33" t="n">
        <f>2804</f>
        <v>2804.0</v>
      </c>
      <c r="R161" s="34" t="s">
        <v>50</v>
      </c>
      <c r="S161" s="35" t="n">
        <f>2732.47</f>
        <v>2732.47</v>
      </c>
      <c r="T161" s="32" t="n">
        <f>133574</f>
        <v>133574.0</v>
      </c>
      <c r="U161" s="32" t="str">
        <f>"－"</f>
        <v>－</v>
      </c>
      <c r="V161" s="32" t="n">
        <f>365824791</f>
        <v>3.65824791E8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2950</f>
        <v>2950.0</v>
      </c>
      <c r="L162" s="34" t="s">
        <v>48</v>
      </c>
      <c r="M162" s="33" t="n">
        <f>3004</f>
        <v>3004.0</v>
      </c>
      <c r="N162" s="34" t="s">
        <v>257</v>
      </c>
      <c r="O162" s="33" t="n">
        <f>2788</f>
        <v>2788.0</v>
      </c>
      <c r="P162" s="34" t="s">
        <v>61</v>
      </c>
      <c r="Q162" s="33" t="n">
        <f>2843</f>
        <v>2843.0</v>
      </c>
      <c r="R162" s="34" t="s">
        <v>50</v>
      </c>
      <c r="S162" s="35" t="n">
        <f>2889.26</f>
        <v>2889.26</v>
      </c>
      <c r="T162" s="32" t="n">
        <f>25416</f>
        <v>25416.0</v>
      </c>
      <c r="U162" s="32" t="str">
        <f>"－"</f>
        <v>－</v>
      </c>
      <c r="V162" s="32" t="n">
        <f>73084068</f>
        <v>7.3084068E7</v>
      </c>
      <c r="W162" s="32" t="str">
        <f>"－"</f>
        <v>－</v>
      </c>
      <c r="X162" s="36" t="n">
        <f>19</f>
        <v>19.0</v>
      </c>
    </row>
    <row r="163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4062</f>
        <v>4062.0</v>
      </c>
      <c r="L163" s="34" t="s">
        <v>48</v>
      </c>
      <c r="M163" s="33" t="n">
        <f>4170</f>
        <v>4170.0</v>
      </c>
      <c r="N163" s="34" t="s">
        <v>206</v>
      </c>
      <c r="O163" s="33" t="n">
        <f>3995</f>
        <v>3995.0</v>
      </c>
      <c r="P163" s="34" t="s">
        <v>61</v>
      </c>
      <c r="Q163" s="33" t="n">
        <f>4009</f>
        <v>4009.0</v>
      </c>
      <c r="R163" s="34" t="s">
        <v>50</v>
      </c>
      <c r="S163" s="35" t="n">
        <f>4073.79</f>
        <v>4073.79</v>
      </c>
      <c r="T163" s="32" t="n">
        <f>7960</f>
        <v>7960.0</v>
      </c>
      <c r="U163" s="32" t="str">
        <f>"－"</f>
        <v>－</v>
      </c>
      <c r="V163" s="32" t="n">
        <f>32487490</f>
        <v>3.248749E7</v>
      </c>
      <c r="W163" s="32" t="str">
        <f>"－"</f>
        <v>－</v>
      </c>
      <c r="X163" s="36" t="n">
        <f>19</f>
        <v>19.0</v>
      </c>
    </row>
    <row r="16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3820</f>
        <v>3820.0</v>
      </c>
      <c r="L164" s="34" t="s">
        <v>48</v>
      </c>
      <c r="M164" s="33" t="n">
        <f>4042</f>
        <v>4042.0</v>
      </c>
      <c r="N164" s="34" t="s">
        <v>49</v>
      </c>
      <c r="O164" s="33" t="n">
        <f>3801</f>
        <v>3801.0</v>
      </c>
      <c r="P164" s="34" t="s">
        <v>75</v>
      </c>
      <c r="Q164" s="33" t="n">
        <f>3926</f>
        <v>3926.0</v>
      </c>
      <c r="R164" s="34" t="s">
        <v>50</v>
      </c>
      <c r="S164" s="35" t="n">
        <f>3915.79</f>
        <v>3915.79</v>
      </c>
      <c r="T164" s="32" t="n">
        <f>477975</f>
        <v>477975.0</v>
      </c>
      <c r="U164" s="32" t="n">
        <f>81680</f>
        <v>81680.0</v>
      </c>
      <c r="V164" s="32" t="n">
        <f>1852946737</f>
        <v>1.852946737E9</v>
      </c>
      <c r="W164" s="32" t="n">
        <f>315141184</f>
        <v>3.15141184E8</v>
      </c>
      <c r="X164" s="36" t="n">
        <f>19</f>
        <v>19.0</v>
      </c>
    </row>
    <row r="165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382.6</f>
        <v>382.6</v>
      </c>
      <c r="L165" s="34" t="s">
        <v>48</v>
      </c>
      <c r="M165" s="33" t="n">
        <f>423.7</f>
        <v>423.7</v>
      </c>
      <c r="N165" s="34" t="s">
        <v>50</v>
      </c>
      <c r="O165" s="33" t="n">
        <f>372.8</f>
        <v>372.8</v>
      </c>
      <c r="P165" s="34" t="s">
        <v>195</v>
      </c>
      <c r="Q165" s="33" t="n">
        <f>417.6</f>
        <v>417.6</v>
      </c>
      <c r="R165" s="34" t="s">
        <v>50</v>
      </c>
      <c r="S165" s="35" t="n">
        <f>399.18</f>
        <v>399.18</v>
      </c>
      <c r="T165" s="32" t="n">
        <f>9807660</f>
        <v>9807660.0</v>
      </c>
      <c r="U165" s="32" t="n">
        <f>239790</f>
        <v>239790.0</v>
      </c>
      <c r="V165" s="32" t="n">
        <f>3922580290</f>
        <v>3.92258029E9</v>
      </c>
      <c r="W165" s="32" t="n">
        <f>96184631</f>
        <v>9.6184631E7</v>
      </c>
      <c r="X165" s="36" t="n">
        <f>19</f>
        <v>19.0</v>
      </c>
    </row>
    <row r="166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2621</f>
        <v>2621.0</v>
      </c>
      <c r="L166" s="34" t="s">
        <v>48</v>
      </c>
      <c r="M166" s="33" t="n">
        <f>3117</f>
        <v>3117.0</v>
      </c>
      <c r="N166" s="34" t="s">
        <v>69</v>
      </c>
      <c r="O166" s="33" t="n">
        <f>2600</f>
        <v>2600.0</v>
      </c>
      <c r="P166" s="34" t="s">
        <v>48</v>
      </c>
      <c r="Q166" s="33" t="n">
        <f>2692</f>
        <v>2692.0</v>
      </c>
      <c r="R166" s="34" t="s">
        <v>50</v>
      </c>
      <c r="S166" s="35" t="n">
        <f>2702.63</f>
        <v>2702.63</v>
      </c>
      <c r="T166" s="32" t="n">
        <f>20476</f>
        <v>20476.0</v>
      </c>
      <c r="U166" s="32" t="str">
        <f>"－"</f>
        <v>－</v>
      </c>
      <c r="V166" s="32" t="n">
        <f>56250053</f>
        <v>5.6250053E7</v>
      </c>
      <c r="W166" s="32" t="str">
        <f>"－"</f>
        <v>－</v>
      </c>
      <c r="X166" s="36" t="n">
        <f>19</f>
        <v>19.0</v>
      </c>
    </row>
    <row r="167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1516</f>
        <v>1516.0</v>
      </c>
      <c r="L167" s="34" t="s">
        <v>48</v>
      </c>
      <c r="M167" s="33" t="n">
        <f>1576</f>
        <v>1576.0</v>
      </c>
      <c r="N167" s="34" t="s">
        <v>74</v>
      </c>
      <c r="O167" s="33" t="n">
        <f>1486</f>
        <v>1486.0</v>
      </c>
      <c r="P167" s="34" t="s">
        <v>50</v>
      </c>
      <c r="Q167" s="33" t="n">
        <f>1488</f>
        <v>1488.0</v>
      </c>
      <c r="R167" s="34" t="s">
        <v>50</v>
      </c>
      <c r="S167" s="35" t="n">
        <f>1527.79</f>
        <v>1527.79</v>
      </c>
      <c r="T167" s="32" t="n">
        <f>742275</f>
        <v>742275.0</v>
      </c>
      <c r="U167" s="32" t="str">
        <f>"－"</f>
        <v>－</v>
      </c>
      <c r="V167" s="32" t="n">
        <f>1134852584</f>
        <v>1.134852584E9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548</v>
      </c>
      <c r="C168" s="27" t="s">
        <v>549</v>
      </c>
      <c r="D168" s="27" t="s">
        <v>550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266</f>
        <v>266.0</v>
      </c>
      <c r="L168" s="34" t="s">
        <v>48</v>
      </c>
      <c r="M168" s="33" t="n">
        <f>266</f>
        <v>266.0</v>
      </c>
      <c r="N168" s="34" t="s">
        <v>48</v>
      </c>
      <c r="O168" s="33" t="n">
        <f>258.8</f>
        <v>258.8</v>
      </c>
      <c r="P168" s="34" t="s">
        <v>213</v>
      </c>
      <c r="Q168" s="33" t="n">
        <f>260</f>
        <v>260.0</v>
      </c>
      <c r="R168" s="34" t="s">
        <v>50</v>
      </c>
      <c r="S168" s="35" t="n">
        <f>262.03</f>
        <v>262.03</v>
      </c>
      <c r="T168" s="32" t="n">
        <f>5184350</f>
        <v>5184350.0</v>
      </c>
      <c r="U168" s="32" t="str">
        <f>"－"</f>
        <v>－</v>
      </c>
      <c r="V168" s="32" t="n">
        <f>1357140182</f>
        <v>1.357140182E9</v>
      </c>
      <c r="W168" s="32" t="str">
        <f>"－"</f>
        <v>－</v>
      </c>
      <c r="X168" s="36" t="n">
        <f>19</f>
        <v>19.0</v>
      </c>
    </row>
    <row r="169">
      <c r="A169" s="27" t="s">
        <v>42</v>
      </c>
      <c r="B169" s="27" t="s">
        <v>551</v>
      </c>
      <c r="C169" s="27" t="s">
        <v>552</v>
      </c>
      <c r="D169" s="27" t="s">
        <v>553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300</f>
        <v>300.0</v>
      </c>
      <c r="L169" s="34" t="s">
        <v>48</v>
      </c>
      <c r="M169" s="33" t="n">
        <f>303.1</f>
        <v>303.1</v>
      </c>
      <c r="N169" s="34" t="s">
        <v>49</v>
      </c>
      <c r="O169" s="33" t="n">
        <f>288</f>
        <v>288.0</v>
      </c>
      <c r="P169" s="34" t="s">
        <v>70</v>
      </c>
      <c r="Q169" s="33" t="n">
        <f>289.2</f>
        <v>289.2</v>
      </c>
      <c r="R169" s="34" t="s">
        <v>50</v>
      </c>
      <c r="S169" s="35" t="n">
        <f>296.8</f>
        <v>296.8</v>
      </c>
      <c r="T169" s="32" t="n">
        <f>3439680</f>
        <v>3439680.0</v>
      </c>
      <c r="U169" s="32" t="str">
        <f>"－"</f>
        <v>－</v>
      </c>
      <c r="V169" s="32" t="n">
        <f>1028522016</f>
        <v>1.028522016E9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554</v>
      </c>
      <c r="C170" s="27" t="s">
        <v>555</v>
      </c>
      <c r="D170" s="27" t="s">
        <v>556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616</f>
        <v>616.0</v>
      </c>
      <c r="L170" s="34" t="s">
        <v>48</v>
      </c>
      <c r="M170" s="33" t="n">
        <f>616</f>
        <v>616.0</v>
      </c>
      <c r="N170" s="34" t="s">
        <v>48</v>
      </c>
      <c r="O170" s="33" t="n">
        <f>517.1</f>
        <v>517.1</v>
      </c>
      <c r="P170" s="34" t="s">
        <v>50</v>
      </c>
      <c r="Q170" s="33" t="n">
        <f>519.9</f>
        <v>519.9</v>
      </c>
      <c r="R170" s="34" t="s">
        <v>50</v>
      </c>
      <c r="S170" s="35" t="n">
        <f>531.58</f>
        <v>531.58</v>
      </c>
      <c r="T170" s="32" t="n">
        <f>1322160</f>
        <v>1322160.0</v>
      </c>
      <c r="U170" s="32" t="n">
        <f>1316100</f>
        <v>1316100.0</v>
      </c>
      <c r="V170" s="32" t="n">
        <f>703360884</f>
        <v>7.03360884E8</v>
      </c>
      <c r="W170" s="32" t="n">
        <f>700149546</f>
        <v>7.00149546E8</v>
      </c>
      <c r="X170" s="36" t="n">
        <f>14</f>
        <v>14.0</v>
      </c>
    </row>
    <row r="171">
      <c r="A171" s="27" t="s">
        <v>42</v>
      </c>
      <c r="B171" s="27" t="s">
        <v>557</v>
      </c>
      <c r="C171" s="27" t="s">
        <v>558</v>
      </c>
      <c r="D171" s="27" t="s">
        <v>559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513</f>
        <v>513.0</v>
      </c>
      <c r="L171" s="34" t="s">
        <v>48</v>
      </c>
      <c r="M171" s="33" t="n">
        <f>527.3</f>
        <v>527.3</v>
      </c>
      <c r="N171" s="34" t="s">
        <v>65</v>
      </c>
      <c r="O171" s="33" t="n">
        <f>498</f>
        <v>498.0</v>
      </c>
      <c r="P171" s="34" t="s">
        <v>70</v>
      </c>
      <c r="Q171" s="33" t="n">
        <f>500.1</f>
        <v>500.1</v>
      </c>
      <c r="R171" s="34" t="s">
        <v>50</v>
      </c>
      <c r="S171" s="35" t="n">
        <f>512.8</f>
        <v>512.8</v>
      </c>
      <c r="T171" s="32" t="n">
        <f>17560</f>
        <v>17560.0</v>
      </c>
      <c r="U171" s="32" t="str">
        <f>"－"</f>
        <v>－</v>
      </c>
      <c r="V171" s="32" t="n">
        <f>9019813</f>
        <v>9019813.0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560</v>
      </c>
      <c r="C172" s="27" t="s">
        <v>561</v>
      </c>
      <c r="D172" s="27" t="s">
        <v>562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470</f>
        <v>470.0</v>
      </c>
      <c r="L172" s="34" t="s">
        <v>48</v>
      </c>
      <c r="M172" s="33" t="n">
        <f>470.6</f>
        <v>470.6</v>
      </c>
      <c r="N172" s="34" t="s">
        <v>49</v>
      </c>
      <c r="O172" s="33" t="n">
        <f>460.9</f>
        <v>460.9</v>
      </c>
      <c r="P172" s="34" t="s">
        <v>213</v>
      </c>
      <c r="Q172" s="33" t="n">
        <f>462.6</f>
        <v>462.6</v>
      </c>
      <c r="R172" s="34" t="s">
        <v>50</v>
      </c>
      <c r="S172" s="35" t="n">
        <f>465.81</f>
        <v>465.81</v>
      </c>
      <c r="T172" s="32" t="n">
        <f>2240400</f>
        <v>2240400.0</v>
      </c>
      <c r="U172" s="32" t="n">
        <f>2200400</f>
        <v>2200400.0</v>
      </c>
      <c r="V172" s="32" t="n">
        <f>1038864808</f>
        <v>1.038864808E9</v>
      </c>
      <c r="W172" s="32" t="n">
        <f>1020206701</f>
        <v>1.020206701E9</v>
      </c>
      <c r="X172" s="36" t="n">
        <f>19</f>
        <v>19.0</v>
      </c>
    </row>
    <row r="173">
      <c r="A173" s="27" t="s">
        <v>42</v>
      </c>
      <c r="B173" s="27" t="s">
        <v>563</v>
      </c>
      <c r="C173" s="27" t="s">
        <v>564</v>
      </c>
      <c r="D173" s="27" t="s">
        <v>565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1024</f>
        <v>1024.0</v>
      </c>
      <c r="L173" s="34" t="s">
        <v>48</v>
      </c>
      <c r="M173" s="33" t="n">
        <f>1030</f>
        <v>1030.0</v>
      </c>
      <c r="N173" s="34" t="s">
        <v>48</v>
      </c>
      <c r="O173" s="33" t="n">
        <f>941</f>
        <v>941.0</v>
      </c>
      <c r="P173" s="34" t="s">
        <v>50</v>
      </c>
      <c r="Q173" s="33" t="n">
        <f>947</f>
        <v>947.0</v>
      </c>
      <c r="R173" s="34" t="s">
        <v>50</v>
      </c>
      <c r="S173" s="35" t="n">
        <f>989.74</f>
        <v>989.74</v>
      </c>
      <c r="T173" s="32" t="n">
        <f>500851</f>
        <v>500851.0</v>
      </c>
      <c r="U173" s="32" t="n">
        <f>139</f>
        <v>139.0</v>
      </c>
      <c r="V173" s="32" t="n">
        <f>497820672</f>
        <v>4.97820672E8</v>
      </c>
      <c r="W173" s="32" t="n">
        <f>139551</f>
        <v>139551.0</v>
      </c>
      <c r="X173" s="36" t="n">
        <f>19</f>
        <v>19.0</v>
      </c>
    </row>
    <row r="174">
      <c r="A174" s="27" t="s">
        <v>42</v>
      </c>
      <c r="B174" s="27" t="s">
        <v>566</v>
      </c>
      <c r="C174" s="27" t="s">
        <v>567</v>
      </c>
      <c r="D174" s="27" t="s">
        <v>568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2431</f>
        <v>2431.0</v>
      </c>
      <c r="L174" s="34" t="s">
        <v>48</v>
      </c>
      <c r="M174" s="33" t="n">
        <f>3170</f>
        <v>3170.0</v>
      </c>
      <c r="N174" s="34" t="s">
        <v>70</v>
      </c>
      <c r="O174" s="33" t="n">
        <f>2431</f>
        <v>2431.0</v>
      </c>
      <c r="P174" s="34" t="s">
        <v>48</v>
      </c>
      <c r="Q174" s="33" t="n">
        <f>3045</f>
        <v>3045.0</v>
      </c>
      <c r="R174" s="34" t="s">
        <v>50</v>
      </c>
      <c r="S174" s="35" t="n">
        <f>2815.21</f>
        <v>2815.21</v>
      </c>
      <c r="T174" s="32" t="n">
        <f>10370431</f>
        <v>1.0370431E7</v>
      </c>
      <c r="U174" s="32" t="n">
        <f>494221</f>
        <v>494221.0</v>
      </c>
      <c r="V174" s="32" t="n">
        <f>29417178999</f>
        <v>2.9417178999E10</v>
      </c>
      <c r="W174" s="32" t="n">
        <f>1354732660</f>
        <v>1.35473266E9</v>
      </c>
      <c r="X174" s="36" t="n">
        <f>19</f>
        <v>19.0</v>
      </c>
    </row>
    <row r="175">
      <c r="A175" s="27" t="s">
        <v>42</v>
      </c>
      <c r="B175" s="27" t="s">
        <v>569</v>
      </c>
      <c r="C175" s="27" t="s">
        <v>570</v>
      </c>
      <c r="D175" s="27" t="s">
        <v>571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786</f>
        <v>786.0</v>
      </c>
      <c r="L175" s="34" t="s">
        <v>48</v>
      </c>
      <c r="M175" s="33" t="n">
        <f>806.6</f>
        <v>806.6</v>
      </c>
      <c r="N175" s="34" t="s">
        <v>60</v>
      </c>
      <c r="O175" s="33" t="n">
        <f>744</f>
        <v>744.0</v>
      </c>
      <c r="P175" s="34" t="s">
        <v>48</v>
      </c>
      <c r="Q175" s="33" t="n">
        <f>769</f>
        <v>769.0</v>
      </c>
      <c r="R175" s="34" t="s">
        <v>50</v>
      </c>
      <c r="S175" s="35" t="n">
        <f>770.15</f>
        <v>770.15</v>
      </c>
      <c r="T175" s="32" t="n">
        <f>606060</f>
        <v>606060.0</v>
      </c>
      <c r="U175" s="32" t="n">
        <f>114270</f>
        <v>114270.0</v>
      </c>
      <c r="V175" s="32" t="n">
        <f>464807235</f>
        <v>4.64807235E8</v>
      </c>
      <c r="W175" s="32" t="n">
        <f>86948940</f>
        <v>8.694894E7</v>
      </c>
      <c r="X175" s="36" t="n">
        <f>19</f>
        <v>19.0</v>
      </c>
    </row>
    <row r="176">
      <c r="A176" s="27" t="s">
        <v>42</v>
      </c>
      <c r="B176" s="27" t="s">
        <v>572</v>
      </c>
      <c r="C176" s="27" t="s">
        <v>573</v>
      </c>
      <c r="D176" s="27" t="s">
        <v>574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232.5</f>
        <v>232.5</v>
      </c>
      <c r="L176" s="34" t="s">
        <v>48</v>
      </c>
      <c r="M176" s="33" t="n">
        <f>247</f>
        <v>247.0</v>
      </c>
      <c r="N176" s="34" t="s">
        <v>48</v>
      </c>
      <c r="O176" s="33" t="n">
        <f>219</f>
        <v>219.0</v>
      </c>
      <c r="P176" s="34" t="s">
        <v>48</v>
      </c>
      <c r="Q176" s="33" t="n">
        <f>229.3</f>
        <v>229.3</v>
      </c>
      <c r="R176" s="34" t="s">
        <v>50</v>
      </c>
      <c r="S176" s="35" t="n">
        <f>233.55</f>
        <v>233.55</v>
      </c>
      <c r="T176" s="32" t="n">
        <f>16734330</f>
        <v>1.673433E7</v>
      </c>
      <c r="U176" s="32" t="n">
        <f>12697100</f>
        <v>1.26971E7</v>
      </c>
      <c r="V176" s="32" t="n">
        <f>3881053156</f>
        <v>3.881053156E9</v>
      </c>
      <c r="W176" s="32" t="n">
        <f>2942261718</f>
        <v>2.942261718E9</v>
      </c>
      <c r="X176" s="36" t="n">
        <f>19</f>
        <v>19.0</v>
      </c>
    </row>
    <row r="177">
      <c r="A177" s="27" t="s">
        <v>42</v>
      </c>
      <c r="B177" s="27" t="s">
        <v>575</v>
      </c>
      <c r="C177" s="27" t="s">
        <v>576</v>
      </c>
      <c r="D177" s="27" t="s">
        <v>577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259.1</f>
        <v>259.1</v>
      </c>
      <c r="L177" s="34" t="s">
        <v>48</v>
      </c>
      <c r="M177" s="33" t="n">
        <f>275</f>
        <v>275.0</v>
      </c>
      <c r="N177" s="34" t="s">
        <v>155</v>
      </c>
      <c r="O177" s="33" t="n">
        <f>256.3</f>
        <v>256.3</v>
      </c>
      <c r="P177" s="34" t="s">
        <v>75</v>
      </c>
      <c r="Q177" s="33" t="n">
        <f>270.8</f>
        <v>270.8</v>
      </c>
      <c r="R177" s="34" t="s">
        <v>50</v>
      </c>
      <c r="S177" s="35" t="n">
        <f>267.87</f>
        <v>267.87</v>
      </c>
      <c r="T177" s="32" t="n">
        <f>10289150</f>
        <v>1.028915E7</v>
      </c>
      <c r="U177" s="32" t="n">
        <f>20</f>
        <v>20.0</v>
      </c>
      <c r="V177" s="32" t="n">
        <f>2722138160</f>
        <v>2.72213816E9</v>
      </c>
      <c r="W177" s="32" t="n">
        <f>5036</f>
        <v>5036.0</v>
      </c>
      <c r="X177" s="36" t="n">
        <f>19</f>
        <v>19.0</v>
      </c>
    </row>
    <row r="178">
      <c r="A178" s="27" t="s">
        <v>42</v>
      </c>
      <c r="B178" s="27" t="s">
        <v>578</v>
      </c>
      <c r="C178" s="27" t="s">
        <v>579</v>
      </c>
      <c r="D178" s="27" t="s">
        <v>580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281.1</f>
        <v>281.1</v>
      </c>
      <c r="L178" s="34" t="s">
        <v>48</v>
      </c>
      <c r="M178" s="33" t="n">
        <f>291.3</f>
        <v>291.3</v>
      </c>
      <c r="N178" s="34" t="s">
        <v>65</v>
      </c>
      <c r="O178" s="33" t="n">
        <f>279.3</f>
        <v>279.3</v>
      </c>
      <c r="P178" s="34" t="s">
        <v>70</v>
      </c>
      <c r="Q178" s="33" t="n">
        <f>281.5</f>
        <v>281.5</v>
      </c>
      <c r="R178" s="34" t="s">
        <v>50</v>
      </c>
      <c r="S178" s="35" t="n">
        <f>285.45</f>
        <v>285.45</v>
      </c>
      <c r="T178" s="32" t="n">
        <f>2572800</f>
        <v>2572800.0</v>
      </c>
      <c r="U178" s="32" t="n">
        <f>360630</f>
        <v>360630.0</v>
      </c>
      <c r="V178" s="32" t="n">
        <f>730335771</f>
        <v>7.30335771E8</v>
      </c>
      <c r="W178" s="32" t="n">
        <f>101517099</f>
        <v>1.01517099E8</v>
      </c>
      <c r="X178" s="36" t="n">
        <f>19</f>
        <v>19.0</v>
      </c>
    </row>
    <row r="179">
      <c r="A179" s="27" t="s">
        <v>42</v>
      </c>
      <c r="B179" s="27" t="s">
        <v>581</v>
      </c>
      <c r="C179" s="27" t="s">
        <v>582</v>
      </c>
      <c r="D179" s="27" t="s">
        <v>583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2153</f>
        <v>2153.0</v>
      </c>
      <c r="L179" s="34" t="s">
        <v>48</v>
      </c>
      <c r="M179" s="33" t="n">
        <f>2239</f>
        <v>2239.0</v>
      </c>
      <c r="N179" s="34" t="s">
        <v>65</v>
      </c>
      <c r="O179" s="33" t="n">
        <f>2107</f>
        <v>2107.0</v>
      </c>
      <c r="P179" s="34" t="s">
        <v>61</v>
      </c>
      <c r="Q179" s="33" t="n">
        <f>2126</f>
        <v>2126.0</v>
      </c>
      <c r="R179" s="34" t="s">
        <v>50</v>
      </c>
      <c r="S179" s="35" t="n">
        <f>2174.42</f>
        <v>2174.42</v>
      </c>
      <c r="T179" s="32" t="n">
        <f>419694</f>
        <v>419694.0</v>
      </c>
      <c r="U179" s="32" t="n">
        <f>190002</f>
        <v>190002.0</v>
      </c>
      <c r="V179" s="32" t="n">
        <f>900286387</f>
        <v>9.00286387E8</v>
      </c>
      <c r="W179" s="32" t="n">
        <f>404100888</f>
        <v>4.04100888E8</v>
      </c>
      <c r="X179" s="36" t="n">
        <f>19</f>
        <v>19.0</v>
      </c>
    </row>
    <row r="180">
      <c r="A180" s="27" t="s">
        <v>42</v>
      </c>
      <c r="B180" s="27" t="s">
        <v>584</v>
      </c>
      <c r="C180" s="27" t="s">
        <v>585</v>
      </c>
      <c r="D180" s="27" t="s">
        <v>586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1904</f>
        <v>1904.0</v>
      </c>
      <c r="L180" s="34" t="s">
        <v>48</v>
      </c>
      <c r="M180" s="33" t="n">
        <f>1907</f>
        <v>1907.0</v>
      </c>
      <c r="N180" s="34" t="s">
        <v>48</v>
      </c>
      <c r="O180" s="33" t="n">
        <f>1840</f>
        <v>1840.0</v>
      </c>
      <c r="P180" s="34" t="s">
        <v>213</v>
      </c>
      <c r="Q180" s="33" t="n">
        <f>1845</f>
        <v>1845.0</v>
      </c>
      <c r="R180" s="34" t="s">
        <v>50</v>
      </c>
      <c r="S180" s="35" t="n">
        <f>1852.89</f>
        <v>1852.89</v>
      </c>
      <c r="T180" s="32" t="n">
        <f>1677635</f>
        <v>1677635.0</v>
      </c>
      <c r="U180" s="32" t="n">
        <f>3</f>
        <v>3.0</v>
      </c>
      <c r="V180" s="32" t="n">
        <f>3104422285</f>
        <v>3.104422285E9</v>
      </c>
      <c r="W180" s="32" t="n">
        <f>5547</f>
        <v>5547.0</v>
      </c>
      <c r="X180" s="36" t="n">
        <f>19</f>
        <v>19.0</v>
      </c>
    </row>
    <row r="181">
      <c r="A181" s="27" t="s">
        <v>42</v>
      </c>
      <c r="B181" s="27" t="s">
        <v>587</v>
      </c>
      <c r="C181" s="27" t="s">
        <v>588</v>
      </c>
      <c r="D181" s="27" t="s">
        <v>589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1304</f>
        <v>1304.0</v>
      </c>
      <c r="L181" s="34" t="s">
        <v>48</v>
      </c>
      <c r="M181" s="33" t="n">
        <f>1389</f>
        <v>1389.0</v>
      </c>
      <c r="N181" s="34" t="s">
        <v>49</v>
      </c>
      <c r="O181" s="33" t="n">
        <f>1304</f>
        <v>1304.0</v>
      </c>
      <c r="P181" s="34" t="s">
        <v>48</v>
      </c>
      <c r="Q181" s="33" t="n">
        <f>1336</f>
        <v>1336.0</v>
      </c>
      <c r="R181" s="34" t="s">
        <v>50</v>
      </c>
      <c r="S181" s="35" t="n">
        <f>1345.74</f>
        <v>1345.74</v>
      </c>
      <c r="T181" s="32" t="n">
        <f>2294193</f>
        <v>2294193.0</v>
      </c>
      <c r="U181" s="32" t="n">
        <f>575504</f>
        <v>575504.0</v>
      </c>
      <c r="V181" s="32" t="n">
        <f>3076645529</f>
        <v>3.076645529E9</v>
      </c>
      <c r="W181" s="32" t="n">
        <f>772231793</f>
        <v>7.72231793E8</v>
      </c>
      <c r="X181" s="36" t="n">
        <f>19</f>
        <v>19.0</v>
      </c>
    </row>
    <row r="182">
      <c r="A182" s="27" t="s">
        <v>42</v>
      </c>
      <c r="B182" s="27" t="s">
        <v>590</v>
      </c>
      <c r="C182" s="27" t="s">
        <v>591</v>
      </c>
      <c r="D182" s="27" t="s">
        <v>592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1138</f>
        <v>1138.0</v>
      </c>
      <c r="L182" s="34" t="s">
        <v>48</v>
      </c>
      <c r="M182" s="33" t="n">
        <f>1200</f>
        <v>1200.0</v>
      </c>
      <c r="N182" s="34" t="s">
        <v>202</v>
      </c>
      <c r="O182" s="33" t="n">
        <f>1112</f>
        <v>1112.0</v>
      </c>
      <c r="P182" s="34" t="s">
        <v>70</v>
      </c>
      <c r="Q182" s="33" t="n">
        <f>1137</f>
        <v>1137.0</v>
      </c>
      <c r="R182" s="34" t="s">
        <v>50</v>
      </c>
      <c r="S182" s="35" t="n">
        <f>1152</f>
        <v>1152.0</v>
      </c>
      <c r="T182" s="32" t="n">
        <f>148883</f>
        <v>148883.0</v>
      </c>
      <c r="U182" s="32" t="str">
        <f>"－"</f>
        <v>－</v>
      </c>
      <c r="V182" s="32" t="n">
        <f>170530489</f>
        <v>1.70530489E8</v>
      </c>
      <c r="W182" s="32" t="str">
        <f>"－"</f>
        <v>－</v>
      </c>
      <c r="X182" s="36" t="n">
        <f>19</f>
        <v>19.0</v>
      </c>
    </row>
    <row r="183">
      <c r="A183" s="27" t="s">
        <v>42</v>
      </c>
      <c r="B183" s="27" t="s">
        <v>593</v>
      </c>
      <c r="C183" s="27" t="s">
        <v>594</v>
      </c>
      <c r="D183" s="27" t="s">
        <v>595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1047</f>
        <v>1047.0</v>
      </c>
      <c r="L183" s="34" t="s">
        <v>48</v>
      </c>
      <c r="M183" s="33" t="n">
        <f>1079</f>
        <v>1079.0</v>
      </c>
      <c r="N183" s="34" t="s">
        <v>49</v>
      </c>
      <c r="O183" s="33" t="n">
        <f>1025</f>
        <v>1025.0</v>
      </c>
      <c r="P183" s="34" t="s">
        <v>70</v>
      </c>
      <c r="Q183" s="33" t="n">
        <f>1026</f>
        <v>1026.0</v>
      </c>
      <c r="R183" s="34" t="s">
        <v>50</v>
      </c>
      <c r="S183" s="35" t="n">
        <f>1056.53</f>
        <v>1056.53</v>
      </c>
      <c r="T183" s="32" t="n">
        <f>194332</f>
        <v>194332.0</v>
      </c>
      <c r="U183" s="32" t="str">
        <f>"－"</f>
        <v>－</v>
      </c>
      <c r="V183" s="32" t="n">
        <f>204662689</f>
        <v>2.04662689E8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596</v>
      </c>
      <c r="C184" s="27" t="s">
        <v>597</v>
      </c>
      <c r="D184" s="27" t="s">
        <v>598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207.5</f>
        <v>207.5</v>
      </c>
      <c r="L184" s="34" t="s">
        <v>48</v>
      </c>
      <c r="M184" s="33" t="n">
        <f>207.5</f>
        <v>207.5</v>
      </c>
      <c r="N184" s="34" t="s">
        <v>48</v>
      </c>
      <c r="O184" s="33" t="n">
        <f>188.9</f>
        <v>188.9</v>
      </c>
      <c r="P184" s="34" t="s">
        <v>70</v>
      </c>
      <c r="Q184" s="33" t="n">
        <f>189.6</f>
        <v>189.6</v>
      </c>
      <c r="R184" s="34" t="s">
        <v>50</v>
      </c>
      <c r="S184" s="35" t="n">
        <f>198.95</f>
        <v>198.95</v>
      </c>
      <c r="T184" s="32" t="n">
        <f>6506870</f>
        <v>6506870.0</v>
      </c>
      <c r="U184" s="32" t="n">
        <f>52180</f>
        <v>52180.0</v>
      </c>
      <c r="V184" s="32" t="n">
        <f>1293932725</f>
        <v>1.293932725E9</v>
      </c>
      <c r="W184" s="32" t="n">
        <f>10304547</f>
        <v>1.0304547E7</v>
      </c>
      <c r="X184" s="36" t="n">
        <f>19</f>
        <v>19.0</v>
      </c>
    </row>
    <row r="185">
      <c r="A185" s="27" t="s">
        <v>42</v>
      </c>
      <c r="B185" s="27" t="s">
        <v>599</v>
      </c>
      <c r="C185" s="27" t="s">
        <v>600</v>
      </c>
      <c r="D185" s="27" t="s">
        <v>601</v>
      </c>
      <c r="E185" s="28" t="s">
        <v>46</v>
      </c>
      <c r="F185" s="29" t="s">
        <v>46</v>
      </c>
      <c r="G185" s="30" t="s">
        <v>46</v>
      </c>
      <c r="H185" s="31"/>
      <c r="I185" s="31" t="s">
        <v>415</v>
      </c>
      <c r="J185" s="32" t="n">
        <v>1.0</v>
      </c>
      <c r="K185" s="33" t="n">
        <f>8780</f>
        <v>8780.0</v>
      </c>
      <c r="L185" s="34" t="s">
        <v>48</v>
      </c>
      <c r="M185" s="33" t="n">
        <f>9666</f>
        <v>9666.0</v>
      </c>
      <c r="N185" s="34" t="s">
        <v>70</v>
      </c>
      <c r="O185" s="33" t="n">
        <f>8533</f>
        <v>8533.0</v>
      </c>
      <c r="P185" s="34" t="s">
        <v>75</v>
      </c>
      <c r="Q185" s="33" t="n">
        <f>9300</f>
        <v>9300.0</v>
      </c>
      <c r="R185" s="34" t="s">
        <v>50</v>
      </c>
      <c r="S185" s="35" t="n">
        <f>9060.47</f>
        <v>9060.47</v>
      </c>
      <c r="T185" s="32" t="n">
        <f>18777</f>
        <v>18777.0</v>
      </c>
      <c r="U185" s="32" t="str">
        <f>"－"</f>
        <v>－</v>
      </c>
      <c r="V185" s="32" t="n">
        <f>170542626</f>
        <v>1.70542626E8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602</v>
      </c>
      <c r="C186" s="27" t="s">
        <v>603</v>
      </c>
      <c r="D186" s="27" t="s">
        <v>604</v>
      </c>
      <c r="E186" s="28" t="s">
        <v>46</v>
      </c>
      <c r="F186" s="29" t="s">
        <v>46</v>
      </c>
      <c r="G186" s="30" t="s">
        <v>46</v>
      </c>
      <c r="H186" s="31"/>
      <c r="I186" s="31" t="s">
        <v>415</v>
      </c>
      <c r="J186" s="32" t="n">
        <v>1.0</v>
      </c>
      <c r="K186" s="33" t="n">
        <f>5874</f>
        <v>5874.0</v>
      </c>
      <c r="L186" s="34" t="s">
        <v>48</v>
      </c>
      <c r="M186" s="33" t="n">
        <f>5990</f>
        <v>5990.0</v>
      </c>
      <c r="N186" s="34" t="s">
        <v>75</v>
      </c>
      <c r="O186" s="33" t="n">
        <f>5414</f>
        <v>5414.0</v>
      </c>
      <c r="P186" s="34" t="s">
        <v>61</v>
      </c>
      <c r="Q186" s="33" t="n">
        <f>5554</f>
        <v>5554.0</v>
      </c>
      <c r="R186" s="34" t="s">
        <v>50</v>
      </c>
      <c r="S186" s="35" t="n">
        <f>5806.22</f>
        <v>5806.22</v>
      </c>
      <c r="T186" s="32" t="n">
        <f>2408</f>
        <v>2408.0</v>
      </c>
      <c r="U186" s="32" t="str">
        <f>"－"</f>
        <v>－</v>
      </c>
      <c r="V186" s="32" t="n">
        <f>13920865</f>
        <v>1.3920865E7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605</v>
      </c>
      <c r="C187" s="27" t="s">
        <v>606</v>
      </c>
      <c r="D187" s="27" t="s">
        <v>607</v>
      </c>
      <c r="E187" s="28" t="s">
        <v>46</v>
      </c>
      <c r="F187" s="29" t="s">
        <v>46</v>
      </c>
      <c r="G187" s="30" t="s">
        <v>46</v>
      </c>
      <c r="H187" s="31"/>
      <c r="I187" s="31" t="s">
        <v>415</v>
      </c>
      <c r="J187" s="32" t="n">
        <v>1.0</v>
      </c>
      <c r="K187" s="33" t="n">
        <f>35560</f>
        <v>35560.0</v>
      </c>
      <c r="L187" s="34" t="s">
        <v>48</v>
      </c>
      <c r="M187" s="33" t="n">
        <f>51660</f>
        <v>51660.0</v>
      </c>
      <c r="N187" s="34" t="s">
        <v>50</v>
      </c>
      <c r="O187" s="33" t="n">
        <f>34780</f>
        <v>34780.0</v>
      </c>
      <c r="P187" s="34" t="s">
        <v>69</v>
      </c>
      <c r="Q187" s="33" t="n">
        <f>51660</f>
        <v>51660.0</v>
      </c>
      <c r="R187" s="34" t="s">
        <v>50</v>
      </c>
      <c r="S187" s="35" t="n">
        <f>42847.89</f>
        <v>42847.89</v>
      </c>
      <c r="T187" s="32" t="n">
        <f>19769</f>
        <v>19769.0</v>
      </c>
      <c r="U187" s="32" t="str">
        <f>"－"</f>
        <v>－</v>
      </c>
      <c r="V187" s="32" t="n">
        <f>854628690</f>
        <v>8.5462869E8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608</v>
      </c>
      <c r="C188" s="27" t="s">
        <v>609</v>
      </c>
      <c r="D188" s="27" t="s">
        <v>610</v>
      </c>
      <c r="E188" s="28" t="s">
        <v>46</v>
      </c>
      <c r="F188" s="29" t="s">
        <v>46</v>
      </c>
      <c r="G188" s="30" t="s">
        <v>46</v>
      </c>
      <c r="H188" s="31"/>
      <c r="I188" s="31" t="s">
        <v>415</v>
      </c>
      <c r="J188" s="32" t="n">
        <v>1.0</v>
      </c>
      <c r="K188" s="33" t="n">
        <f>4185</f>
        <v>4185.0</v>
      </c>
      <c r="L188" s="34" t="s">
        <v>48</v>
      </c>
      <c r="M188" s="33" t="n">
        <f>4185</f>
        <v>4185.0</v>
      </c>
      <c r="N188" s="34" t="s">
        <v>48</v>
      </c>
      <c r="O188" s="33" t="n">
        <f>3218</f>
        <v>3218.0</v>
      </c>
      <c r="P188" s="34" t="s">
        <v>50</v>
      </c>
      <c r="Q188" s="33" t="n">
        <f>3333</f>
        <v>3333.0</v>
      </c>
      <c r="R188" s="34" t="s">
        <v>50</v>
      </c>
      <c r="S188" s="35" t="n">
        <f>3643</f>
        <v>3643.0</v>
      </c>
      <c r="T188" s="32" t="n">
        <f>17120</f>
        <v>17120.0</v>
      </c>
      <c r="U188" s="32" t="str">
        <f>"－"</f>
        <v>－</v>
      </c>
      <c r="V188" s="32" t="n">
        <f>62185627</f>
        <v>6.2185627E7</v>
      </c>
      <c r="W188" s="32" t="str">
        <f>"－"</f>
        <v>－</v>
      </c>
      <c r="X188" s="36" t="n">
        <f>19</f>
        <v>19.0</v>
      </c>
    </row>
    <row r="189">
      <c r="A189" s="27" t="s">
        <v>42</v>
      </c>
      <c r="B189" s="27" t="s">
        <v>611</v>
      </c>
      <c r="C189" s="27" t="s">
        <v>612</v>
      </c>
      <c r="D189" s="27" t="s">
        <v>613</v>
      </c>
      <c r="E189" s="28" t="s">
        <v>46</v>
      </c>
      <c r="F189" s="29" t="s">
        <v>46</v>
      </c>
      <c r="G189" s="30" t="s">
        <v>46</v>
      </c>
      <c r="H189" s="31"/>
      <c r="I189" s="31" t="s">
        <v>415</v>
      </c>
      <c r="J189" s="32" t="n">
        <v>1.0</v>
      </c>
      <c r="K189" s="33" t="n">
        <f>188100</f>
        <v>188100.0</v>
      </c>
      <c r="L189" s="34" t="s">
        <v>48</v>
      </c>
      <c r="M189" s="33" t="n">
        <f>291800</f>
        <v>291800.0</v>
      </c>
      <c r="N189" s="34" t="s">
        <v>70</v>
      </c>
      <c r="O189" s="33" t="n">
        <f>187250</f>
        <v>187250.0</v>
      </c>
      <c r="P189" s="34" t="s">
        <v>75</v>
      </c>
      <c r="Q189" s="33" t="n">
        <f>255900</f>
        <v>255900.0</v>
      </c>
      <c r="R189" s="34" t="s">
        <v>50</v>
      </c>
      <c r="S189" s="35" t="n">
        <f>225931.58</f>
        <v>225931.58</v>
      </c>
      <c r="T189" s="32" t="n">
        <f>457301</f>
        <v>457301.0</v>
      </c>
      <c r="U189" s="32" t="n">
        <f>15</f>
        <v>15.0</v>
      </c>
      <c r="V189" s="32" t="n">
        <f>108096833600</f>
        <v>1.080968336E11</v>
      </c>
      <c r="W189" s="32" t="n">
        <f>3789250</f>
        <v>3789250.0</v>
      </c>
      <c r="X189" s="36" t="n">
        <f>19</f>
        <v>19.0</v>
      </c>
    </row>
    <row r="190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31"/>
      <c r="I190" s="31" t="s">
        <v>415</v>
      </c>
      <c r="J190" s="32" t="n">
        <v>1.0</v>
      </c>
      <c r="K190" s="33" t="n">
        <f>1385</f>
        <v>1385.0</v>
      </c>
      <c r="L190" s="34" t="s">
        <v>48</v>
      </c>
      <c r="M190" s="33" t="n">
        <f>1397</f>
        <v>1397.0</v>
      </c>
      <c r="N190" s="34" t="s">
        <v>75</v>
      </c>
      <c r="O190" s="33" t="n">
        <f>1111</f>
        <v>1111.0</v>
      </c>
      <c r="P190" s="34" t="s">
        <v>70</v>
      </c>
      <c r="Q190" s="33" t="n">
        <f>1167</f>
        <v>1167.0</v>
      </c>
      <c r="R190" s="34" t="s">
        <v>50</v>
      </c>
      <c r="S190" s="35" t="n">
        <f>1267.89</f>
        <v>1267.89</v>
      </c>
      <c r="T190" s="32" t="n">
        <f>224331</f>
        <v>224331.0</v>
      </c>
      <c r="U190" s="32" t="str">
        <f>"－"</f>
        <v>－</v>
      </c>
      <c r="V190" s="32" t="n">
        <f>276849043</f>
        <v>2.76849043E8</v>
      </c>
      <c r="W190" s="32" t="str">
        <f>"－"</f>
        <v>－</v>
      </c>
      <c r="X190" s="36" t="n">
        <f>19</f>
        <v>19.0</v>
      </c>
    </row>
    <row r="191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31"/>
      <c r="I191" s="31" t="s">
        <v>415</v>
      </c>
      <c r="J191" s="32" t="n">
        <v>1.0</v>
      </c>
      <c r="K191" s="33" t="n">
        <f>1398</f>
        <v>1398.0</v>
      </c>
      <c r="L191" s="34" t="s">
        <v>48</v>
      </c>
      <c r="M191" s="33" t="n">
        <f>1625</f>
        <v>1625.0</v>
      </c>
      <c r="N191" s="34" t="s">
        <v>50</v>
      </c>
      <c r="O191" s="33" t="n">
        <f>1325</f>
        <v>1325.0</v>
      </c>
      <c r="P191" s="34" t="s">
        <v>195</v>
      </c>
      <c r="Q191" s="33" t="n">
        <f>1577</f>
        <v>1577.0</v>
      </c>
      <c r="R191" s="34" t="s">
        <v>50</v>
      </c>
      <c r="S191" s="35" t="n">
        <f>1472.53</f>
        <v>1472.53</v>
      </c>
      <c r="T191" s="32" t="n">
        <f>5710977</f>
        <v>5710977.0</v>
      </c>
      <c r="U191" s="32" t="n">
        <f>112</f>
        <v>112.0</v>
      </c>
      <c r="V191" s="32" t="n">
        <f>8398679880</f>
        <v>8.39867988E9</v>
      </c>
      <c r="W191" s="32" t="n">
        <f>164842</f>
        <v>164842.0</v>
      </c>
      <c r="X191" s="36" t="n">
        <f>19</f>
        <v>19.0</v>
      </c>
    </row>
    <row r="192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31"/>
      <c r="I192" s="31" t="s">
        <v>415</v>
      </c>
      <c r="J192" s="32" t="n">
        <v>1.0</v>
      </c>
      <c r="K192" s="33" t="n">
        <f>911</f>
        <v>911.0</v>
      </c>
      <c r="L192" s="34" t="s">
        <v>48</v>
      </c>
      <c r="M192" s="33" t="n">
        <f>935</f>
        <v>935.0</v>
      </c>
      <c r="N192" s="34" t="s">
        <v>195</v>
      </c>
      <c r="O192" s="33" t="n">
        <f>847</f>
        <v>847.0</v>
      </c>
      <c r="P192" s="34" t="s">
        <v>50</v>
      </c>
      <c r="Q192" s="33" t="n">
        <f>858</f>
        <v>858.0</v>
      </c>
      <c r="R192" s="34" t="s">
        <v>50</v>
      </c>
      <c r="S192" s="35" t="n">
        <f>885.74</f>
        <v>885.74</v>
      </c>
      <c r="T192" s="32" t="n">
        <f>954548</f>
        <v>954548.0</v>
      </c>
      <c r="U192" s="32" t="str">
        <f>"－"</f>
        <v>－</v>
      </c>
      <c r="V192" s="32" t="n">
        <f>841027896</f>
        <v>8.41027896E8</v>
      </c>
      <c r="W192" s="32" t="str">
        <f>"－"</f>
        <v>－</v>
      </c>
      <c r="X192" s="36" t="n">
        <f>19</f>
        <v>19.0</v>
      </c>
    </row>
    <row r="193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31"/>
      <c r="I193" s="31" t="s">
        <v>415</v>
      </c>
      <c r="J193" s="32" t="n">
        <v>1.0</v>
      </c>
      <c r="K193" s="33" t="n">
        <f>34720</f>
        <v>34720.0</v>
      </c>
      <c r="L193" s="34" t="s">
        <v>48</v>
      </c>
      <c r="M193" s="33" t="n">
        <f>36420</f>
        <v>36420.0</v>
      </c>
      <c r="N193" s="34" t="s">
        <v>60</v>
      </c>
      <c r="O193" s="33" t="n">
        <f>34720</f>
        <v>34720.0</v>
      </c>
      <c r="P193" s="34" t="s">
        <v>48</v>
      </c>
      <c r="Q193" s="33" t="n">
        <f>35240</f>
        <v>35240.0</v>
      </c>
      <c r="R193" s="34" t="s">
        <v>50</v>
      </c>
      <c r="S193" s="35" t="n">
        <f>35741.58</f>
        <v>35741.58</v>
      </c>
      <c r="T193" s="32" t="n">
        <f>13774</f>
        <v>13774.0</v>
      </c>
      <c r="U193" s="32" t="str">
        <f>"－"</f>
        <v>－</v>
      </c>
      <c r="V193" s="32" t="n">
        <f>492685890</f>
        <v>4.9268589E8</v>
      </c>
      <c r="W193" s="32" t="str">
        <f>"－"</f>
        <v>－</v>
      </c>
      <c r="X193" s="36" t="n">
        <f>19</f>
        <v>19.0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415</v>
      </c>
      <c r="J194" s="32" t="n">
        <v>1.0</v>
      </c>
      <c r="K194" s="33" t="n">
        <f>2107</f>
        <v>2107.0</v>
      </c>
      <c r="L194" s="34" t="s">
        <v>48</v>
      </c>
      <c r="M194" s="33" t="n">
        <f>2115</f>
        <v>2115.0</v>
      </c>
      <c r="N194" s="34" t="s">
        <v>213</v>
      </c>
      <c r="O194" s="33" t="n">
        <f>2060</f>
        <v>2060.0</v>
      </c>
      <c r="P194" s="34" t="s">
        <v>60</v>
      </c>
      <c r="Q194" s="33" t="n">
        <f>2098</f>
        <v>2098.0</v>
      </c>
      <c r="R194" s="34" t="s">
        <v>50</v>
      </c>
      <c r="S194" s="35" t="n">
        <f>2084.32</f>
        <v>2084.32</v>
      </c>
      <c r="T194" s="32" t="n">
        <f>72703</f>
        <v>72703.0</v>
      </c>
      <c r="U194" s="32" t="str">
        <f>"－"</f>
        <v>－</v>
      </c>
      <c r="V194" s="32" t="n">
        <f>151638393</f>
        <v>1.51638393E8</v>
      </c>
      <c r="W194" s="32" t="str">
        <f>"－"</f>
        <v>－</v>
      </c>
      <c r="X194" s="36" t="n">
        <f>19</f>
        <v>19.0</v>
      </c>
    </row>
    <row r="195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31"/>
      <c r="I195" s="31" t="s">
        <v>415</v>
      </c>
      <c r="J195" s="32" t="n">
        <v>1.0</v>
      </c>
      <c r="K195" s="33" t="n">
        <f>7133</f>
        <v>7133.0</v>
      </c>
      <c r="L195" s="34" t="s">
        <v>48</v>
      </c>
      <c r="M195" s="33" t="n">
        <f>7889</f>
        <v>7889.0</v>
      </c>
      <c r="N195" s="34" t="s">
        <v>202</v>
      </c>
      <c r="O195" s="33" t="n">
        <f>7069</f>
        <v>7069.0</v>
      </c>
      <c r="P195" s="34" t="s">
        <v>48</v>
      </c>
      <c r="Q195" s="33" t="n">
        <f>7452</f>
        <v>7452.0</v>
      </c>
      <c r="R195" s="34" t="s">
        <v>50</v>
      </c>
      <c r="S195" s="35" t="n">
        <f>7513.37</f>
        <v>7513.37</v>
      </c>
      <c r="T195" s="32" t="n">
        <f>29786</f>
        <v>29786.0</v>
      </c>
      <c r="U195" s="32" t="n">
        <f>25</f>
        <v>25.0</v>
      </c>
      <c r="V195" s="32" t="n">
        <f>224459941</f>
        <v>2.24459941E8</v>
      </c>
      <c r="W195" s="32" t="n">
        <f>180940</f>
        <v>180940.0</v>
      </c>
      <c r="X195" s="36" t="n">
        <f>19</f>
        <v>19.0</v>
      </c>
    </row>
    <row r="196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31"/>
      <c r="I196" s="31" t="s">
        <v>415</v>
      </c>
      <c r="J196" s="32" t="n">
        <v>1.0</v>
      </c>
      <c r="K196" s="33" t="n">
        <f>25800</f>
        <v>25800.0</v>
      </c>
      <c r="L196" s="34" t="s">
        <v>48</v>
      </c>
      <c r="M196" s="33" t="n">
        <f>27500</f>
        <v>27500.0</v>
      </c>
      <c r="N196" s="34" t="s">
        <v>273</v>
      </c>
      <c r="O196" s="33" t="n">
        <f>25545</f>
        <v>25545.0</v>
      </c>
      <c r="P196" s="34" t="s">
        <v>48</v>
      </c>
      <c r="Q196" s="33" t="n">
        <f>27010</f>
        <v>27010.0</v>
      </c>
      <c r="R196" s="34" t="s">
        <v>50</v>
      </c>
      <c r="S196" s="35" t="n">
        <f>26668.95</f>
        <v>26668.95</v>
      </c>
      <c r="T196" s="32" t="n">
        <f>1030</f>
        <v>1030.0</v>
      </c>
      <c r="U196" s="32" t="str">
        <f>"－"</f>
        <v>－</v>
      </c>
      <c r="V196" s="32" t="n">
        <f>27443310</f>
        <v>2.744331E7</v>
      </c>
      <c r="W196" s="32" t="str">
        <f>"－"</f>
        <v>－</v>
      </c>
      <c r="X196" s="36" t="n">
        <f>19</f>
        <v>19.0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415</v>
      </c>
      <c r="J197" s="32" t="n">
        <v>1.0</v>
      </c>
      <c r="K197" s="33" t="n">
        <f>31710</f>
        <v>31710.0</v>
      </c>
      <c r="L197" s="34" t="s">
        <v>48</v>
      </c>
      <c r="M197" s="33" t="n">
        <f>34000</f>
        <v>34000.0</v>
      </c>
      <c r="N197" s="34" t="s">
        <v>65</v>
      </c>
      <c r="O197" s="33" t="n">
        <f>31530</f>
        <v>31530.0</v>
      </c>
      <c r="P197" s="34" t="s">
        <v>48</v>
      </c>
      <c r="Q197" s="33" t="n">
        <f>32110</f>
        <v>32110.0</v>
      </c>
      <c r="R197" s="34" t="s">
        <v>50</v>
      </c>
      <c r="S197" s="35" t="n">
        <f>32597.37</f>
        <v>32597.37</v>
      </c>
      <c r="T197" s="32" t="n">
        <f>9694</f>
        <v>9694.0</v>
      </c>
      <c r="U197" s="32" t="str">
        <f>"－"</f>
        <v>－</v>
      </c>
      <c r="V197" s="32" t="n">
        <f>318626540</f>
        <v>3.1862654E8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415</v>
      </c>
      <c r="J198" s="32" t="n">
        <v>1.0</v>
      </c>
      <c r="K198" s="33" t="n">
        <f>20455</f>
        <v>20455.0</v>
      </c>
      <c r="L198" s="34" t="s">
        <v>48</v>
      </c>
      <c r="M198" s="33" t="n">
        <f>21150</f>
        <v>21150.0</v>
      </c>
      <c r="N198" s="34" t="s">
        <v>60</v>
      </c>
      <c r="O198" s="33" t="n">
        <f>20125</f>
        <v>20125.0</v>
      </c>
      <c r="P198" s="34" t="s">
        <v>69</v>
      </c>
      <c r="Q198" s="33" t="n">
        <f>20630</f>
        <v>20630.0</v>
      </c>
      <c r="R198" s="34" t="s">
        <v>50</v>
      </c>
      <c r="S198" s="35" t="n">
        <f>20648.95</f>
        <v>20648.95</v>
      </c>
      <c r="T198" s="32" t="n">
        <f>783</f>
        <v>783.0</v>
      </c>
      <c r="U198" s="32" t="str">
        <f>"－"</f>
        <v>－</v>
      </c>
      <c r="V198" s="32" t="n">
        <f>16362050</f>
        <v>1.636205E7</v>
      </c>
      <c r="W198" s="32" t="str">
        <f>"－"</f>
        <v>－</v>
      </c>
      <c r="X198" s="36" t="n">
        <f>19</f>
        <v>19.0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415</v>
      </c>
      <c r="J199" s="32" t="n">
        <v>1.0</v>
      </c>
      <c r="K199" s="33" t="n">
        <f>32500</f>
        <v>32500.0</v>
      </c>
      <c r="L199" s="34" t="s">
        <v>48</v>
      </c>
      <c r="M199" s="33" t="n">
        <f>33170</f>
        <v>33170.0</v>
      </c>
      <c r="N199" s="34" t="s">
        <v>48</v>
      </c>
      <c r="O199" s="33" t="n">
        <f>28715</f>
        <v>28715.0</v>
      </c>
      <c r="P199" s="34" t="s">
        <v>223</v>
      </c>
      <c r="Q199" s="33" t="n">
        <f>29195</f>
        <v>29195.0</v>
      </c>
      <c r="R199" s="34" t="s">
        <v>50</v>
      </c>
      <c r="S199" s="35" t="n">
        <f>30946.58</f>
        <v>30946.58</v>
      </c>
      <c r="T199" s="32" t="n">
        <f>38652</f>
        <v>38652.0</v>
      </c>
      <c r="U199" s="32" t="str">
        <f>"－"</f>
        <v>－</v>
      </c>
      <c r="V199" s="32" t="n">
        <f>1189102180</f>
        <v>1.18910218E9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415</v>
      </c>
      <c r="J200" s="32" t="n">
        <v>1.0</v>
      </c>
      <c r="K200" s="33" t="n">
        <f>3273</f>
        <v>3273.0</v>
      </c>
      <c r="L200" s="34" t="s">
        <v>48</v>
      </c>
      <c r="M200" s="33" t="n">
        <f>3425</f>
        <v>3425.0</v>
      </c>
      <c r="N200" s="34" t="s">
        <v>65</v>
      </c>
      <c r="O200" s="33" t="n">
        <f>3240</f>
        <v>3240.0</v>
      </c>
      <c r="P200" s="34" t="s">
        <v>50</v>
      </c>
      <c r="Q200" s="33" t="n">
        <f>3325</f>
        <v>3325.0</v>
      </c>
      <c r="R200" s="34" t="s">
        <v>50</v>
      </c>
      <c r="S200" s="35" t="n">
        <f>3346.94</f>
        <v>3346.94</v>
      </c>
      <c r="T200" s="32" t="n">
        <f>1742</f>
        <v>1742.0</v>
      </c>
      <c r="U200" s="32" t="str">
        <f>"－"</f>
        <v>－</v>
      </c>
      <c r="V200" s="32" t="n">
        <f>5795494</f>
        <v>5795494.0</v>
      </c>
      <c r="W200" s="32" t="str">
        <f>"－"</f>
        <v>－</v>
      </c>
      <c r="X200" s="36" t="n">
        <f>17</f>
        <v>17.0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415</v>
      </c>
      <c r="J201" s="32" t="n">
        <v>1.0</v>
      </c>
      <c r="K201" s="33" t="n">
        <f>45730</f>
        <v>45730.0</v>
      </c>
      <c r="L201" s="34" t="s">
        <v>48</v>
      </c>
      <c r="M201" s="33" t="n">
        <f>49150</f>
        <v>49150.0</v>
      </c>
      <c r="N201" s="34" t="s">
        <v>65</v>
      </c>
      <c r="O201" s="33" t="n">
        <f>44120</f>
        <v>44120.0</v>
      </c>
      <c r="P201" s="34" t="s">
        <v>70</v>
      </c>
      <c r="Q201" s="33" t="n">
        <f>44900</f>
        <v>44900.0</v>
      </c>
      <c r="R201" s="34" t="s">
        <v>70</v>
      </c>
      <c r="S201" s="35" t="n">
        <f>46925.88</f>
        <v>46925.88</v>
      </c>
      <c r="T201" s="32" t="n">
        <f>2694</f>
        <v>2694.0</v>
      </c>
      <c r="U201" s="32" t="str">
        <f>"－"</f>
        <v>－</v>
      </c>
      <c r="V201" s="32" t="n">
        <f>129787020</f>
        <v>1.2978702E8</v>
      </c>
      <c r="W201" s="32" t="str">
        <f>"－"</f>
        <v>－</v>
      </c>
      <c r="X201" s="36" t="n">
        <f>17</f>
        <v>17.0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415</v>
      </c>
      <c r="J202" s="32" t="n">
        <v>1.0</v>
      </c>
      <c r="K202" s="33" t="n">
        <f>27580</f>
        <v>27580.0</v>
      </c>
      <c r="L202" s="34" t="s">
        <v>48</v>
      </c>
      <c r="M202" s="33" t="n">
        <f>29350</f>
        <v>29350.0</v>
      </c>
      <c r="N202" s="34" t="s">
        <v>273</v>
      </c>
      <c r="O202" s="33" t="n">
        <f>27580</f>
        <v>27580.0</v>
      </c>
      <c r="P202" s="34" t="s">
        <v>48</v>
      </c>
      <c r="Q202" s="33" t="n">
        <f>28690</f>
        <v>28690.0</v>
      </c>
      <c r="R202" s="34" t="s">
        <v>50</v>
      </c>
      <c r="S202" s="35" t="n">
        <f>28690.31</f>
        <v>28690.31</v>
      </c>
      <c r="T202" s="32" t="n">
        <f>193</f>
        <v>193.0</v>
      </c>
      <c r="U202" s="32" t="str">
        <f>"－"</f>
        <v>－</v>
      </c>
      <c r="V202" s="32" t="n">
        <f>5595875</f>
        <v>5595875.0</v>
      </c>
      <c r="W202" s="32" t="str">
        <f>"－"</f>
        <v>－</v>
      </c>
      <c r="X202" s="36" t="n">
        <f>16</f>
        <v>16.0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415</v>
      </c>
      <c r="J203" s="32" t="n">
        <v>1.0</v>
      </c>
      <c r="K203" s="33" t="n">
        <f>51330</f>
        <v>51330.0</v>
      </c>
      <c r="L203" s="34" t="s">
        <v>48</v>
      </c>
      <c r="M203" s="33" t="n">
        <f>54590</f>
        <v>54590.0</v>
      </c>
      <c r="N203" s="34" t="s">
        <v>155</v>
      </c>
      <c r="O203" s="33" t="n">
        <f>50450</f>
        <v>50450.0</v>
      </c>
      <c r="P203" s="34" t="s">
        <v>48</v>
      </c>
      <c r="Q203" s="33" t="n">
        <f>51540</f>
        <v>51540.0</v>
      </c>
      <c r="R203" s="34" t="s">
        <v>70</v>
      </c>
      <c r="S203" s="35" t="n">
        <f>52423.53</f>
        <v>52423.53</v>
      </c>
      <c r="T203" s="32" t="n">
        <f>4060</f>
        <v>4060.0</v>
      </c>
      <c r="U203" s="32" t="n">
        <f>3780</f>
        <v>3780.0</v>
      </c>
      <c r="V203" s="32" t="n">
        <f>213710320</f>
        <v>2.1371032E8</v>
      </c>
      <c r="W203" s="32" t="n">
        <f>199092600</f>
        <v>1.990926E8</v>
      </c>
      <c r="X203" s="36" t="n">
        <f>17</f>
        <v>17.0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415</v>
      </c>
      <c r="J204" s="32" t="n">
        <v>1.0</v>
      </c>
      <c r="K204" s="33" t="n">
        <f>26235</f>
        <v>26235.0</v>
      </c>
      <c r="L204" s="34" t="s">
        <v>48</v>
      </c>
      <c r="M204" s="33" t="n">
        <f>26980</f>
        <v>26980.0</v>
      </c>
      <c r="N204" s="34" t="s">
        <v>103</v>
      </c>
      <c r="O204" s="33" t="n">
        <f>25200</f>
        <v>25200.0</v>
      </c>
      <c r="P204" s="34" t="s">
        <v>50</v>
      </c>
      <c r="Q204" s="33" t="n">
        <f>25200</f>
        <v>25200.0</v>
      </c>
      <c r="R204" s="34" t="s">
        <v>50</v>
      </c>
      <c r="S204" s="35" t="n">
        <f>26010.71</f>
        <v>26010.71</v>
      </c>
      <c r="T204" s="32" t="n">
        <f>2029</f>
        <v>2029.0</v>
      </c>
      <c r="U204" s="32" t="str">
        <f>"－"</f>
        <v>－</v>
      </c>
      <c r="V204" s="32" t="n">
        <f>51164935</f>
        <v>5.1164935E7</v>
      </c>
      <c r="W204" s="32" t="str">
        <f>"－"</f>
        <v>－</v>
      </c>
      <c r="X204" s="36" t="n">
        <f>7</f>
        <v>7.0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415</v>
      </c>
      <c r="J205" s="32" t="n">
        <v>1.0</v>
      </c>
      <c r="K205" s="33" t="n">
        <f>26250</f>
        <v>26250.0</v>
      </c>
      <c r="L205" s="34" t="s">
        <v>48</v>
      </c>
      <c r="M205" s="33" t="n">
        <f>27140</f>
        <v>27140.0</v>
      </c>
      <c r="N205" s="34" t="s">
        <v>206</v>
      </c>
      <c r="O205" s="33" t="n">
        <f>25350</f>
        <v>25350.0</v>
      </c>
      <c r="P205" s="34" t="s">
        <v>70</v>
      </c>
      <c r="Q205" s="33" t="n">
        <f>25350</f>
        <v>25350.0</v>
      </c>
      <c r="R205" s="34" t="s">
        <v>70</v>
      </c>
      <c r="S205" s="35" t="n">
        <f>26461.56</f>
        <v>26461.56</v>
      </c>
      <c r="T205" s="32" t="n">
        <f>1469</f>
        <v>1469.0</v>
      </c>
      <c r="U205" s="32" t="str">
        <f>"－"</f>
        <v>－</v>
      </c>
      <c r="V205" s="32" t="n">
        <f>38435705</f>
        <v>3.8435705E7</v>
      </c>
      <c r="W205" s="32" t="str">
        <f>"－"</f>
        <v>－</v>
      </c>
      <c r="X205" s="36" t="n">
        <f>16</f>
        <v>16.0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415</v>
      </c>
      <c r="J206" s="32" t="n">
        <v>1.0</v>
      </c>
      <c r="K206" s="33" t="n">
        <f>36720</f>
        <v>36720.0</v>
      </c>
      <c r="L206" s="34" t="s">
        <v>202</v>
      </c>
      <c r="M206" s="33" t="n">
        <f>37040</f>
        <v>37040.0</v>
      </c>
      <c r="N206" s="34" t="s">
        <v>50</v>
      </c>
      <c r="O206" s="33" t="n">
        <f>36690</f>
        <v>36690.0</v>
      </c>
      <c r="P206" s="34" t="s">
        <v>202</v>
      </c>
      <c r="Q206" s="33" t="n">
        <f>37040</f>
        <v>37040.0</v>
      </c>
      <c r="R206" s="34" t="s">
        <v>50</v>
      </c>
      <c r="S206" s="35" t="n">
        <f>36870</f>
        <v>36870.0</v>
      </c>
      <c r="T206" s="32" t="n">
        <f>3003</f>
        <v>3003.0</v>
      </c>
      <c r="U206" s="32" t="n">
        <f>1000</f>
        <v>1000.0</v>
      </c>
      <c r="V206" s="32" t="n">
        <f>107962010</f>
        <v>1.0796201E8</v>
      </c>
      <c r="W206" s="32" t="n">
        <f>34440000</f>
        <v>3.444E7</v>
      </c>
      <c r="X206" s="36" t="n">
        <f>2</f>
        <v>2.0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415</v>
      </c>
      <c r="J207" s="32" t="n">
        <v>1.0</v>
      </c>
      <c r="K207" s="33" t="n">
        <f>20845</f>
        <v>20845.0</v>
      </c>
      <c r="L207" s="34" t="s">
        <v>206</v>
      </c>
      <c r="M207" s="33" t="n">
        <f>20845</f>
        <v>20845.0</v>
      </c>
      <c r="N207" s="34" t="s">
        <v>206</v>
      </c>
      <c r="O207" s="33" t="n">
        <f>20845</f>
        <v>20845.0</v>
      </c>
      <c r="P207" s="34" t="s">
        <v>206</v>
      </c>
      <c r="Q207" s="33" t="n">
        <f>20845</f>
        <v>20845.0</v>
      </c>
      <c r="R207" s="34" t="s">
        <v>206</v>
      </c>
      <c r="S207" s="35" t="n">
        <f>20845</f>
        <v>20845.0</v>
      </c>
      <c r="T207" s="32" t="n">
        <f>42</f>
        <v>42.0</v>
      </c>
      <c r="U207" s="32" t="str">
        <f>"－"</f>
        <v>－</v>
      </c>
      <c r="V207" s="32" t="n">
        <f>875490</f>
        <v>875490.0</v>
      </c>
      <c r="W207" s="32" t="str">
        <f>"－"</f>
        <v>－</v>
      </c>
      <c r="X207" s="36" t="n">
        <f>1</f>
        <v>1.0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415</v>
      </c>
      <c r="J208" s="32" t="n">
        <v>1.0</v>
      </c>
      <c r="K208" s="33" t="n">
        <f>14490</f>
        <v>14490.0</v>
      </c>
      <c r="L208" s="34" t="s">
        <v>48</v>
      </c>
      <c r="M208" s="33" t="n">
        <f>14950</f>
        <v>14950.0</v>
      </c>
      <c r="N208" s="34" t="s">
        <v>49</v>
      </c>
      <c r="O208" s="33" t="n">
        <f>13995</f>
        <v>13995.0</v>
      </c>
      <c r="P208" s="34" t="s">
        <v>70</v>
      </c>
      <c r="Q208" s="33" t="n">
        <f>13995</f>
        <v>13995.0</v>
      </c>
      <c r="R208" s="34" t="s">
        <v>70</v>
      </c>
      <c r="S208" s="35" t="n">
        <f>14515</f>
        <v>14515.0</v>
      </c>
      <c r="T208" s="32" t="n">
        <f>532</f>
        <v>532.0</v>
      </c>
      <c r="U208" s="32" t="str">
        <f>"－"</f>
        <v>－</v>
      </c>
      <c r="V208" s="32" t="n">
        <f>7602060</f>
        <v>7602060.0</v>
      </c>
      <c r="W208" s="32" t="str">
        <f>"－"</f>
        <v>－</v>
      </c>
      <c r="X208" s="36" t="n">
        <f>11</f>
        <v>11.0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415</v>
      </c>
      <c r="J209" s="32" t="n">
        <v>1.0</v>
      </c>
      <c r="K209" s="33" t="n">
        <f>18175</f>
        <v>18175.0</v>
      </c>
      <c r="L209" s="34" t="s">
        <v>48</v>
      </c>
      <c r="M209" s="33" t="n">
        <f>18835</f>
        <v>18835.0</v>
      </c>
      <c r="N209" s="34" t="s">
        <v>49</v>
      </c>
      <c r="O209" s="33" t="n">
        <f>17825</f>
        <v>17825.0</v>
      </c>
      <c r="P209" s="34" t="s">
        <v>50</v>
      </c>
      <c r="Q209" s="33" t="n">
        <f>17825</f>
        <v>17825.0</v>
      </c>
      <c r="R209" s="34" t="s">
        <v>50</v>
      </c>
      <c r="S209" s="35" t="n">
        <f>18354.17</f>
        <v>18354.17</v>
      </c>
      <c r="T209" s="32" t="n">
        <f>3770</f>
        <v>3770.0</v>
      </c>
      <c r="U209" s="32" t="str">
        <f>"－"</f>
        <v>－</v>
      </c>
      <c r="V209" s="32" t="n">
        <f>69405245</f>
        <v>6.9405245E7</v>
      </c>
      <c r="W209" s="32" t="str">
        <f>"－"</f>
        <v>－</v>
      </c>
      <c r="X209" s="36" t="n">
        <f>12</f>
        <v>12.0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415</v>
      </c>
      <c r="J210" s="32" t="n">
        <v>1.0</v>
      </c>
      <c r="K210" s="33" t="n">
        <f>16705</f>
        <v>16705.0</v>
      </c>
      <c r="L210" s="34" t="s">
        <v>48</v>
      </c>
      <c r="M210" s="33" t="n">
        <f>18020</f>
        <v>18020.0</v>
      </c>
      <c r="N210" s="34" t="s">
        <v>60</v>
      </c>
      <c r="O210" s="33" t="n">
        <f>16705</f>
        <v>16705.0</v>
      </c>
      <c r="P210" s="34" t="s">
        <v>48</v>
      </c>
      <c r="Q210" s="33" t="n">
        <f>17990</f>
        <v>17990.0</v>
      </c>
      <c r="R210" s="34" t="s">
        <v>50</v>
      </c>
      <c r="S210" s="35" t="n">
        <f>17472.5</f>
        <v>17472.5</v>
      </c>
      <c r="T210" s="32" t="n">
        <f>1183</f>
        <v>1183.0</v>
      </c>
      <c r="U210" s="32" t="str">
        <f>"－"</f>
        <v>－</v>
      </c>
      <c r="V210" s="32" t="n">
        <f>20507035</f>
        <v>2.0507035E7</v>
      </c>
      <c r="W210" s="32" t="str">
        <f>"－"</f>
        <v>－</v>
      </c>
      <c r="X210" s="36" t="n">
        <f>10</f>
        <v>10.0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415</v>
      </c>
      <c r="J211" s="32" t="n">
        <v>1.0</v>
      </c>
      <c r="K211" s="33" t="n">
        <f>15275</f>
        <v>15275.0</v>
      </c>
      <c r="L211" s="34" t="s">
        <v>48</v>
      </c>
      <c r="M211" s="33" t="n">
        <f>15435</f>
        <v>15435.0</v>
      </c>
      <c r="N211" s="34" t="s">
        <v>75</v>
      </c>
      <c r="O211" s="33" t="n">
        <f>15275</f>
        <v>15275.0</v>
      </c>
      <c r="P211" s="34" t="s">
        <v>48</v>
      </c>
      <c r="Q211" s="33" t="n">
        <f>15435</f>
        <v>15435.0</v>
      </c>
      <c r="R211" s="34" t="s">
        <v>75</v>
      </c>
      <c r="S211" s="35" t="n">
        <f>15355</f>
        <v>15355.0</v>
      </c>
      <c r="T211" s="32" t="n">
        <f>101</f>
        <v>101.0</v>
      </c>
      <c r="U211" s="32" t="str">
        <f>"－"</f>
        <v>－</v>
      </c>
      <c r="V211" s="32" t="n">
        <f>1558775</f>
        <v>1558775.0</v>
      </c>
      <c r="W211" s="32" t="str">
        <f>"－"</f>
        <v>－</v>
      </c>
      <c r="X211" s="36" t="n">
        <f>2</f>
        <v>2.0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1610</f>
        <v>1610.0</v>
      </c>
      <c r="L212" s="34" t="s">
        <v>48</v>
      </c>
      <c r="M212" s="33" t="n">
        <f>1760</f>
        <v>1760.0</v>
      </c>
      <c r="N212" s="34" t="s">
        <v>65</v>
      </c>
      <c r="O212" s="33" t="n">
        <f>1608</f>
        <v>1608.0</v>
      </c>
      <c r="P212" s="34" t="s">
        <v>48</v>
      </c>
      <c r="Q212" s="33" t="n">
        <f>1728</f>
        <v>1728.0</v>
      </c>
      <c r="R212" s="34" t="s">
        <v>50</v>
      </c>
      <c r="S212" s="35" t="n">
        <f>1701.84</f>
        <v>1701.84</v>
      </c>
      <c r="T212" s="32" t="n">
        <f>1133018</f>
        <v>1133018.0</v>
      </c>
      <c r="U212" s="32" t="str">
        <f>"－"</f>
        <v>－</v>
      </c>
      <c r="V212" s="32" t="n">
        <f>1935327300</f>
        <v>1.9353273E9</v>
      </c>
      <c r="W212" s="32" t="str">
        <f>"－"</f>
        <v>－</v>
      </c>
      <c r="X212" s="36" t="n">
        <f>19</f>
        <v>19.0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1738</f>
        <v>1738.0</v>
      </c>
      <c r="L213" s="34" t="s">
        <v>48</v>
      </c>
      <c r="M213" s="33" t="n">
        <f>1892</f>
        <v>1892.0</v>
      </c>
      <c r="N213" s="34" t="s">
        <v>65</v>
      </c>
      <c r="O213" s="33" t="n">
        <f>1659</f>
        <v>1659.0</v>
      </c>
      <c r="P213" s="34" t="s">
        <v>48</v>
      </c>
      <c r="Q213" s="33" t="n">
        <f>1826</f>
        <v>1826.0</v>
      </c>
      <c r="R213" s="34" t="s">
        <v>50</v>
      </c>
      <c r="S213" s="35" t="n">
        <f>1820.32</f>
        <v>1820.32</v>
      </c>
      <c r="T213" s="32" t="n">
        <f>37689</f>
        <v>37689.0</v>
      </c>
      <c r="U213" s="32" t="str">
        <f>"－"</f>
        <v>－</v>
      </c>
      <c r="V213" s="32" t="n">
        <f>67517905</f>
        <v>6.7517905E7</v>
      </c>
      <c r="W213" s="32" t="str">
        <f>"－"</f>
        <v>－</v>
      </c>
      <c r="X213" s="36" t="n">
        <f>19</f>
        <v>19.0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1180</f>
        <v>1180.0</v>
      </c>
      <c r="L214" s="34" t="s">
        <v>48</v>
      </c>
      <c r="M214" s="33" t="n">
        <f>1237</f>
        <v>1237.0</v>
      </c>
      <c r="N214" s="34" t="s">
        <v>155</v>
      </c>
      <c r="O214" s="33" t="n">
        <f>1146</f>
        <v>1146.0</v>
      </c>
      <c r="P214" s="34" t="s">
        <v>155</v>
      </c>
      <c r="Q214" s="33" t="n">
        <f>1178</f>
        <v>1178.0</v>
      </c>
      <c r="R214" s="34" t="s">
        <v>50</v>
      </c>
      <c r="S214" s="35" t="n">
        <f>1191.95</f>
        <v>1191.95</v>
      </c>
      <c r="T214" s="32" t="n">
        <f>5317</f>
        <v>5317.0</v>
      </c>
      <c r="U214" s="32" t="str">
        <f>"－"</f>
        <v>－</v>
      </c>
      <c r="V214" s="32" t="n">
        <f>6343394</f>
        <v>6343394.0</v>
      </c>
      <c r="W214" s="32" t="str">
        <f>"－"</f>
        <v>－</v>
      </c>
      <c r="X214" s="36" t="n">
        <f>19</f>
        <v>19.0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2900</f>
        <v>2900.0</v>
      </c>
      <c r="L215" s="34" t="s">
        <v>48</v>
      </c>
      <c r="M215" s="33" t="n">
        <f>3142</f>
        <v>3142.0</v>
      </c>
      <c r="N215" s="34" t="s">
        <v>155</v>
      </c>
      <c r="O215" s="33" t="n">
        <f>2876</f>
        <v>2876.0</v>
      </c>
      <c r="P215" s="34" t="s">
        <v>257</v>
      </c>
      <c r="Q215" s="33" t="n">
        <f>2975</f>
        <v>2975.0</v>
      </c>
      <c r="R215" s="34" t="s">
        <v>50</v>
      </c>
      <c r="S215" s="35" t="n">
        <f>2978.11</f>
        <v>2978.11</v>
      </c>
      <c r="T215" s="32" t="n">
        <f>96197</f>
        <v>96197.0</v>
      </c>
      <c r="U215" s="32" t="n">
        <f>22</f>
        <v>22.0</v>
      </c>
      <c r="V215" s="32" t="n">
        <f>284970722</f>
        <v>2.84970722E8</v>
      </c>
      <c r="W215" s="32" t="n">
        <f>64262</f>
        <v>64262.0</v>
      </c>
      <c r="X215" s="36" t="n">
        <f>19</f>
        <v>19.0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3071</f>
        <v>3071.0</v>
      </c>
      <c r="L216" s="34" t="s">
        <v>48</v>
      </c>
      <c r="M216" s="33" t="n">
        <f>3300</f>
        <v>3300.0</v>
      </c>
      <c r="N216" s="34" t="s">
        <v>65</v>
      </c>
      <c r="O216" s="33" t="n">
        <f>3057</f>
        <v>3057.0</v>
      </c>
      <c r="P216" s="34" t="s">
        <v>48</v>
      </c>
      <c r="Q216" s="33" t="n">
        <f>3244</f>
        <v>3244.0</v>
      </c>
      <c r="R216" s="34" t="s">
        <v>50</v>
      </c>
      <c r="S216" s="35" t="n">
        <f>3204.95</f>
        <v>3204.95</v>
      </c>
      <c r="T216" s="32" t="n">
        <f>241978</f>
        <v>241978.0</v>
      </c>
      <c r="U216" s="32" t="n">
        <f>1</f>
        <v>1.0</v>
      </c>
      <c r="V216" s="32" t="n">
        <f>767680862</f>
        <v>7.67680862E8</v>
      </c>
      <c r="W216" s="32" t="n">
        <f>3045</f>
        <v>3045.0</v>
      </c>
      <c r="X216" s="36" t="n">
        <f>19</f>
        <v>19.0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700</f>
        <v>700.0</v>
      </c>
      <c r="L217" s="34" t="s">
        <v>48</v>
      </c>
      <c r="M217" s="33" t="n">
        <f>750</f>
        <v>750.0</v>
      </c>
      <c r="N217" s="34" t="s">
        <v>49</v>
      </c>
      <c r="O217" s="33" t="n">
        <f>696.4</f>
        <v>696.4</v>
      </c>
      <c r="P217" s="34" t="s">
        <v>48</v>
      </c>
      <c r="Q217" s="33" t="n">
        <f>718.9</f>
        <v>718.9</v>
      </c>
      <c r="R217" s="34" t="s">
        <v>50</v>
      </c>
      <c r="S217" s="35" t="n">
        <f>721.33</f>
        <v>721.33</v>
      </c>
      <c r="T217" s="32" t="n">
        <f>1515590</f>
        <v>1515590.0</v>
      </c>
      <c r="U217" s="32" t="n">
        <f>457000</f>
        <v>457000.0</v>
      </c>
      <c r="V217" s="32" t="n">
        <f>1087068803</f>
        <v>1.087068803E9</v>
      </c>
      <c r="W217" s="32" t="n">
        <f>327420486</f>
        <v>3.27420486E8</v>
      </c>
      <c r="X217" s="36" t="n">
        <f>19</f>
        <v>19.0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2819.5</f>
        <v>2819.5</v>
      </c>
      <c r="L218" s="34" t="s">
        <v>48</v>
      </c>
      <c r="M218" s="33" t="n">
        <f>2894</f>
        <v>2894.0</v>
      </c>
      <c r="N218" s="34" t="s">
        <v>70</v>
      </c>
      <c r="O218" s="33" t="n">
        <f>2769</f>
        <v>2769.0</v>
      </c>
      <c r="P218" s="34" t="s">
        <v>65</v>
      </c>
      <c r="Q218" s="33" t="n">
        <f>2821</f>
        <v>2821.0</v>
      </c>
      <c r="R218" s="34" t="s">
        <v>50</v>
      </c>
      <c r="S218" s="35" t="n">
        <f>2821.53</f>
        <v>2821.53</v>
      </c>
      <c r="T218" s="32" t="n">
        <f>19961</f>
        <v>19961.0</v>
      </c>
      <c r="U218" s="32" t="str">
        <f>"－"</f>
        <v>－</v>
      </c>
      <c r="V218" s="32" t="n">
        <f>56224376</f>
        <v>5.6224376E7</v>
      </c>
      <c r="W218" s="32" t="str">
        <f>"－"</f>
        <v>－</v>
      </c>
      <c r="X218" s="36" t="n">
        <f>19</f>
        <v>19.0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3028</f>
        <v>3028.0</v>
      </c>
      <c r="L219" s="34" t="s">
        <v>48</v>
      </c>
      <c r="M219" s="33" t="n">
        <f>3117</f>
        <v>3117.0</v>
      </c>
      <c r="N219" s="34" t="s">
        <v>70</v>
      </c>
      <c r="O219" s="33" t="n">
        <f>2981</f>
        <v>2981.0</v>
      </c>
      <c r="P219" s="34" t="s">
        <v>65</v>
      </c>
      <c r="Q219" s="33" t="n">
        <f>3073</f>
        <v>3073.0</v>
      </c>
      <c r="R219" s="34" t="s">
        <v>50</v>
      </c>
      <c r="S219" s="35" t="n">
        <f>3059.83</f>
        <v>3059.83</v>
      </c>
      <c r="T219" s="32" t="n">
        <f>206948</f>
        <v>206948.0</v>
      </c>
      <c r="U219" s="32" t="n">
        <f>205800</f>
        <v>205800.0</v>
      </c>
      <c r="V219" s="32" t="n">
        <f>636592318</f>
        <v>6.36592318E8</v>
      </c>
      <c r="W219" s="32" t="n">
        <f>633081960</f>
        <v>6.3308196E8</v>
      </c>
      <c r="X219" s="36" t="n">
        <f>12</f>
        <v>12.0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2475</f>
        <v>2475.0</v>
      </c>
      <c r="L220" s="34" t="s">
        <v>48</v>
      </c>
      <c r="M220" s="33" t="n">
        <f>2545</f>
        <v>2545.0</v>
      </c>
      <c r="N220" s="34" t="s">
        <v>155</v>
      </c>
      <c r="O220" s="33" t="n">
        <f>2463</f>
        <v>2463.0</v>
      </c>
      <c r="P220" s="34" t="s">
        <v>65</v>
      </c>
      <c r="Q220" s="33" t="n">
        <f>2494</f>
        <v>2494.0</v>
      </c>
      <c r="R220" s="34" t="s">
        <v>50</v>
      </c>
      <c r="S220" s="35" t="n">
        <f>2510.35</f>
        <v>2510.35</v>
      </c>
      <c r="T220" s="32" t="n">
        <f>1336404</f>
        <v>1336404.0</v>
      </c>
      <c r="U220" s="32" t="n">
        <f>931000</f>
        <v>931000.0</v>
      </c>
      <c r="V220" s="32" t="n">
        <f>3336505842</f>
        <v>3.336505842E9</v>
      </c>
      <c r="W220" s="32" t="n">
        <f>2317715190</f>
        <v>2.31771519E9</v>
      </c>
      <c r="X220" s="36" t="n">
        <f>17</f>
        <v>17.0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2787</f>
        <v>2787.0</v>
      </c>
      <c r="L221" s="34" t="s">
        <v>48</v>
      </c>
      <c r="M221" s="33" t="n">
        <f>2844</f>
        <v>2844.0</v>
      </c>
      <c r="N221" s="34" t="s">
        <v>49</v>
      </c>
      <c r="O221" s="33" t="n">
        <f>2738.5</f>
        <v>2738.5</v>
      </c>
      <c r="P221" s="34" t="s">
        <v>50</v>
      </c>
      <c r="Q221" s="33" t="n">
        <f>2738.5</f>
        <v>2738.5</v>
      </c>
      <c r="R221" s="34" t="s">
        <v>50</v>
      </c>
      <c r="S221" s="35" t="n">
        <f>2791.5</f>
        <v>2791.5</v>
      </c>
      <c r="T221" s="32" t="n">
        <f>205120</f>
        <v>205120.0</v>
      </c>
      <c r="U221" s="32" t="str">
        <f>"－"</f>
        <v>－</v>
      </c>
      <c r="V221" s="32" t="n">
        <f>577519415</f>
        <v>5.77519415E8</v>
      </c>
      <c r="W221" s="32" t="str">
        <f>"－"</f>
        <v>－</v>
      </c>
      <c r="X221" s="36" t="n">
        <f>8</f>
        <v>8.0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4609</f>
        <v>4609.0</v>
      </c>
      <c r="L222" s="34" t="s">
        <v>48</v>
      </c>
      <c r="M222" s="33" t="n">
        <f>4609</f>
        <v>4609.0</v>
      </c>
      <c r="N222" s="34" t="s">
        <v>48</v>
      </c>
      <c r="O222" s="33" t="n">
        <f>4488</f>
        <v>4488.0</v>
      </c>
      <c r="P222" s="34" t="s">
        <v>213</v>
      </c>
      <c r="Q222" s="33" t="n">
        <f>4499</f>
        <v>4499.0</v>
      </c>
      <c r="R222" s="34" t="s">
        <v>50</v>
      </c>
      <c r="S222" s="35" t="n">
        <f>4514.5</f>
        <v>4514.5</v>
      </c>
      <c r="T222" s="32" t="n">
        <f>588810</f>
        <v>588810.0</v>
      </c>
      <c r="U222" s="32" t="n">
        <f>440000</f>
        <v>440000.0</v>
      </c>
      <c r="V222" s="32" t="n">
        <f>2667844420</f>
        <v>2.66784442E9</v>
      </c>
      <c r="W222" s="32" t="n">
        <f>1996302000</f>
        <v>1.996302E9</v>
      </c>
      <c r="X222" s="36" t="n">
        <f>18</f>
        <v>18.0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4666</f>
        <v>4666.0</v>
      </c>
      <c r="L223" s="34" t="s">
        <v>65</v>
      </c>
      <c r="M223" s="33" t="n">
        <f>4666</f>
        <v>4666.0</v>
      </c>
      <c r="N223" s="34" t="s">
        <v>65</v>
      </c>
      <c r="O223" s="33" t="n">
        <f>4649</f>
        <v>4649.0</v>
      </c>
      <c r="P223" s="34" t="s">
        <v>213</v>
      </c>
      <c r="Q223" s="33" t="n">
        <f>4663</f>
        <v>4663.0</v>
      </c>
      <c r="R223" s="34" t="s">
        <v>50</v>
      </c>
      <c r="S223" s="35" t="n">
        <f>4656</f>
        <v>4656.0</v>
      </c>
      <c r="T223" s="32" t="n">
        <f>240</f>
        <v>240.0</v>
      </c>
      <c r="U223" s="32" t="str">
        <f>"－"</f>
        <v>－</v>
      </c>
      <c r="V223" s="32" t="n">
        <f>1118620</f>
        <v>1118620.0</v>
      </c>
      <c r="W223" s="32" t="str">
        <f>"－"</f>
        <v>－</v>
      </c>
      <c r="X223" s="36" t="n">
        <f>5</f>
        <v>5.0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4691</f>
        <v>4691.0</v>
      </c>
      <c r="L224" s="34" t="s">
        <v>48</v>
      </c>
      <c r="M224" s="33" t="n">
        <f>4758</f>
        <v>4758.0</v>
      </c>
      <c r="N224" s="34" t="s">
        <v>50</v>
      </c>
      <c r="O224" s="33" t="n">
        <f>4691</f>
        <v>4691.0</v>
      </c>
      <c r="P224" s="34" t="s">
        <v>48</v>
      </c>
      <c r="Q224" s="33" t="n">
        <f>4758</f>
        <v>4758.0</v>
      </c>
      <c r="R224" s="34" t="s">
        <v>50</v>
      </c>
      <c r="S224" s="35" t="n">
        <f>4726.14</f>
        <v>4726.14</v>
      </c>
      <c r="T224" s="32" t="n">
        <f>106070</f>
        <v>106070.0</v>
      </c>
      <c r="U224" s="32" t="n">
        <f>106000</f>
        <v>106000.0</v>
      </c>
      <c r="V224" s="32" t="n">
        <f>501117230</f>
        <v>5.0111723E8</v>
      </c>
      <c r="W224" s="32" t="n">
        <f>500786400</f>
        <v>5.007864E8</v>
      </c>
      <c r="X224" s="36" t="n">
        <f>7</f>
        <v>7.0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5224</f>
        <v>5224.0</v>
      </c>
      <c r="L225" s="34" t="s">
        <v>48</v>
      </c>
      <c r="M225" s="33" t="n">
        <f>5350</f>
        <v>5350.0</v>
      </c>
      <c r="N225" s="34" t="s">
        <v>49</v>
      </c>
      <c r="O225" s="33" t="n">
        <f>5082</f>
        <v>5082.0</v>
      </c>
      <c r="P225" s="34" t="s">
        <v>61</v>
      </c>
      <c r="Q225" s="33" t="n">
        <f>5131</f>
        <v>5131.0</v>
      </c>
      <c r="R225" s="34" t="s">
        <v>50</v>
      </c>
      <c r="S225" s="35" t="n">
        <f>5222.79</f>
        <v>5222.79</v>
      </c>
      <c r="T225" s="32" t="n">
        <f>210894</f>
        <v>210894.0</v>
      </c>
      <c r="U225" s="32" t="n">
        <f>189010</f>
        <v>189010.0</v>
      </c>
      <c r="V225" s="32" t="n">
        <f>1094443070</f>
        <v>1.09444307E9</v>
      </c>
      <c r="W225" s="32" t="n">
        <f>980777889</f>
        <v>9.80777889E8</v>
      </c>
      <c r="X225" s="36" t="n">
        <f>19</f>
        <v>19.0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734</f>
        <v>734.0</v>
      </c>
      <c r="L226" s="34" t="s">
        <v>48</v>
      </c>
      <c r="M226" s="33" t="n">
        <f>752</f>
        <v>752.0</v>
      </c>
      <c r="N226" s="34" t="s">
        <v>70</v>
      </c>
      <c r="O226" s="33" t="n">
        <f>712</f>
        <v>712.0</v>
      </c>
      <c r="P226" s="34" t="s">
        <v>103</v>
      </c>
      <c r="Q226" s="33" t="n">
        <f>735</f>
        <v>735.0</v>
      </c>
      <c r="R226" s="34" t="s">
        <v>50</v>
      </c>
      <c r="S226" s="35" t="n">
        <f>733.42</f>
        <v>733.42</v>
      </c>
      <c r="T226" s="32" t="n">
        <f>737109</f>
        <v>737109.0</v>
      </c>
      <c r="U226" s="32" t="str">
        <f>"－"</f>
        <v>－</v>
      </c>
      <c r="V226" s="32" t="n">
        <f>538479054</f>
        <v>5.38479054E8</v>
      </c>
      <c r="W226" s="32" t="str">
        <f>"－"</f>
        <v>－</v>
      </c>
      <c r="X226" s="36" t="n">
        <f>19</f>
        <v>19.0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1095</f>
        <v>1095.0</v>
      </c>
      <c r="L227" s="34" t="s">
        <v>48</v>
      </c>
      <c r="M227" s="33" t="n">
        <f>1152</f>
        <v>1152.0</v>
      </c>
      <c r="N227" s="34" t="s">
        <v>65</v>
      </c>
      <c r="O227" s="33" t="n">
        <f>1093</f>
        <v>1093.0</v>
      </c>
      <c r="P227" s="34" t="s">
        <v>48</v>
      </c>
      <c r="Q227" s="33" t="n">
        <f>1135</f>
        <v>1135.0</v>
      </c>
      <c r="R227" s="34" t="s">
        <v>50</v>
      </c>
      <c r="S227" s="35" t="n">
        <f>1129.89</f>
        <v>1129.89</v>
      </c>
      <c r="T227" s="32" t="n">
        <f>178223</f>
        <v>178223.0</v>
      </c>
      <c r="U227" s="32" t="str">
        <f>"－"</f>
        <v>－</v>
      </c>
      <c r="V227" s="32" t="n">
        <f>200518200</f>
        <v>2.005182E8</v>
      </c>
      <c r="W227" s="32" t="str">
        <f>"－"</f>
        <v>－</v>
      </c>
      <c r="X227" s="36" t="n">
        <f>19</f>
        <v>19.0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1188</f>
        <v>1188.0</v>
      </c>
      <c r="L228" s="34" t="s">
        <v>48</v>
      </c>
      <c r="M228" s="33" t="n">
        <f>1206</f>
        <v>1206.0</v>
      </c>
      <c r="N228" s="34" t="s">
        <v>213</v>
      </c>
      <c r="O228" s="33" t="n">
        <f>1134</f>
        <v>1134.0</v>
      </c>
      <c r="P228" s="34" t="s">
        <v>70</v>
      </c>
      <c r="Q228" s="33" t="n">
        <f>1150</f>
        <v>1150.0</v>
      </c>
      <c r="R228" s="34" t="s">
        <v>50</v>
      </c>
      <c r="S228" s="35" t="n">
        <f>1168</f>
        <v>1168.0</v>
      </c>
      <c r="T228" s="32" t="n">
        <f>680611</f>
        <v>680611.0</v>
      </c>
      <c r="U228" s="32" t="n">
        <f>306641</f>
        <v>306641.0</v>
      </c>
      <c r="V228" s="32" t="n">
        <f>790427694</f>
        <v>7.90427694E8</v>
      </c>
      <c r="W228" s="32" t="n">
        <f>355962300</f>
        <v>3.559623E8</v>
      </c>
      <c r="X228" s="36" t="n">
        <f>19</f>
        <v>19.0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1094</f>
        <v>1094.0</v>
      </c>
      <c r="L229" s="34" t="s">
        <v>48</v>
      </c>
      <c r="M229" s="33" t="n">
        <f>1166</f>
        <v>1166.0</v>
      </c>
      <c r="N229" s="34" t="s">
        <v>195</v>
      </c>
      <c r="O229" s="33" t="n">
        <f>1084</f>
        <v>1084.0</v>
      </c>
      <c r="P229" s="34" t="s">
        <v>223</v>
      </c>
      <c r="Q229" s="33" t="n">
        <f>1100</f>
        <v>1100.0</v>
      </c>
      <c r="R229" s="34" t="s">
        <v>50</v>
      </c>
      <c r="S229" s="35" t="n">
        <f>1112.32</f>
        <v>1112.32</v>
      </c>
      <c r="T229" s="32" t="n">
        <f>425249</f>
        <v>425249.0</v>
      </c>
      <c r="U229" s="32" t="str">
        <f>"－"</f>
        <v>－</v>
      </c>
      <c r="V229" s="32" t="n">
        <f>470378774</f>
        <v>4.70378774E8</v>
      </c>
      <c r="W229" s="32" t="str">
        <f>"－"</f>
        <v>－</v>
      </c>
      <c r="X229" s="36" t="n">
        <f>19</f>
        <v>19.0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1140</f>
        <v>1140.0</v>
      </c>
      <c r="L230" s="34" t="s">
        <v>48</v>
      </c>
      <c r="M230" s="33" t="n">
        <f>1180</f>
        <v>1180.0</v>
      </c>
      <c r="N230" s="34" t="s">
        <v>213</v>
      </c>
      <c r="O230" s="33" t="n">
        <f>1112</f>
        <v>1112.0</v>
      </c>
      <c r="P230" s="34" t="s">
        <v>70</v>
      </c>
      <c r="Q230" s="33" t="n">
        <f>1131</f>
        <v>1131.0</v>
      </c>
      <c r="R230" s="34" t="s">
        <v>50</v>
      </c>
      <c r="S230" s="35" t="n">
        <f>1144.68</f>
        <v>1144.68</v>
      </c>
      <c r="T230" s="32" t="n">
        <f>523839</f>
        <v>523839.0</v>
      </c>
      <c r="U230" s="32" t="n">
        <f>300000</f>
        <v>300000.0</v>
      </c>
      <c r="V230" s="32" t="n">
        <f>599373843</f>
        <v>5.99373843E8</v>
      </c>
      <c r="W230" s="32" t="n">
        <f>345269940</f>
        <v>3.4526994E8</v>
      </c>
      <c r="X230" s="36" t="n">
        <f>19</f>
        <v>19.0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1800</f>
        <v>1800.0</v>
      </c>
      <c r="L231" s="34" t="s">
        <v>48</v>
      </c>
      <c r="M231" s="33" t="n">
        <f>1871</f>
        <v>1871.0</v>
      </c>
      <c r="N231" s="34" t="s">
        <v>103</v>
      </c>
      <c r="O231" s="33" t="n">
        <f>1745</f>
        <v>1745.0</v>
      </c>
      <c r="P231" s="34" t="s">
        <v>70</v>
      </c>
      <c r="Q231" s="33" t="n">
        <f>1765</f>
        <v>1765.0</v>
      </c>
      <c r="R231" s="34" t="s">
        <v>50</v>
      </c>
      <c r="S231" s="35" t="n">
        <f>1794</f>
        <v>1794.0</v>
      </c>
      <c r="T231" s="32" t="n">
        <f>619088</f>
        <v>619088.0</v>
      </c>
      <c r="U231" s="32" t="n">
        <f>283927</f>
        <v>283927.0</v>
      </c>
      <c r="V231" s="32" t="n">
        <f>1105398349</f>
        <v>1.105398349E9</v>
      </c>
      <c r="W231" s="32" t="n">
        <f>506888082</f>
        <v>5.06888082E8</v>
      </c>
      <c r="X231" s="36" t="n">
        <f>19</f>
        <v>19.0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227.7</f>
        <v>227.7</v>
      </c>
      <c r="L232" s="34" t="s">
        <v>48</v>
      </c>
      <c r="M232" s="33" t="n">
        <f>292.2</f>
        <v>292.2</v>
      </c>
      <c r="N232" s="34" t="s">
        <v>70</v>
      </c>
      <c r="O232" s="33" t="n">
        <f>226.7</f>
        <v>226.7</v>
      </c>
      <c r="P232" s="34" t="s">
        <v>48</v>
      </c>
      <c r="Q232" s="33" t="n">
        <f>281</f>
        <v>281.0</v>
      </c>
      <c r="R232" s="34" t="s">
        <v>50</v>
      </c>
      <c r="S232" s="35" t="n">
        <f>259.56</f>
        <v>259.56</v>
      </c>
      <c r="T232" s="32" t="n">
        <f>11681690</f>
        <v>1.168169E7</v>
      </c>
      <c r="U232" s="32" t="n">
        <f>2647550</f>
        <v>2647550.0</v>
      </c>
      <c r="V232" s="32" t="n">
        <f>3132598709</f>
        <v>3.132598709E9</v>
      </c>
      <c r="W232" s="32" t="n">
        <f>732392024</f>
        <v>7.32392024E8</v>
      </c>
      <c r="X232" s="36" t="n">
        <f>19</f>
        <v>19.0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646.5</f>
        <v>646.5</v>
      </c>
      <c r="L233" s="34" t="s">
        <v>48</v>
      </c>
      <c r="M233" s="33" t="n">
        <f>850</f>
        <v>850.0</v>
      </c>
      <c r="N233" s="34" t="s">
        <v>70</v>
      </c>
      <c r="O233" s="33" t="n">
        <f>640.5</f>
        <v>640.5</v>
      </c>
      <c r="P233" s="34" t="s">
        <v>48</v>
      </c>
      <c r="Q233" s="33" t="n">
        <f>785</f>
        <v>785.0</v>
      </c>
      <c r="R233" s="34" t="s">
        <v>50</v>
      </c>
      <c r="S233" s="35" t="n">
        <f>740.99</f>
        <v>740.99</v>
      </c>
      <c r="T233" s="32" t="n">
        <f>751810</f>
        <v>751810.0</v>
      </c>
      <c r="U233" s="32" t="n">
        <f>150</f>
        <v>150.0</v>
      </c>
      <c r="V233" s="32" t="n">
        <f>560441560</f>
        <v>5.6044156E8</v>
      </c>
      <c r="W233" s="32" t="n">
        <f>112600</f>
        <v>112600.0</v>
      </c>
      <c r="X233" s="36" t="n">
        <f>19</f>
        <v>19.0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3330</f>
        <v>3330.0</v>
      </c>
      <c r="L234" s="34" t="s">
        <v>48</v>
      </c>
      <c r="M234" s="33" t="n">
        <f>3435</f>
        <v>3435.0</v>
      </c>
      <c r="N234" s="34" t="s">
        <v>60</v>
      </c>
      <c r="O234" s="33" t="n">
        <f>3245</f>
        <v>3245.0</v>
      </c>
      <c r="P234" s="34" t="s">
        <v>70</v>
      </c>
      <c r="Q234" s="33" t="n">
        <f>3256</f>
        <v>3256.0</v>
      </c>
      <c r="R234" s="34" t="s">
        <v>50</v>
      </c>
      <c r="S234" s="35" t="n">
        <f>3348.32</f>
        <v>3348.32</v>
      </c>
      <c r="T234" s="32" t="n">
        <f>498883</f>
        <v>498883.0</v>
      </c>
      <c r="U234" s="32" t="n">
        <f>451098</f>
        <v>451098.0</v>
      </c>
      <c r="V234" s="32" t="n">
        <f>1676433236</f>
        <v>1.676433236E9</v>
      </c>
      <c r="W234" s="32" t="n">
        <f>1516437957</f>
        <v>1.516437957E9</v>
      </c>
      <c r="X234" s="36" t="n">
        <f>19</f>
        <v>19.0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1344</f>
        <v>1344.0</v>
      </c>
      <c r="L235" s="34" t="s">
        <v>48</v>
      </c>
      <c r="M235" s="33" t="n">
        <f>1428</f>
        <v>1428.0</v>
      </c>
      <c r="N235" s="34" t="s">
        <v>65</v>
      </c>
      <c r="O235" s="33" t="n">
        <f>1340</f>
        <v>1340.0</v>
      </c>
      <c r="P235" s="34" t="s">
        <v>48</v>
      </c>
      <c r="Q235" s="33" t="n">
        <f>1363</f>
        <v>1363.0</v>
      </c>
      <c r="R235" s="34" t="s">
        <v>50</v>
      </c>
      <c r="S235" s="35" t="n">
        <f>1384.26</f>
        <v>1384.26</v>
      </c>
      <c r="T235" s="32" t="n">
        <f>435801</f>
        <v>435801.0</v>
      </c>
      <c r="U235" s="32" t="str">
        <f>"－"</f>
        <v>－</v>
      </c>
      <c r="V235" s="32" t="n">
        <f>600179179</f>
        <v>6.00179179E8</v>
      </c>
      <c r="W235" s="32" t="str">
        <f>"－"</f>
        <v>－</v>
      </c>
      <c r="X235" s="36" t="n">
        <f>19</f>
        <v>19.0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104150</f>
        <v>104150.0</v>
      </c>
      <c r="L236" s="34" t="s">
        <v>48</v>
      </c>
      <c r="M236" s="33" t="n">
        <f>108050</f>
        <v>108050.0</v>
      </c>
      <c r="N236" s="34" t="s">
        <v>61</v>
      </c>
      <c r="O236" s="33" t="n">
        <f>101800</f>
        <v>101800.0</v>
      </c>
      <c r="P236" s="34" t="s">
        <v>213</v>
      </c>
      <c r="Q236" s="33" t="n">
        <f>105800</f>
        <v>105800.0</v>
      </c>
      <c r="R236" s="34" t="s">
        <v>50</v>
      </c>
      <c r="S236" s="35" t="n">
        <f>105721.05</f>
        <v>105721.05</v>
      </c>
      <c r="T236" s="32" t="n">
        <f>18650</f>
        <v>18650.0</v>
      </c>
      <c r="U236" s="32" t="n">
        <f>45</f>
        <v>45.0</v>
      </c>
      <c r="V236" s="32" t="n">
        <f>1972276843</f>
        <v>1.972276843E9</v>
      </c>
      <c r="W236" s="32" t="n">
        <f>4755943</f>
        <v>4755943.0</v>
      </c>
      <c r="X236" s="36" t="n">
        <f>19</f>
        <v>19.0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5795</f>
        <v>5795.0</v>
      </c>
      <c r="L237" s="34" t="s">
        <v>48</v>
      </c>
      <c r="M237" s="33" t="n">
        <f>5859</f>
        <v>5859.0</v>
      </c>
      <c r="N237" s="34" t="s">
        <v>213</v>
      </c>
      <c r="O237" s="33" t="n">
        <f>5685</f>
        <v>5685.0</v>
      </c>
      <c r="P237" s="34" t="s">
        <v>61</v>
      </c>
      <c r="Q237" s="33" t="n">
        <f>5754</f>
        <v>5754.0</v>
      </c>
      <c r="R237" s="34" t="s">
        <v>50</v>
      </c>
      <c r="S237" s="35" t="n">
        <f>5754.47</f>
        <v>5754.47</v>
      </c>
      <c r="T237" s="32" t="n">
        <f>562506</f>
        <v>562506.0</v>
      </c>
      <c r="U237" s="32" t="n">
        <f>498773</f>
        <v>498773.0</v>
      </c>
      <c r="V237" s="32" t="n">
        <f>3219294700</f>
        <v>3.2192947E9</v>
      </c>
      <c r="W237" s="32" t="n">
        <f>2852575352</f>
        <v>2.852575352E9</v>
      </c>
      <c r="X237" s="36" t="n">
        <f>19</f>
        <v>19.0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22820</f>
        <v>22820.0</v>
      </c>
      <c r="L238" s="34" t="s">
        <v>48</v>
      </c>
      <c r="M238" s="33" t="n">
        <f>23500</f>
        <v>23500.0</v>
      </c>
      <c r="N238" s="34" t="s">
        <v>202</v>
      </c>
      <c r="O238" s="33" t="n">
        <f>22140</f>
        <v>22140.0</v>
      </c>
      <c r="P238" s="34" t="s">
        <v>213</v>
      </c>
      <c r="Q238" s="33" t="n">
        <f>22870</f>
        <v>22870.0</v>
      </c>
      <c r="R238" s="34" t="s">
        <v>50</v>
      </c>
      <c r="S238" s="35" t="n">
        <f>23011.32</f>
        <v>23011.32</v>
      </c>
      <c r="T238" s="32" t="n">
        <f>50001</f>
        <v>50001.0</v>
      </c>
      <c r="U238" s="32" t="n">
        <f>767</f>
        <v>767.0</v>
      </c>
      <c r="V238" s="32" t="n">
        <f>1144657349</f>
        <v>1.144657349E9</v>
      </c>
      <c r="W238" s="32" t="n">
        <f>17655034</f>
        <v>1.7655034E7</v>
      </c>
      <c r="X238" s="36" t="n">
        <f>19</f>
        <v>19.0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1450</f>
        <v>1450.0</v>
      </c>
      <c r="L239" s="34" t="s">
        <v>48</v>
      </c>
      <c r="M239" s="33" t="n">
        <f>1510</f>
        <v>1510.0</v>
      </c>
      <c r="N239" s="34" t="s">
        <v>74</v>
      </c>
      <c r="O239" s="33" t="n">
        <f>1438</f>
        <v>1438.0</v>
      </c>
      <c r="P239" s="34" t="s">
        <v>273</v>
      </c>
      <c r="Q239" s="33" t="n">
        <f>1456</f>
        <v>1456.0</v>
      </c>
      <c r="R239" s="34" t="s">
        <v>50</v>
      </c>
      <c r="S239" s="35" t="n">
        <f>1472.89</f>
        <v>1472.89</v>
      </c>
      <c r="T239" s="32" t="n">
        <f>529258</f>
        <v>529258.0</v>
      </c>
      <c r="U239" s="32" t="str">
        <f>"－"</f>
        <v>－</v>
      </c>
      <c r="V239" s="32" t="n">
        <f>778138797</f>
        <v>7.78138797E8</v>
      </c>
      <c r="W239" s="32" t="str">
        <f>"－"</f>
        <v>－</v>
      </c>
      <c r="X239" s="36" t="n">
        <f>19</f>
        <v>19.0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5900</f>
        <v>5900.0</v>
      </c>
      <c r="L240" s="34" t="s">
        <v>48</v>
      </c>
      <c r="M240" s="33" t="n">
        <f>5939</f>
        <v>5939.0</v>
      </c>
      <c r="N240" s="34" t="s">
        <v>213</v>
      </c>
      <c r="O240" s="33" t="n">
        <f>5765</f>
        <v>5765.0</v>
      </c>
      <c r="P240" s="34" t="s">
        <v>61</v>
      </c>
      <c r="Q240" s="33" t="n">
        <f>5825</f>
        <v>5825.0</v>
      </c>
      <c r="R240" s="34" t="s">
        <v>50</v>
      </c>
      <c r="S240" s="35" t="n">
        <f>5830.22</f>
        <v>5830.22</v>
      </c>
      <c r="T240" s="32" t="n">
        <f>5547</f>
        <v>5547.0</v>
      </c>
      <c r="U240" s="32" t="n">
        <f>60</f>
        <v>60.0</v>
      </c>
      <c r="V240" s="32" t="n">
        <f>32442557</f>
        <v>3.2442557E7</v>
      </c>
      <c r="W240" s="32" t="n">
        <f>347706</f>
        <v>347706.0</v>
      </c>
      <c r="X240" s="36" t="n">
        <f>18</f>
        <v>18.0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848</f>
        <v>848.0</v>
      </c>
      <c r="L241" s="34" t="s">
        <v>48</v>
      </c>
      <c r="M241" s="33" t="n">
        <f>875.3</f>
        <v>875.3</v>
      </c>
      <c r="N241" s="34" t="s">
        <v>60</v>
      </c>
      <c r="O241" s="33" t="n">
        <f>827.5</f>
        <v>827.5</v>
      </c>
      <c r="P241" s="34" t="s">
        <v>61</v>
      </c>
      <c r="Q241" s="33" t="n">
        <f>832</f>
        <v>832.0</v>
      </c>
      <c r="R241" s="34" t="s">
        <v>50</v>
      </c>
      <c r="S241" s="35" t="n">
        <f>855.46</f>
        <v>855.46</v>
      </c>
      <c r="T241" s="32" t="n">
        <f>4156290</f>
        <v>4156290.0</v>
      </c>
      <c r="U241" s="32" t="n">
        <f>3602960</f>
        <v>3602960.0</v>
      </c>
      <c r="V241" s="32" t="n">
        <f>3539183315</f>
        <v>3.539183315E9</v>
      </c>
      <c r="W241" s="32" t="n">
        <f>3070564403</f>
        <v>3.070564403E9</v>
      </c>
      <c r="X241" s="36" t="n">
        <f>19</f>
        <v>19.0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637.6</f>
        <v>637.6</v>
      </c>
      <c r="L242" s="34" t="s">
        <v>48</v>
      </c>
      <c r="M242" s="33" t="n">
        <f>651.1</f>
        <v>651.1</v>
      </c>
      <c r="N242" s="34" t="s">
        <v>65</v>
      </c>
      <c r="O242" s="33" t="n">
        <f>628.4</f>
        <v>628.4</v>
      </c>
      <c r="P242" s="34" t="s">
        <v>213</v>
      </c>
      <c r="Q242" s="33" t="n">
        <f>634.9</f>
        <v>634.9</v>
      </c>
      <c r="R242" s="34" t="s">
        <v>50</v>
      </c>
      <c r="S242" s="35" t="n">
        <f>640.79</f>
        <v>640.79</v>
      </c>
      <c r="T242" s="32" t="n">
        <f>8131150</f>
        <v>8131150.0</v>
      </c>
      <c r="U242" s="32" t="n">
        <f>7950170</f>
        <v>7950170.0</v>
      </c>
      <c r="V242" s="32" t="n">
        <f>5230976734</f>
        <v>5.230976734E9</v>
      </c>
      <c r="W242" s="32" t="n">
        <f>5115139031</f>
        <v>5.115139031E9</v>
      </c>
      <c r="X242" s="36" t="n">
        <f>19</f>
        <v>19.0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2760</f>
        <v>2760.0</v>
      </c>
      <c r="L243" s="34" t="s">
        <v>48</v>
      </c>
      <c r="M243" s="33" t="n">
        <f>3060</f>
        <v>3060.0</v>
      </c>
      <c r="N243" s="34" t="s">
        <v>206</v>
      </c>
      <c r="O243" s="33" t="n">
        <f>2744</f>
        <v>2744.0</v>
      </c>
      <c r="P243" s="34" t="s">
        <v>69</v>
      </c>
      <c r="Q243" s="33" t="n">
        <f>2992</f>
        <v>2992.0</v>
      </c>
      <c r="R243" s="34" t="s">
        <v>50</v>
      </c>
      <c r="S243" s="35" t="n">
        <f>2920.68</f>
        <v>2920.68</v>
      </c>
      <c r="T243" s="32" t="n">
        <f>3228911</f>
        <v>3228911.0</v>
      </c>
      <c r="U243" s="32" t="n">
        <f>215803</f>
        <v>215803.0</v>
      </c>
      <c r="V243" s="32" t="n">
        <f>9466780982</f>
        <v>9.466780982E9</v>
      </c>
      <c r="W243" s="32" t="n">
        <f>637169494</f>
        <v>6.37169494E8</v>
      </c>
      <c r="X243" s="36" t="n">
        <f>19</f>
        <v>19.0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3135</f>
        <v>3135.0</v>
      </c>
      <c r="L244" s="34" t="s">
        <v>48</v>
      </c>
      <c r="M244" s="33" t="n">
        <f>3240</f>
        <v>3240.0</v>
      </c>
      <c r="N244" s="34" t="s">
        <v>60</v>
      </c>
      <c r="O244" s="33" t="n">
        <f>3062</f>
        <v>3062.0</v>
      </c>
      <c r="P244" s="34" t="s">
        <v>50</v>
      </c>
      <c r="Q244" s="33" t="n">
        <f>3067</f>
        <v>3067.0</v>
      </c>
      <c r="R244" s="34" t="s">
        <v>50</v>
      </c>
      <c r="S244" s="35" t="n">
        <f>3151.21</f>
        <v>3151.21</v>
      </c>
      <c r="T244" s="32" t="n">
        <f>8618199</f>
        <v>8618199.0</v>
      </c>
      <c r="U244" s="32" t="n">
        <f>159249</f>
        <v>159249.0</v>
      </c>
      <c r="V244" s="32" t="n">
        <f>27157776078</f>
        <v>2.7157776078E10</v>
      </c>
      <c r="W244" s="32" t="n">
        <f>492791083</f>
        <v>4.92791083E8</v>
      </c>
      <c r="X244" s="36" t="n">
        <f>19</f>
        <v>19.0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720.9</f>
        <v>720.9</v>
      </c>
      <c r="L245" s="34" t="s">
        <v>48</v>
      </c>
      <c r="M245" s="33" t="n">
        <f>730</f>
        <v>730.0</v>
      </c>
      <c r="N245" s="34" t="s">
        <v>65</v>
      </c>
      <c r="O245" s="33" t="n">
        <f>719.1</f>
        <v>719.1</v>
      </c>
      <c r="P245" s="34" t="s">
        <v>103</v>
      </c>
      <c r="Q245" s="33" t="n">
        <f>726.6</f>
        <v>726.6</v>
      </c>
      <c r="R245" s="34" t="s">
        <v>50</v>
      </c>
      <c r="S245" s="35" t="n">
        <f>724.91</f>
        <v>724.91</v>
      </c>
      <c r="T245" s="32" t="n">
        <f>882350</f>
        <v>882350.0</v>
      </c>
      <c r="U245" s="32" t="n">
        <f>828540</f>
        <v>828540.0</v>
      </c>
      <c r="V245" s="32" t="n">
        <f>638823208</f>
        <v>6.38823208E8</v>
      </c>
      <c r="W245" s="32" t="n">
        <f>599764572</f>
        <v>5.99764572E8</v>
      </c>
      <c r="X245" s="36" t="n">
        <f>17</f>
        <v>17.0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723.6</f>
        <v>723.6</v>
      </c>
      <c r="L246" s="34" t="s">
        <v>48</v>
      </c>
      <c r="M246" s="33" t="n">
        <f>733</f>
        <v>733.0</v>
      </c>
      <c r="N246" s="34" t="s">
        <v>50</v>
      </c>
      <c r="O246" s="33" t="n">
        <f>722.8</f>
        <v>722.8</v>
      </c>
      <c r="P246" s="34" t="s">
        <v>48</v>
      </c>
      <c r="Q246" s="33" t="n">
        <f>733</f>
        <v>733.0</v>
      </c>
      <c r="R246" s="34" t="s">
        <v>50</v>
      </c>
      <c r="S246" s="35" t="n">
        <f>728</f>
        <v>728.0</v>
      </c>
      <c r="T246" s="32" t="n">
        <f>50830</f>
        <v>50830.0</v>
      </c>
      <c r="U246" s="32" t="str">
        <f>"－"</f>
        <v>－</v>
      </c>
      <c r="V246" s="32" t="n">
        <f>36901221</f>
        <v>3.6901221E7</v>
      </c>
      <c r="W246" s="32" t="str">
        <f>"－"</f>
        <v>－</v>
      </c>
      <c r="X246" s="36" t="n">
        <f>10</f>
        <v>10.0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2028</f>
        <v>2028.0</v>
      </c>
      <c r="L247" s="34" t="s">
        <v>48</v>
      </c>
      <c r="M247" s="33" t="n">
        <f>2169</f>
        <v>2169.0</v>
      </c>
      <c r="N247" s="34" t="s">
        <v>155</v>
      </c>
      <c r="O247" s="33" t="n">
        <f>1995</f>
        <v>1995.0</v>
      </c>
      <c r="P247" s="34" t="s">
        <v>273</v>
      </c>
      <c r="Q247" s="33" t="n">
        <f>2004</f>
        <v>2004.0</v>
      </c>
      <c r="R247" s="34" t="s">
        <v>50</v>
      </c>
      <c r="S247" s="35" t="n">
        <f>2048.11</f>
        <v>2048.11</v>
      </c>
      <c r="T247" s="32" t="n">
        <f>1640136</f>
        <v>1640136.0</v>
      </c>
      <c r="U247" s="32" t="n">
        <f>919990</f>
        <v>919990.0</v>
      </c>
      <c r="V247" s="32" t="n">
        <f>3321431515</f>
        <v>3.321431515E9</v>
      </c>
      <c r="W247" s="32" t="n">
        <f>1857221859</f>
        <v>1.857221859E9</v>
      </c>
      <c r="X247" s="36" t="n">
        <f>19</f>
        <v>19.0</v>
      </c>
    </row>
    <row r="248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2527</f>
        <v>2527.0</v>
      </c>
      <c r="L248" s="34" t="s">
        <v>48</v>
      </c>
      <c r="M248" s="33" t="n">
        <f>2574</f>
        <v>2574.0</v>
      </c>
      <c r="N248" s="34" t="s">
        <v>61</v>
      </c>
      <c r="O248" s="33" t="n">
        <f>2502</f>
        <v>2502.0</v>
      </c>
      <c r="P248" s="34" t="s">
        <v>213</v>
      </c>
      <c r="Q248" s="33" t="n">
        <f>2543</f>
        <v>2543.0</v>
      </c>
      <c r="R248" s="34" t="s">
        <v>50</v>
      </c>
      <c r="S248" s="35" t="n">
        <f>2545.37</f>
        <v>2545.37</v>
      </c>
      <c r="T248" s="32" t="n">
        <f>4930028</f>
        <v>4930028.0</v>
      </c>
      <c r="U248" s="32" t="n">
        <f>4602620</f>
        <v>4602620.0</v>
      </c>
      <c r="V248" s="32" t="n">
        <f>12547861572</f>
        <v>1.2547861572E10</v>
      </c>
      <c r="W248" s="32" t="n">
        <f>11713489923</f>
        <v>1.1713489923E10</v>
      </c>
      <c r="X248" s="36" t="n">
        <f>19</f>
        <v>19.0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11735</f>
        <v>11735.0</v>
      </c>
      <c r="L249" s="34" t="s">
        <v>48</v>
      </c>
      <c r="M249" s="33" t="n">
        <f>11990</f>
        <v>11990.0</v>
      </c>
      <c r="N249" s="34" t="s">
        <v>213</v>
      </c>
      <c r="O249" s="33" t="n">
        <f>11260</f>
        <v>11260.0</v>
      </c>
      <c r="P249" s="34" t="s">
        <v>61</v>
      </c>
      <c r="Q249" s="33" t="n">
        <f>11570</f>
        <v>11570.0</v>
      </c>
      <c r="R249" s="34" t="s">
        <v>50</v>
      </c>
      <c r="S249" s="35" t="n">
        <f>11551.05</f>
        <v>11551.05</v>
      </c>
      <c r="T249" s="32" t="n">
        <f>92516</f>
        <v>92516.0</v>
      </c>
      <c r="U249" s="32" t="n">
        <f>230</f>
        <v>230.0</v>
      </c>
      <c r="V249" s="32" t="n">
        <f>1072551178</f>
        <v>1.072551178E9</v>
      </c>
      <c r="W249" s="32" t="n">
        <f>2668758</f>
        <v>2668758.0</v>
      </c>
      <c r="X249" s="36" t="n">
        <f>19</f>
        <v>19.0</v>
      </c>
    </row>
    <row r="250">
      <c r="A250" s="27" t="s">
        <v>42</v>
      </c>
      <c r="B250" s="27" t="s">
        <v>794</v>
      </c>
      <c r="C250" s="27" t="s">
        <v>795</v>
      </c>
      <c r="D250" s="27" t="s">
        <v>796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1688</f>
        <v>1688.0</v>
      </c>
      <c r="L250" s="34" t="s">
        <v>48</v>
      </c>
      <c r="M250" s="33" t="n">
        <f>2385</f>
        <v>2385.0</v>
      </c>
      <c r="N250" s="34" t="s">
        <v>103</v>
      </c>
      <c r="O250" s="33" t="n">
        <f>1672</f>
        <v>1672.0</v>
      </c>
      <c r="P250" s="34" t="s">
        <v>48</v>
      </c>
      <c r="Q250" s="33" t="n">
        <f>2053</f>
        <v>2053.0</v>
      </c>
      <c r="R250" s="34" t="s">
        <v>50</v>
      </c>
      <c r="S250" s="35" t="n">
        <f>1968.74</f>
        <v>1968.74</v>
      </c>
      <c r="T250" s="32" t="n">
        <f>1880647</f>
        <v>1880647.0</v>
      </c>
      <c r="U250" s="32" t="n">
        <f>899</f>
        <v>899.0</v>
      </c>
      <c r="V250" s="32" t="n">
        <f>3760524853</f>
        <v>3.760524853E9</v>
      </c>
      <c r="W250" s="32" t="n">
        <f>1777765</f>
        <v>1777765.0</v>
      </c>
      <c r="X250" s="36" t="n">
        <f>19</f>
        <v>19.0</v>
      </c>
    </row>
    <row r="251">
      <c r="A251" s="27" t="s">
        <v>42</v>
      </c>
      <c r="B251" s="27" t="s">
        <v>797</v>
      </c>
      <c r="C251" s="27" t="s">
        <v>798</v>
      </c>
      <c r="D251" s="27" t="s">
        <v>799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320.6</f>
        <v>320.6</v>
      </c>
      <c r="L251" s="34" t="s">
        <v>48</v>
      </c>
      <c r="M251" s="33" t="n">
        <f>345</f>
        <v>345.0</v>
      </c>
      <c r="N251" s="34" t="s">
        <v>206</v>
      </c>
      <c r="O251" s="33" t="n">
        <f>315</f>
        <v>315.0</v>
      </c>
      <c r="P251" s="34" t="s">
        <v>48</v>
      </c>
      <c r="Q251" s="33" t="n">
        <f>321</f>
        <v>321.0</v>
      </c>
      <c r="R251" s="34" t="s">
        <v>50</v>
      </c>
      <c r="S251" s="35" t="n">
        <f>325.16</f>
        <v>325.16</v>
      </c>
      <c r="T251" s="32" t="n">
        <f>29390</f>
        <v>29390.0</v>
      </c>
      <c r="U251" s="32" t="n">
        <f>20</f>
        <v>20.0</v>
      </c>
      <c r="V251" s="32" t="n">
        <f>9488446</f>
        <v>9488446.0</v>
      </c>
      <c r="W251" s="32" t="n">
        <f>6468</f>
        <v>6468.0</v>
      </c>
      <c r="X251" s="36" t="n">
        <f>19</f>
        <v>19.0</v>
      </c>
    </row>
    <row r="252">
      <c r="A252" s="27" t="s">
        <v>42</v>
      </c>
      <c r="B252" s="27" t="s">
        <v>800</v>
      </c>
      <c r="C252" s="27" t="s">
        <v>801</v>
      </c>
      <c r="D252" s="27" t="s">
        <v>802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848.5</f>
        <v>848.5</v>
      </c>
      <c r="L252" s="34" t="s">
        <v>48</v>
      </c>
      <c r="M252" s="33" t="n">
        <f>865.4</f>
        <v>865.4</v>
      </c>
      <c r="N252" s="34" t="s">
        <v>202</v>
      </c>
      <c r="O252" s="33" t="n">
        <f>842.2</f>
        <v>842.2</v>
      </c>
      <c r="P252" s="34" t="s">
        <v>75</v>
      </c>
      <c r="Q252" s="33" t="n">
        <f>854.2</f>
        <v>854.2</v>
      </c>
      <c r="R252" s="34" t="s">
        <v>50</v>
      </c>
      <c r="S252" s="35" t="n">
        <f>854.88</f>
        <v>854.88</v>
      </c>
      <c r="T252" s="32" t="n">
        <f>4394560</f>
        <v>4394560.0</v>
      </c>
      <c r="U252" s="32" t="n">
        <f>2168610</f>
        <v>2168610.0</v>
      </c>
      <c r="V252" s="32" t="n">
        <f>3759516516</f>
        <v>3.759516516E9</v>
      </c>
      <c r="W252" s="32" t="n">
        <f>1856094782</f>
        <v>1.856094782E9</v>
      </c>
      <c r="X252" s="36" t="n">
        <f>19</f>
        <v>19.0</v>
      </c>
    </row>
    <row r="253">
      <c r="A253" s="27" t="s">
        <v>42</v>
      </c>
      <c r="B253" s="27" t="s">
        <v>803</v>
      </c>
      <c r="C253" s="27" t="s">
        <v>804</v>
      </c>
      <c r="D253" s="27" t="s">
        <v>805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1327</f>
        <v>1327.0</v>
      </c>
      <c r="L253" s="34" t="s">
        <v>48</v>
      </c>
      <c r="M253" s="33" t="n">
        <f>1400</f>
        <v>1400.0</v>
      </c>
      <c r="N253" s="34" t="s">
        <v>65</v>
      </c>
      <c r="O253" s="33" t="n">
        <f>1290</f>
        <v>1290.0</v>
      </c>
      <c r="P253" s="34" t="s">
        <v>70</v>
      </c>
      <c r="Q253" s="33" t="n">
        <f>1307</f>
        <v>1307.0</v>
      </c>
      <c r="R253" s="34" t="s">
        <v>50</v>
      </c>
      <c r="S253" s="35" t="n">
        <f>1348.47</f>
        <v>1348.47</v>
      </c>
      <c r="T253" s="32" t="n">
        <f>226466</f>
        <v>226466.0</v>
      </c>
      <c r="U253" s="32" t="str">
        <f>"－"</f>
        <v>－</v>
      </c>
      <c r="V253" s="32" t="n">
        <f>303215671</f>
        <v>3.03215671E8</v>
      </c>
      <c r="W253" s="32" t="str">
        <f>"－"</f>
        <v>－</v>
      </c>
      <c r="X253" s="36" t="n">
        <f>19</f>
        <v>19.0</v>
      </c>
    </row>
    <row r="254">
      <c r="A254" s="27" t="s">
        <v>42</v>
      </c>
      <c r="B254" s="27" t="s">
        <v>806</v>
      </c>
      <c r="C254" s="27" t="s">
        <v>807</v>
      </c>
      <c r="D254" s="27" t="s">
        <v>808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1171</f>
        <v>1171.0</v>
      </c>
      <c r="L254" s="34" t="s">
        <v>48</v>
      </c>
      <c r="M254" s="33" t="n">
        <f>1246</f>
        <v>1246.0</v>
      </c>
      <c r="N254" s="34" t="s">
        <v>65</v>
      </c>
      <c r="O254" s="33" t="n">
        <f>1169</f>
        <v>1169.0</v>
      </c>
      <c r="P254" s="34" t="s">
        <v>48</v>
      </c>
      <c r="Q254" s="33" t="n">
        <f>1207</f>
        <v>1207.0</v>
      </c>
      <c r="R254" s="34" t="s">
        <v>50</v>
      </c>
      <c r="S254" s="35" t="n">
        <f>1210.47</f>
        <v>1210.47</v>
      </c>
      <c r="T254" s="32" t="n">
        <f>565318</f>
        <v>565318.0</v>
      </c>
      <c r="U254" s="32" t="n">
        <f>1</f>
        <v>1.0</v>
      </c>
      <c r="V254" s="32" t="n">
        <f>677282226</f>
        <v>6.77282226E8</v>
      </c>
      <c r="W254" s="32" t="n">
        <f>1208</f>
        <v>1208.0</v>
      </c>
      <c r="X254" s="36" t="n">
        <f>19</f>
        <v>19.0</v>
      </c>
    </row>
    <row r="255">
      <c r="A255" s="27" t="s">
        <v>42</v>
      </c>
      <c r="B255" s="27" t="s">
        <v>809</v>
      </c>
      <c r="C255" s="27" t="s">
        <v>810</v>
      </c>
      <c r="D255" s="27" t="s">
        <v>811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1250</f>
        <v>1250.0</v>
      </c>
      <c r="L255" s="34" t="s">
        <v>48</v>
      </c>
      <c r="M255" s="33" t="n">
        <f>1279</f>
        <v>1279.0</v>
      </c>
      <c r="N255" s="34" t="s">
        <v>103</v>
      </c>
      <c r="O255" s="33" t="n">
        <f>1144</f>
        <v>1144.0</v>
      </c>
      <c r="P255" s="34" t="s">
        <v>50</v>
      </c>
      <c r="Q255" s="33" t="n">
        <f>1151</f>
        <v>1151.0</v>
      </c>
      <c r="R255" s="34" t="s">
        <v>50</v>
      </c>
      <c r="S255" s="35" t="n">
        <f>1229.32</f>
        <v>1229.32</v>
      </c>
      <c r="T255" s="32" t="n">
        <f>510111</f>
        <v>510111.0</v>
      </c>
      <c r="U255" s="32" t="str">
        <f>"－"</f>
        <v>－</v>
      </c>
      <c r="V255" s="32" t="n">
        <f>619068895</f>
        <v>6.19068895E8</v>
      </c>
      <c r="W255" s="32" t="str">
        <f>"－"</f>
        <v>－</v>
      </c>
      <c r="X255" s="36" t="n">
        <f>19</f>
        <v>19.0</v>
      </c>
    </row>
    <row r="256">
      <c r="A256" s="27" t="s">
        <v>42</v>
      </c>
      <c r="B256" s="27" t="s">
        <v>812</v>
      </c>
      <c r="C256" s="27" t="s">
        <v>813</v>
      </c>
      <c r="D256" s="27" t="s">
        <v>814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211.5</f>
        <v>211.5</v>
      </c>
      <c r="L256" s="34" t="s">
        <v>48</v>
      </c>
      <c r="M256" s="33" t="n">
        <f>213.5</f>
        <v>213.5</v>
      </c>
      <c r="N256" s="34" t="s">
        <v>49</v>
      </c>
      <c r="O256" s="33" t="n">
        <f>202.9</f>
        <v>202.9</v>
      </c>
      <c r="P256" s="34" t="s">
        <v>70</v>
      </c>
      <c r="Q256" s="33" t="n">
        <f>203.9</f>
        <v>203.9</v>
      </c>
      <c r="R256" s="34" t="s">
        <v>50</v>
      </c>
      <c r="S256" s="35" t="n">
        <f>209.28</f>
        <v>209.28</v>
      </c>
      <c r="T256" s="32" t="n">
        <f>6747780</f>
        <v>6747780.0</v>
      </c>
      <c r="U256" s="32" t="n">
        <f>2090400</f>
        <v>2090400.0</v>
      </c>
      <c r="V256" s="32" t="n">
        <f>1419307710</f>
        <v>1.41930771E9</v>
      </c>
      <c r="W256" s="32" t="n">
        <f>442640196</f>
        <v>4.42640196E8</v>
      </c>
      <c r="X256" s="36" t="n">
        <f>19</f>
        <v>19.0</v>
      </c>
    </row>
    <row r="257">
      <c r="A257" s="27" t="s">
        <v>42</v>
      </c>
      <c r="B257" s="27" t="s">
        <v>815</v>
      </c>
      <c r="C257" s="27" t="s">
        <v>816</v>
      </c>
      <c r="D257" s="27" t="s">
        <v>817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231.5</f>
        <v>231.5</v>
      </c>
      <c r="L257" s="34" t="s">
        <v>48</v>
      </c>
      <c r="M257" s="33" t="n">
        <f>239.9</f>
        <v>239.9</v>
      </c>
      <c r="N257" s="34" t="s">
        <v>48</v>
      </c>
      <c r="O257" s="33" t="n">
        <f>216.3</f>
        <v>216.3</v>
      </c>
      <c r="P257" s="34" t="s">
        <v>61</v>
      </c>
      <c r="Q257" s="33" t="n">
        <f>218.1</f>
        <v>218.1</v>
      </c>
      <c r="R257" s="34" t="s">
        <v>50</v>
      </c>
      <c r="S257" s="35" t="n">
        <f>222.96</f>
        <v>222.96</v>
      </c>
      <c r="T257" s="32" t="n">
        <f>2214550</f>
        <v>2214550.0</v>
      </c>
      <c r="U257" s="32" t="n">
        <f>3520</f>
        <v>3520.0</v>
      </c>
      <c r="V257" s="32" t="n">
        <f>492515107</f>
        <v>4.92515107E8</v>
      </c>
      <c r="W257" s="32" t="n">
        <f>779436</f>
        <v>779436.0</v>
      </c>
      <c r="X257" s="36" t="n">
        <f>19</f>
        <v>19.0</v>
      </c>
    </row>
    <row r="258">
      <c r="A258" s="27" t="s">
        <v>42</v>
      </c>
      <c r="B258" s="27" t="s">
        <v>818</v>
      </c>
      <c r="C258" s="27" t="s">
        <v>819</v>
      </c>
      <c r="D258" s="27" t="s">
        <v>820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233.8</f>
        <v>233.8</v>
      </c>
      <c r="L258" s="34" t="s">
        <v>48</v>
      </c>
      <c r="M258" s="33" t="n">
        <f>233.8</f>
        <v>233.8</v>
      </c>
      <c r="N258" s="34" t="s">
        <v>48</v>
      </c>
      <c r="O258" s="33" t="n">
        <f>218.8</f>
        <v>218.8</v>
      </c>
      <c r="P258" s="34" t="s">
        <v>61</v>
      </c>
      <c r="Q258" s="33" t="n">
        <f>220</f>
        <v>220.0</v>
      </c>
      <c r="R258" s="34" t="s">
        <v>50</v>
      </c>
      <c r="S258" s="35" t="n">
        <f>225.06</f>
        <v>225.06</v>
      </c>
      <c r="T258" s="32" t="n">
        <f>851750</f>
        <v>851750.0</v>
      </c>
      <c r="U258" s="32" t="n">
        <f>9000</f>
        <v>9000.0</v>
      </c>
      <c r="V258" s="32" t="n">
        <f>191329136</f>
        <v>1.91329136E8</v>
      </c>
      <c r="W258" s="32" t="n">
        <f>2005760</f>
        <v>2005760.0</v>
      </c>
      <c r="X258" s="36" t="n">
        <f>19</f>
        <v>19.0</v>
      </c>
    </row>
    <row r="259">
      <c r="A259" s="27" t="s">
        <v>42</v>
      </c>
      <c r="B259" s="27" t="s">
        <v>821</v>
      </c>
      <c r="C259" s="27" t="s">
        <v>822</v>
      </c>
      <c r="D259" s="27" t="s">
        <v>823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229.6</f>
        <v>229.6</v>
      </c>
      <c r="L259" s="34" t="s">
        <v>48</v>
      </c>
      <c r="M259" s="33" t="n">
        <f>230</f>
        <v>230.0</v>
      </c>
      <c r="N259" s="34" t="s">
        <v>74</v>
      </c>
      <c r="O259" s="33" t="n">
        <f>220.5</f>
        <v>220.5</v>
      </c>
      <c r="P259" s="34" t="s">
        <v>61</v>
      </c>
      <c r="Q259" s="33" t="n">
        <f>222.5</f>
        <v>222.5</v>
      </c>
      <c r="R259" s="34" t="s">
        <v>50</v>
      </c>
      <c r="S259" s="35" t="n">
        <f>226.89</f>
        <v>226.89</v>
      </c>
      <c r="T259" s="32" t="n">
        <f>1757630</f>
        <v>1757630.0</v>
      </c>
      <c r="U259" s="32" t="n">
        <f>20810</f>
        <v>20810.0</v>
      </c>
      <c r="V259" s="32" t="n">
        <f>398707374</f>
        <v>3.98707374E8</v>
      </c>
      <c r="W259" s="32" t="n">
        <f>4737384</f>
        <v>4737384.0</v>
      </c>
      <c r="X259" s="36" t="n">
        <f>19</f>
        <v>19.0</v>
      </c>
    </row>
    <row r="260">
      <c r="A260" s="27" t="s">
        <v>42</v>
      </c>
      <c r="B260" s="27" t="s">
        <v>824</v>
      </c>
      <c r="C260" s="27" t="s">
        <v>825</v>
      </c>
      <c r="D260" s="27" t="s">
        <v>826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188.6</f>
        <v>188.6</v>
      </c>
      <c r="L260" s="34" t="s">
        <v>48</v>
      </c>
      <c r="M260" s="33" t="n">
        <f>189.8</f>
        <v>189.8</v>
      </c>
      <c r="N260" s="34" t="s">
        <v>103</v>
      </c>
      <c r="O260" s="33" t="n">
        <f>187.7</f>
        <v>187.7</v>
      </c>
      <c r="P260" s="34" t="s">
        <v>60</v>
      </c>
      <c r="Q260" s="33" t="n">
        <f>189.2</f>
        <v>189.2</v>
      </c>
      <c r="R260" s="34" t="s">
        <v>50</v>
      </c>
      <c r="S260" s="35" t="n">
        <f>188.57</f>
        <v>188.57</v>
      </c>
      <c r="T260" s="32" t="n">
        <f>117250</f>
        <v>117250.0</v>
      </c>
      <c r="U260" s="32" t="n">
        <f>110</f>
        <v>110.0</v>
      </c>
      <c r="V260" s="32" t="n">
        <f>22056489</f>
        <v>2.2056489E7</v>
      </c>
      <c r="W260" s="32" t="n">
        <f>20758</f>
        <v>20758.0</v>
      </c>
      <c r="X260" s="36" t="n">
        <f>19</f>
        <v>19.0</v>
      </c>
    </row>
    <row r="261">
      <c r="A261" s="27" t="s">
        <v>42</v>
      </c>
      <c r="B261" s="27" t="s">
        <v>827</v>
      </c>
      <c r="C261" s="27" t="s">
        <v>828</v>
      </c>
      <c r="D261" s="27" t="s">
        <v>829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2148</f>
        <v>2148.0</v>
      </c>
      <c r="L261" s="34" t="s">
        <v>48</v>
      </c>
      <c r="M261" s="33" t="n">
        <f>2162</f>
        <v>2162.0</v>
      </c>
      <c r="N261" s="34" t="s">
        <v>48</v>
      </c>
      <c r="O261" s="33" t="n">
        <f>1961</f>
        <v>1961.0</v>
      </c>
      <c r="P261" s="34" t="s">
        <v>70</v>
      </c>
      <c r="Q261" s="33" t="n">
        <f>1970</f>
        <v>1970.0</v>
      </c>
      <c r="R261" s="34" t="s">
        <v>50</v>
      </c>
      <c r="S261" s="35" t="n">
        <f>2065.89</f>
        <v>2065.89</v>
      </c>
      <c r="T261" s="32" t="n">
        <f>667088</f>
        <v>667088.0</v>
      </c>
      <c r="U261" s="32" t="n">
        <f>28645</f>
        <v>28645.0</v>
      </c>
      <c r="V261" s="32" t="n">
        <f>1380757676</f>
        <v>1.380757676E9</v>
      </c>
      <c r="W261" s="32" t="n">
        <f>60778288</f>
        <v>6.0778288E7</v>
      </c>
      <c r="X261" s="36" t="n">
        <f>19</f>
        <v>19.0</v>
      </c>
    </row>
    <row r="262">
      <c r="A262" s="27" t="s">
        <v>42</v>
      </c>
      <c r="B262" s="27" t="s">
        <v>830</v>
      </c>
      <c r="C262" s="27" t="s">
        <v>831</v>
      </c>
      <c r="D262" s="27" t="s">
        <v>832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1324</f>
        <v>1324.0</v>
      </c>
      <c r="L262" s="34" t="s">
        <v>48</v>
      </c>
      <c r="M262" s="33" t="n">
        <f>1430</f>
        <v>1430.0</v>
      </c>
      <c r="N262" s="34" t="s">
        <v>206</v>
      </c>
      <c r="O262" s="33" t="n">
        <f>1324</f>
        <v>1324.0</v>
      </c>
      <c r="P262" s="34" t="s">
        <v>48</v>
      </c>
      <c r="Q262" s="33" t="n">
        <f>1374</f>
        <v>1374.0</v>
      </c>
      <c r="R262" s="34" t="s">
        <v>50</v>
      </c>
      <c r="S262" s="35" t="n">
        <f>1368.47</f>
        <v>1368.47</v>
      </c>
      <c r="T262" s="32" t="n">
        <f>1761418</f>
        <v>1761418.0</v>
      </c>
      <c r="U262" s="32" t="n">
        <f>1510028</f>
        <v>1510028.0</v>
      </c>
      <c r="V262" s="32" t="n">
        <f>2380536298</f>
        <v>2.380536298E9</v>
      </c>
      <c r="W262" s="32" t="n">
        <f>2040330911</f>
        <v>2.040330911E9</v>
      </c>
      <c r="X262" s="36" t="n">
        <f>19</f>
        <v>19.0</v>
      </c>
    </row>
    <row r="263">
      <c r="A263" s="27" t="s">
        <v>42</v>
      </c>
      <c r="B263" s="27" t="s">
        <v>833</v>
      </c>
      <c r="C263" s="27" t="s">
        <v>834</v>
      </c>
      <c r="D263" s="27" t="s">
        <v>835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1265</f>
        <v>1265.0</v>
      </c>
      <c r="L263" s="34" t="s">
        <v>48</v>
      </c>
      <c r="M263" s="33" t="n">
        <f>1348</f>
        <v>1348.0</v>
      </c>
      <c r="N263" s="34" t="s">
        <v>74</v>
      </c>
      <c r="O263" s="33" t="n">
        <f>1262</f>
        <v>1262.0</v>
      </c>
      <c r="P263" s="34" t="s">
        <v>48</v>
      </c>
      <c r="Q263" s="33" t="n">
        <f>1301</f>
        <v>1301.0</v>
      </c>
      <c r="R263" s="34" t="s">
        <v>50</v>
      </c>
      <c r="S263" s="35" t="n">
        <f>1301.68</f>
        <v>1301.68</v>
      </c>
      <c r="T263" s="32" t="n">
        <f>4343875</f>
        <v>4343875.0</v>
      </c>
      <c r="U263" s="32" t="n">
        <f>3224525</f>
        <v>3224525.0</v>
      </c>
      <c r="V263" s="32" t="n">
        <f>5662164732</f>
        <v>5.662164732E9</v>
      </c>
      <c r="W263" s="32" t="n">
        <f>4214651824</f>
        <v>4.214651824E9</v>
      </c>
      <c r="X263" s="36" t="n">
        <f>19</f>
        <v>19.0</v>
      </c>
    </row>
    <row r="264">
      <c r="A264" s="27" t="s">
        <v>42</v>
      </c>
      <c r="B264" s="27" t="s">
        <v>836</v>
      </c>
      <c r="C264" s="27" t="s">
        <v>837</v>
      </c>
      <c r="D264" s="27" t="s">
        <v>838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460</f>
        <v>460.0</v>
      </c>
      <c r="L264" s="34" t="s">
        <v>48</v>
      </c>
      <c r="M264" s="33" t="n">
        <f>461.3</f>
        <v>461.3</v>
      </c>
      <c r="N264" s="34" t="s">
        <v>195</v>
      </c>
      <c r="O264" s="33" t="n">
        <f>452.1</f>
        <v>452.1</v>
      </c>
      <c r="P264" s="34" t="s">
        <v>213</v>
      </c>
      <c r="Q264" s="33" t="n">
        <f>454.8</f>
        <v>454.8</v>
      </c>
      <c r="R264" s="34" t="s">
        <v>50</v>
      </c>
      <c r="S264" s="35" t="n">
        <f>456.56</f>
        <v>456.56</v>
      </c>
      <c r="T264" s="32" t="n">
        <f>713800</f>
        <v>713800.0</v>
      </c>
      <c r="U264" s="32" t="n">
        <f>240</f>
        <v>240.0</v>
      </c>
      <c r="V264" s="32" t="n">
        <f>325806913</f>
        <v>3.25806913E8</v>
      </c>
      <c r="W264" s="32" t="n">
        <f>108375</f>
        <v>108375.0</v>
      </c>
      <c r="X264" s="36" t="n">
        <f>19</f>
        <v>19.0</v>
      </c>
    </row>
    <row r="265">
      <c r="A265" s="27" t="s">
        <v>42</v>
      </c>
      <c r="B265" s="27" t="s">
        <v>839</v>
      </c>
      <c r="C265" s="27" t="s">
        <v>840</v>
      </c>
      <c r="D265" s="27" t="s">
        <v>841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167.4</f>
        <v>167.4</v>
      </c>
      <c r="L265" s="34" t="s">
        <v>48</v>
      </c>
      <c r="M265" s="33" t="n">
        <f>167.8</f>
        <v>167.8</v>
      </c>
      <c r="N265" s="34" t="s">
        <v>49</v>
      </c>
      <c r="O265" s="33" t="n">
        <f>157.9</f>
        <v>157.9</v>
      </c>
      <c r="P265" s="34" t="s">
        <v>70</v>
      </c>
      <c r="Q265" s="33" t="n">
        <f>158.7</f>
        <v>158.7</v>
      </c>
      <c r="R265" s="34" t="s">
        <v>50</v>
      </c>
      <c r="S265" s="35" t="n">
        <f>163.88</f>
        <v>163.88</v>
      </c>
      <c r="T265" s="32" t="n">
        <f>11306550</f>
        <v>1.130655E7</v>
      </c>
      <c r="U265" s="32" t="n">
        <f>4330</f>
        <v>4330.0</v>
      </c>
      <c r="V265" s="32" t="n">
        <f>1841666369</f>
        <v>1.841666369E9</v>
      </c>
      <c r="W265" s="32" t="n">
        <f>709466</f>
        <v>709466.0</v>
      </c>
      <c r="X265" s="36" t="n">
        <f>19</f>
        <v>19.0</v>
      </c>
    </row>
    <row r="266">
      <c r="A266" s="27" t="s">
        <v>42</v>
      </c>
      <c r="B266" s="27" t="s">
        <v>842</v>
      </c>
      <c r="C266" s="27" t="s">
        <v>843</v>
      </c>
      <c r="D266" s="27" t="s">
        <v>844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143.7</f>
        <v>143.7</v>
      </c>
      <c r="L266" s="34" t="s">
        <v>48</v>
      </c>
      <c r="M266" s="33" t="n">
        <f>143.7</f>
        <v>143.7</v>
      </c>
      <c r="N266" s="34" t="s">
        <v>48</v>
      </c>
      <c r="O266" s="33" t="n">
        <f>136.7</f>
        <v>136.7</v>
      </c>
      <c r="P266" s="34" t="s">
        <v>213</v>
      </c>
      <c r="Q266" s="33" t="n">
        <f>138.1</f>
        <v>138.1</v>
      </c>
      <c r="R266" s="34" t="s">
        <v>50</v>
      </c>
      <c r="S266" s="35" t="n">
        <f>139.72</f>
        <v>139.72</v>
      </c>
      <c r="T266" s="32" t="n">
        <f>16466690</f>
        <v>1.646669E7</v>
      </c>
      <c r="U266" s="32" t="n">
        <f>450</f>
        <v>450.0</v>
      </c>
      <c r="V266" s="32" t="n">
        <f>2302558647</f>
        <v>2.302558647E9</v>
      </c>
      <c r="W266" s="32" t="n">
        <f>63367</f>
        <v>63367.0</v>
      </c>
      <c r="X266" s="36" t="n">
        <f>19</f>
        <v>19.0</v>
      </c>
    </row>
    <row r="267">
      <c r="A267" s="27" t="s">
        <v>42</v>
      </c>
      <c r="B267" s="27" t="s">
        <v>845</v>
      </c>
      <c r="C267" s="27" t="s">
        <v>846</v>
      </c>
      <c r="D267" s="27" t="s">
        <v>847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841.2</f>
        <v>841.2</v>
      </c>
      <c r="L267" s="34" t="s">
        <v>48</v>
      </c>
      <c r="M267" s="33" t="n">
        <f>841.2</f>
        <v>841.2</v>
      </c>
      <c r="N267" s="34" t="s">
        <v>48</v>
      </c>
      <c r="O267" s="33" t="n">
        <f>821.5</f>
        <v>821.5</v>
      </c>
      <c r="P267" s="34" t="s">
        <v>213</v>
      </c>
      <c r="Q267" s="33" t="n">
        <f>829</f>
        <v>829.0</v>
      </c>
      <c r="R267" s="34" t="s">
        <v>50</v>
      </c>
      <c r="S267" s="35" t="n">
        <f>831.26</f>
        <v>831.26</v>
      </c>
      <c r="T267" s="32" t="n">
        <f>10640230</f>
        <v>1.064023E7</v>
      </c>
      <c r="U267" s="32" t="n">
        <f>4987540</f>
        <v>4987540.0</v>
      </c>
      <c r="V267" s="32" t="n">
        <f>8835230475</f>
        <v>8.835230475E9</v>
      </c>
      <c r="W267" s="32" t="n">
        <f>4139990592</f>
        <v>4.139990592E9</v>
      </c>
      <c r="X267" s="36" t="n">
        <f>19</f>
        <v>19.0</v>
      </c>
    </row>
    <row r="268">
      <c r="A268" s="27" t="s">
        <v>42</v>
      </c>
      <c r="B268" s="27" t="s">
        <v>848</v>
      </c>
      <c r="C268" s="27" t="s">
        <v>849</v>
      </c>
      <c r="D268" s="27" t="s">
        <v>850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1184.5</f>
        <v>1184.5</v>
      </c>
      <c r="L268" s="34" t="s">
        <v>48</v>
      </c>
      <c r="M268" s="33" t="n">
        <f>1300</f>
        <v>1300.0</v>
      </c>
      <c r="N268" s="34" t="s">
        <v>65</v>
      </c>
      <c r="O268" s="33" t="n">
        <f>1163</f>
        <v>1163.0</v>
      </c>
      <c r="P268" s="34" t="s">
        <v>61</v>
      </c>
      <c r="Q268" s="33" t="n">
        <f>1172</f>
        <v>1172.0</v>
      </c>
      <c r="R268" s="34" t="s">
        <v>50</v>
      </c>
      <c r="S268" s="35" t="n">
        <f>1186.95</f>
        <v>1186.95</v>
      </c>
      <c r="T268" s="32" t="n">
        <f>4154610</f>
        <v>4154610.0</v>
      </c>
      <c r="U268" s="32" t="n">
        <f>2386250</f>
        <v>2386250.0</v>
      </c>
      <c r="V268" s="32" t="n">
        <f>4935038212</f>
        <v>4.935038212E9</v>
      </c>
      <c r="W268" s="32" t="n">
        <f>2840061512</f>
        <v>2.840061512E9</v>
      </c>
      <c r="X268" s="36" t="n">
        <f>19</f>
        <v>19.0</v>
      </c>
    </row>
    <row r="269">
      <c r="A269" s="27" t="s">
        <v>42</v>
      </c>
      <c r="B269" s="27" t="s">
        <v>851</v>
      </c>
      <c r="C269" s="27" t="s">
        <v>852</v>
      </c>
      <c r="D269" s="27" t="s">
        <v>853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748.6</f>
        <v>748.6</v>
      </c>
      <c r="L269" s="34" t="s">
        <v>48</v>
      </c>
      <c r="M269" s="33" t="n">
        <f>770.2</f>
        <v>770.2</v>
      </c>
      <c r="N269" s="34" t="s">
        <v>65</v>
      </c>
      <c r="O269" s="33" t="n">
        <f>748</f>
        <v>748.0</v>
      </c>
      <c r="P269" s="34" t="s">
        <v>48</v>
      </c>
      <c r="Q269" s="33" t="n">
        <f>752.1</f>
        <v>752.1</v>
      </c>
      <c r="R269" s="34" t="s">
        <v>50</v>
      </c>
      <c r="S269" s="35" t="n">
        <f>753.23</f>
        <v>753.23</v>
      </c>
      <c r="T269" s="32" t="n">
        <f>3706370</f>
        <v>3706370.0</v>
      </c>
      <c r="U269" s="32" t="n">
        <f>2203510</f>
        <v>2203510.0</v>
      </c>
      <c r="V269" s="32" t="n">
        <f>2787571767</f>
        <v>2.787571767E9</v>
      </c>
      <c r="W269" s="32" t="n">
        <f>1655748820</f>
        <v>1.65574882E9</v>
      </c>
      <c r="X269" s="36" t="n">
        <f>19</f>
        <v>19.0</v>
      </c>
    </row>
    <row r="270">
      <c r="A270" s="27" t="s">
        <v>42</v>
      </c>
      <c r="B270" s="27" t="s">
        <v>854</v>
      </c>
      <c r="C270" s="27" t="s">
        <v>855</v>
      </c>
      <c r="D270" s="27" t="s">
        <v>856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3207</f>
        <v>3207.0</v>
      </c>
      <c r="L270" s="34" t="s">
        <v>48</v>
      </c>
      <c r="M270" s="33" t="n">
        <f>3302</f>
        <v>3302.0</v>
      </c>
      <c r="N270" s="34" t="s">
        <v>74</v>
      </c>
      <c r="O270" s="33" t="n">
        <f>3175</f>
        <v>3175.0</v>
      </c>
      <c r="P270" s="34" t="s">
        <v>273</v>
      </c>
      <c r="Q270" s="33" t="n">
        <f>3186</f>
        <v>3186.0</v>
      </c>
      <c r="R270" s="34" t="s">
        <v>50</v>
      </c>
      <c r="S270" s="35" t="n">
        <f>3241</f>
        <v>3241.0</v>
      </c>
      <c r="T270" s="32" t="n">
        <f>1504757</f>
        <v>1504757.0</v>
      </c>
      <c r="U270" s="32" t="n">
        <f>272492</f>
        <v>272492.0</v>
      </c>
      <c r="V270" s="32" t="n">
        <f>4866075816</f>
        <v>4.866075816E9</v>
      </c>
      <c r="W270" s="32" t="n">
        <f>885603326</f>
        <v>8.85603326E8</v>
      </c>
      <c r="X270" s="36" t="n">
        <f>19</f>
        <v>19.0</v>
      </c>
    </row>
    <row r="271">
      <c r="A271" s="27" t="s">
        <v>42</v>
      </c>
      <c r="B271" s="27" t="s">
        <v>857</v>
      </c>
      <c r="C271" s="27" t="s">
        <v>858</v>
      </c>
      <c r="D271" s="27" t="s">
        <v>859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1866</f>
        <v>1866.0</v>
      </c>
      <c r="L271" s="34" t="s">
        <v>48</v>
      </c>
      <c r="M271" s="33" t="n">
        <f>1919</f>
        <v>1919.0</v>
      </c>
      <c r="N271" s="34" t="s">
        <v>70</v>
      </c>
      <c r="O271" s="33" t="n">
        <f>1854</f>
        <v>1854.0</v>
      </c>
      <c r="P271" s="34" t="s">
        <v>213</v>
      </c>
      <c r="Q271" s="33" t="n">
        <f>1881</f>
        <v>1881.0</v>
      </c>
      <c r="R271" s="34" t="s">
        <v>50</v>
      </c>
      <c r="S271" s="35" t="n">
        <f>1885.26</f>
        <v>1885.26</v>
      </c>
      <c r="T271" s="32" t="n">
        <f>279243</f>
        <v>279243.0</v>
      </c>
      <c r="U271" s="32" t="n">
        <f>240</f>
        <v>240.0</v>
      </c>
      <c r="V271" s="32" t="n">
        <f>524358953</f>
        <v>5.24358953E8</v>
      </c>
      <c r="W271" s="32" t="n">
        <f>448904</f>
        <v>448904.0</v>
      </c>
      <c r="X271" s="36" t="n">
        <f>19</f>
        <v>19.0</v>
      </c>
    </row>
    <row r="272">
      <c r="A272" s="27" t="s">
        <v>42</v>
      </c>
      <c r="B272" s="27" t="s">
        <v>860</v>
      </c>
      <c r="C272" s="27" t="s">
        <v>861</v>
      </c>
      <c r="D272" s="27" t="s">
        <v>862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1492</f>
        <v>1492.0</v>
      </c>
      <c r="L272" s="34" t="s">
        <v>48</v>
      </c>
      <c r="M272" s="33" t="n">
        <f>1556</f>
        <v>1556.0</v>
      </c>
      <c r="N272" s="34" t="s">
        <v>202</v>
      </c>
      <c r="O272" s="33" t="n">
        <f>1465</f>
        <v>1465.0</v>
      </c>
      <c r="P272" s="34" t="s">
        <v>70</v>
      </c>
      <c r="Q272" s="33" t="n">
        <f>1484</f>
        <v>1484.0</v>
      </c>
      <c r="R272" s="34" t="s">
        <v>50</v>
      </c>
      <c r="S272" s="35" t="n">
        <f>1506.68</f>
        <v>1506.68</v>
      </c>
      <c r="T272" s="32" t="n">
        <f>1112308</f>
        <v>1112308.0</v>
      </c>
      <c r="U272" s="32" t="n">
        <f>337629</f>
        <v>337629.0</v>
      </c>
      <c r="V272" s="32" t="n">
        <f>1662486777</f>
        <v>1.662486777E9</v>
      </c>
      <c r="W272" s="32" t="n">
        <f>501449285</f>
        <v>5.01449285E8</v>
      </c>
      <c r="X272" s="36" t="n">
        <f>19</f>
        <v>19.0</v>
      </c>
    </row>
    <row r="273">
      <c r="A273" s="27" t="s">
        <v>42</v>
      </c>
      <c r="B273" s="27" t="s">
        <v>863</v>
      </c>
      <c r="C273" s="27" t="s">
        <v>864</v>
      </c>
      <c r="D273" s="27" t="s">
        <v>865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532.9</f>
        <v>532.9</v>
      </c>
      <c r="L273" s="34" t="s">
        <v>48</v>
      </c>
      <c r="M273" s="33" t="n">
        <f>590</f>
        <v>590.0</v>
      </c>
      <c r="N273" s="34" t="s">
        <v>202</v>
      </c>
      <c r="O273" s="33" t="n">
        <f>528.7</f>
        <v>528.7</v>
      </c>
      <c r="P273" s="34" t="s">
        <v>48</v>
      </c>
      <c r="Q273" s="33" t="n">
        <f>555.3</f>
        <v>555.3</v>
      </c>
      <c r="R273" s="34" t="s">
        <v>50</v>
      </c>
      <c r="S273" s="35" t="n">
        <f>561.81</f>
        <v>561.81</v>
      </c>
      <c r="T273" s="32" t="n">
        <f>17211950</f>
        <v>1.721195E7</v>
      </c>
      <c r="U273" s="32" t="n">
        <f>557420</f>
        <v>557420.0</v>
      </c>
      <c r="V273" s="32" t="n">
        <f>9650799331</f>
        <v>9.650799331E9</v>
      </c>
      <c r="W273" s="32" t="n">
        <f>323501545</f>
        <v>3.23501545E8</v>
      </c>
      <c r="X273" s="36" t="n">
        <f>19</f>
        <v>19.0</v>
      </c>
    </row>
    <row r="274">
      <c r="A274" s="27" t="s">
        <v>42</v>
      </c>
      <c r="B274" s="27" t="s">
        <v>866</v>
      </c>
      <c r="C274" s="27" t="s">
        <v>867</v>
      </c>
      <c r="D274" s="27" t="s">
        <v>868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1237</f>
        <v>1237.0</v>
      </c>
      <c r="L274" s="34" t="s">
        <v>48</v>
      </c>
      <c r="M274" s="33" t="n">
        <f>1264.5</f>
        <v>1264.5</v>
      </c>
      <c r="N274" s="34" t="s">
        <v>65</v>
      </c>
      <c r="O274" s="33" t="n">
        <f>1198</f>
        <v>1198.0</v>
      </c>
      <c r="P274" s="34" t="s">
        <v>70</v>
      </c>
      <c r="Q274" s="33" t="n">
        <f>1213.5</f>
        <v>1213.5</v>
      </c>
      <c r="R274" s="34" t="s">
        <v>50</v>
      </c>
      <c r="S274" s="35" t="n">
        <f>1231.13</f>
        <v>1231.13</v>
      </c>
      <c r="T274" s="32" t="n">
        <f>5566840</f>
        <v>5566840.0</v>
      </c>
      <c r="U274" s="32" t="n">
        <f>4833220</f>
        <v>4833220.0</v>
      </c>
      <c r="V274" s="32" t="n">
        <f>6859185245</f>
        <v>6.859185245E9</v>
      </c>
      <c r="W274" s="32" t="n">
        <f>5950421305</f>
        <v>5.950421305E9</v>
      </c>
      <c r="X274" s="36" t="n">
        <f>19</f>
        <v>19.0</v>
      </c>
    </row>
    <row r="275">
      <c r="A275" s="27" t="s">
        <v>42</v>
      </c>
      <c r="B275" s="27" t="s">
        <v>869</v>
      </c>
      <c r="C275" s="27" t="s">
        <v>870</v>
      </c>
      <c r="D275" s="27" t="s">
        <v>871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1941</f>
        <v>1941.0</v>
      </c>
      <c r="L275" s="34" t="s">
        <v>48</v>
      </c>
      <c r="M275" s="33" t="n">
        <f>2118</f>
        <v>2118.0</v>
      </c>
      <c r="N275" s="34" t="s">
        <v>202</v>
      </c>
      <c r="O275" s="33" t="n">
        <f>1941</f>
        <v>1941.0</v>
      </c>
      <c r="P275" s="34" t="s">
        <v>48</v>
      </c>
      <c r="Q275" s="33" t="n">
        <f>2045</f>
        <v>2045.0</v>
      </c>
      <c r="R275" s="34" t="s">
        <v>50</v>
      </c>
      <c r="S275" s="35" t="n">
        <f>2041.11</f>
        <v>2041.11</v>
      </c>
      <c r="T275" s="32" t="n">
        <f>25819</f>
        <v>25819.0</v>
      </c>
      <c r="U275" s="32" t="str">
        <f>"－"</f>
        <v>－</v>
      </c>
      <c r="V275" s="32" t="n">
        <f>52638107</f>
        <v>5.2638107E7</v>
      </c>
      <c r="W275" s="32" t="str">
        <f>"－"</f>
        <v>－</v>
      </c>
      <c r="X275" s="36" t="n">
        <f>19</f>
        <v>19.0</v>
      </c>
    </row>
    <row r="276">
      <c r="A276" s="27" t="s">
        <v>42</v>
      </c>
      <c r="B276" s="27" t="s">
        <v>872</v>
      </c>
      <c r="C276" s="27" t="s">
        <v>873</v>
      </c>
      <c r="D276" s="27" t="s">
        <v>874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1180</f>
        <v>1180.0</v>
      </c>
      <c r="L276" s="34" t="s">
        <v>48</v>
      </c>
      <c r="M276" s="33" t="n">
        <f>1282.5</f>
        <v>1282.5</v>
      </c>
      <c r="N276" s="34" t="s">
        <v>60</v>
      </c>
      <c r="O276" s="33" t="n">
        <f>1155</f>
        <v>1155.0</v>
      </c>
      <c r="P276" s="34" t="s">
        <v>70</v>
      </c>
      <c r="Q276" s="33" t="n">
        <f>1163</f>
        <v>1163.0</v>
      </c>
      <c r="R276" s="34" t="s">
        <v>50</v>
      </c>
      <c r="S276" s="35" t="n">
        <f>1192.39</f>
        <v>1192.39</v>
      </c>
      <c r="T276" s="32" t="n">
        <f>155490</f>
        <v>155490.0</v>
      </c>
      <c r="U276" s="32" t="n">
        <f>18250</f>
        <v>18250.0</v>
      </c>
      <c r="V276" s="32" t="n">
        <f>184900169</f>
        <v>1.84900169E8</v>
      </c>
      <c r="W276" s="32" t="n">
        <f>21791069</f>
        <v>2.1791069E7</v>
      </c>
      <c r="X276" s="36" t="n">
        <f>19</f>
        <v>19.0</v>
      </c>
    </row>
    <row r="277">
      <c r="A277" s="27" t="s">
        <v>42</v>
      </c>
      <c r="B277" s="27" t="s">
        <v>875</v>
      </c>
      <c r="C277" s="27" t="s">
        <v>876</v>
      </c>
      <c r="D277" s="27" t="s">
        <v>877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1955</f>
        <v>1955.0</v>
      </c>
      <c r="L277" s="34" t="s">
        <v>48</v>
      </c>
      <c r="M277" s="33" t="n">
        <f>2100</f>
        <v>2100.0</v>
      </c>
      <c r="N277" s="34" t="s">
        <v>50</v>
      </c>
      <c r="O277" s="33" t="n">
        <f>1955</f>
        <v>1955.0</v>
      </c>
      <c r="P277" s="34" t="s">
        <v>48</v>
      </c>
      <c r="Q277" s="33" t="n">
        <f>2094</f>
        <v>2094.0</v>
      </c>
      <c r="R277" s="34" t="s">
        <v>50</v>
      </c>
      <c r="S277" s="35" t="n">
        <f>2044.37</f>
        <v>2044.37</v>
      </c>
      <c r="T277" s="32" t="n">
        <f>241702</f>
        <v>241702.0</v>
      </c>
      <c r="U277" s="32" t="n">
        <f>4176</f>
        <v>4176.0</v>
      </c>
      <c r="V277" s="32" t="n">
        <f>491479784</f>
        <v>4.91479784E8</v>
      </c>
      <c r="W277" s="32" t="n">
        <f>8470760</f>
        <v>8470760.0</v>
      </c>
      <c r="X277" s="36" t="n">
        <f>19</f>
        <v>19.0</v>
      </c>
    </row>
    <row r="278">
      <c r="A278" s="27" t="s">
        <v>42</v>
      </c>
      <c r="B278" s="27" t="s">
        <v>878</v>
      </c>
      <c r="C278" s="27" t="s">
        <v>879</v>
      </c>
      <c r="D278" s="27" t="s">
        <v>880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1993</f>
        <v>1993.0</v>
      </c>
      <c r="L278" s="34" t="s">
        <v>48</v>
      </c>
      <c r="M278" s="33" t="n">
        <f>2026</f>
        <v>2026.0</v>
      </c>
      <c r="N278" s="34" t="s">
        <v>60</v>
      </c>
      <c r="O278" s="33" t="n">
        <f>1950</f>
        <v>1950.0</v>
      </c>
      <c r="P278" s="34" t="s">
        <v>213</v>
      </c>
      <c r="Q278" s="33" t="n">
        <f>1980</f>
        <v>1980.0</v>
      </c>
      <c r="R278" s="34" t="s">
        <v>50</v>
      </c>
      <c r="S278" s="35" t="n">
        <f>1998.74</f>
        <v>1998.74</v>
      </c>
      <c r="T278" s="32" t="n">
        <f>2793349</f>
        <v>2793349.0</v>
      </c>
      <c r="U278" s="32" t="n">
        <f>2350653</f>
        <v>2350653.0</v>
      </c>
      <c r="V278" s="32" t="n">
        <f>5589425698</f>
        <v>5.589425698E9</v>
      </c>
      <c r="W278" s="32" t="n">
        <f>4707576530</f>
        <v>4.70757653E9</v>
      </c>
      <c r="X278" s="36" t="n">
        <f>19</f>
        <v>19.0</v>
      </c>
    </row>
    <row r="279">
      <c r="A279" s="27" t="s">
        <v>42</v>
      </c>
      <c r="B279" s="27" t="s">
        <v>881</v>
      </c>
      <c r="C279" s="27" t="s">
        <v>882</v>
      </c>
      <c r="D279" s="27" t="s">
        <v>883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6768</f>
        <v>6768.0</v>
      </c>
      <c r="L279" s="34" t="s">
        <v>48</v>
      </c>
      <c r="M279" s="33" t="n">
        <f>7200</f>
        <v>7200.0</v>
      </c>
      <c r="N279" s="34" t="s">
        <v>155</v>
      </c>
      <c r="O279" s="33" t="n">
        <f>6755</f>
        <v>6755.0</v>
      </c>
      <c r="P279" s="34" t="s">
        <v>48</v>
      </c>
      <c r="Q279" s="33" t="n">
        <f>6880</f>
        <v>6880.0</v>
      </c>
      <c r="R279" s="34" t="s">
        <v>50</v>
      </c>
      <c r="S279" s="35" t="n">
        <f>7010.95</f>
        <v>7010.95</v>
      </c>
      <c r="T279" s="32" t="n">
        <f>122128</f>
        <v>122128.0</v>
      </c>
      <c r="U279" s="32" t="str">
        <f>"－"</f>
        <v>－</v>
      </c>
      <c r="V279" s="32" t="n">
        <f>852428182</f>
        <v>8.52428182E8</v>
      </c>
      <c r="W279" s="32" t="str">
        <f>"－"</f>
        <v>－</v>
      </c>
      <c r="X279" s="36" t="n">
        <f>19</f>
        <v>19.0</v>
      </c>
    </row>
    <row r="280">
      <c r="A280" s="27" t="s">
        <v>42</v>
      </c>
      <c r="B280" s="27" t="s">
        <v>884</v>
      </c>
      <c r="C280" s="27" t="s">
        <v>885</v>
      </c>
      <c r="D280" s="27" t="s">
        <v>886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2667</f>
        <v>2667.0</v>
      </c>
      <c r="L280" s="34" t="s">
        <v>60</v>
      </c>
      <c r="M280" s="33" t="n">
        <f>2786.5</f>
        <v>2786.5</v>
      </c>
      <c r="N280" s="34" t="s">
        <v>202</v>
      </c>
      <c r="O280" s="33" t="n">
        <f>2650.5</f>
        <v>2650.5</v>
      </c>
      <c r="P280" s="34" t="s">
        <v>70</v>
      </c>
      <c r="Q280" s="33" t="n">
        <f>2729</f>
        <v>2729.0</v>
      </c>
      <c r="R280" s="34" t="s">
        <v>50</v>
      </c>
      <c r="S280" s="35" t="n">
        <f>2723.06</f>
        <v>2723.06</v>
      </c>
      <c r="T280" s="32" t="n">
        <f>1370</f>
        <v>1370.0</v>
      </c>
      <c r="U280" s="32" t="n">
        <f>100</f>
        <v>100.0</v>
      </c>
      <c r="V280" s="32" t="n">
        <f>3710937</f>
        <v>3710937.0</v>
      </c>
      <c r="W280" s="32" t="n">
        <f>274052</f>
        <v>274052.0</v>
      </c>
      <c r="X280" s="36" t="n">
        <f>8</f>
        <v>8.0</v>
      </c>
    </row>
    <row r="281">
      <c r="A281" s="27" t="s">
        <v>42</v>
      </c>
      <c r="B281" s="27" t="s">
        <v>887</v>
      </c>
      <c r="C281" s="27" t="s">
        <v>888</v>
      </c>
      <c r="D281" s="27" t="s">
        <v>889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3587</f>
        <v>3587.0</v>
      </c>
      <c r="L281" s="34" t="s">
        <v>48</v>
      </c>
      <c r="M281" s="33" t="n">
        <f>3825</f>
        <v>3825.0</v>
      </c>
      <c r="N281" s="34" t="s">
        <v>103</v>
      </c>
      <c r="O281" s="33" t="n">
        <f>3559</f>
        <v>3559.0</v>
      </c>
      <c r="P281" s="34" t="s">
        <v>48</v>
      </c>
      <c r="Q281" s="33" t="n">
        <f>3657</f>
        <v>3657.0</v>
      </c>
      <c r="R281" s="34" t="s">
        <v>50</v>
      </c>
      <c r="S281" s="35" t="n">
        <f>3686.39</f>
        <v>3686.39</v>
      </c>
      <c r="T281" s="32" t="n">
        <f>6078550</f>
        <v>6078550.0</v>
      </c>
      <c r="U281" s="32" t="n">
        <f>5842770</f>
        <v>5842770.0</v>
      </c>
      <c r="V281" s="32" t="n">
        <f>22403933073</f>
        <v>2.2403933073E10</v>
      </c>
      <c r="W281" s="32" t="n">
        <f>21541988493</f>
        <v>2.1541988493E10</v>
      </c>
      <c r="X281" s="36" t="n">
        <f>18</f>
        <v>18.0</v>
      </c>
    </row>
    <row r="282">
      <c r="A282" s="27" t="s">
        <v>42</v>
      </c>
      <c r="B282" s="27" t="s">
        <v>890</v>
      </c>
      <c r="C282" s="27" t="s">
        <v>891</v>
      </c>
      <c r="D282" s="27" t="s">
        <v>892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51870</f>
        <v>51870.0</v>
      </c>
      <c r="L282" s="34" t="s">
        <v>48</v>
      </c>
      <c r="M282" s="33" t="n">
        <f>55100</f>
        <v>55100.0</v>
      </c>
      <c r="N282" s="34" t="s">
        <v>74</v>
      </c>
      <c r="O282" s="33" t="n">
        <f>51660</f>
        <v>51660.0</v>
      </c>
      <c r="P282" s="34" t="s">
        <v>75</v>
      </c>
      <c r="Q282" s="33" t="n">
        <f>53970</f>
        <v>53970.0</v>
      </c>
      <c r="R282" s="34" t="s">
        <v>50</v>
      </c>
      <c r="S282" s="35" t="n">
        <f>53731.58</f>
        <v>53731.58</v>
      </c>
      <c r="T282" s="32" t="n">
        <f>250080</f>
        <v>250080.0</v>
      </c>
      <c r="U282" s="32" t="n">
        <f>214595</f>
        <v>214595.0</v>
      </c>
      <c r="V282" s="32" t="n">
        <f>13425564540</f>
        <v>1.342556454E10</v>
      </c>
      <c r="W282" s="32" t="n">
        <f>11523046380</f>
        <v>1.152304638E10</v>
      </c>
      <c r="X282" s="36" t="n">
        <f>19</f>
        <v>19.0</v>
      </c>
    </row>
    <row r="283">
      <c r="A283" s="27" t="s">
        <v>42</v>
      </c>
      <c r="B283" s="27" t="s">
        <v>893</v>
      </c>
      <c r="C283" s="27" t="s">
        <v>894</v>
      </c>
      <c r="D283" s="27" t="s">
        <v>895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31990</f>
        <v>31990.0</v>
      </c>
      <c r="L283" s="34" t="s">
        <v>48</v>
      </c>
      <c r="M283" s="33" t="n">
        <f>33830</f>
        <v>33830.0</v>
      </c>
      <c r="N283" s="34" t="s">
        <v>49</v>
      </c>
      <c r="O283" s="33" t="n">
        <f>31890</f>
        <v>31890.0</v>
      </c>
      <c r="P283" s="34" t="s">
        <v>48</v>
      </c>
      <c r="Q283" s="33" t="n">
        <f>32810</f>
        <v>32810.0</v>
      </c>
      <c r="R283" s="34" t="s">
        <v>50</v>
      </c>
      <c r="S283" s="35" t="n">
        <f>32917.65</f>
        <v>32917.65</v>
      </c>
      <c r="T283" s="32" t="n">
        <f>136212</f>
        <v>136212.0</v>
      </c>
      <c r="U283" s="32" t="n">
        <f>122535</f>
        <v>122535.0</v>
      </c>
      <c r="V283" s="32" t="n">
        <f>4496219430</f>
        <v>4.49621943E9</v>
      </c>
      <c r="W283" s="32" t="n">
        <f>4053420740</f>
        <v>4.05342074E9</v>
      </c>
      <c r="X283" s="36" t="n">
        <f>17</f>
        <v>17.0</v>
      </c>
    </row>
    <row r="284">
      <c r="A284" s="27" t="s">
        <v>42</v>
      </c>
      <c r="B284" s="27" t="s">
        <v>896</v>
      </c>
      <c r="C284" s="27" t="s">
        <v>897</v>
      </c>
      <c r="D284" s="27" t="s">
        <v>898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1257.5</f>
        <v>1257.5</v>
      </c>
      <c r="L284" s="34" t="s">
        <v>48</v>
      </c>
      <c r="M284" s="33" t="n">
        <f>1265</f>
        <v>1265.0</v>
      </c>
      <c r="N284" s="34" t="s">
        <v>60</v>
      </c>
      <c r="O284" s="33" t="n">
        <f>1191.5</f>
        <v>1191.5</v>
      </c>
      <c r="P284" s="34" t="s">
        <v>70</v>
      </c>
      <c r="Q284" s="33" t="n">
        <f>1208.5</f>
        <v>1208.5</v>
      </c>
      <c r="R284" s="34" t="s">
        <v>50</v>
      </c>
      <c r="S284" s="35" t="n">
        <f>1229.97</f>
        <v>1229.97</v>
      </c>
      <c r="T284" s="32" t="n">
        <f>6658830</f>
        <v>6658830.0</v>
      </c>
      <c r="U284" s="32" t="n">
        <f>5963850</f>
        <v>5963850.0</v>
      </c>
      <c r="V284" s="32" t="n">
        <f>8216923121</f>
        <v>8.216923121E9</v>
      </c>
      <c r="W284" s="32" t="n">
        <f>7368180746</f>
        <v>7.368180746E9</v>
      </c>
      <c r="X284" s="36" t="n">
        <f>16</f>
        <v>16.0</v>
      </c>
    </row>
    <row r="285">
      <c r="A285" s="27" t="s">
        <v>42</v>
      </c>
      <c r="B285" s="27" t="s">
        <v>899</v>
      </c>
      <c r="C285" s="27" t="s">
        <v>900</v>
      </c>
      <c r="D285" s="27" t="s">
        <v>901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1227</f>
        <v>1227.0</v>
      </c>
      <c r="L285" s="34" t="s">
        <v>48</v>
      </c>
      <c r="M285" s="33" t="n">
        <f>1256</f>
        <v>1256.0</v>
      </c>
      <c r="N285" s="34" t="s">
        <v>103</v>
      </c>
      <c r="O285" s="33" t="n">
        <f>1193</f>
        <v>1193.0</v>
      </c>
      <c r="P285" s="34" t="s">
        <v>70</v>
      </c>
      <c r="Q285" s="33" t="n">
        <f>1209</f>
        <v>1209.0</v>
      </c>
      <c r="R285" s="34" t="s">
        <v>50</v>
      </c>
      <c r="S285" s="35" t="n">
        <f>1225.11</f>
        <v>1225.11</v>
      </c>
      <c r="T285" s="32" t="n">
        <f>1608762</f>
        <v>1608762.0</v>
      </c>
      <c r="U285" s="32" t="n">
        <f>598530</f>
        <v>598530.0</v>
      </c>
      <c r="V285" s="32" t="n">
        <f>1970461410</f>
        <v>1.97046141E9</v>
      </c>
      <c r="W285" s="32" t="n">
        <f>728244357</f>
        <v>7.28244357E8</v>
      </c>
      <c r="X285" s="36" t="n">
        <f>19</f>
        <v>19.0</v>
      </c>
    </row>
    <row r="286">
      <c r="A286" s="27" t="s">
        <v>42</v>
      </c>
      <c r="B286" s="27" t="s">
        <v>902</v>
      </c>
      <c r="C286" s="27" t="s">
        <v>903</v>
      </c>
      <c r="D286" s="27" t="s">
        <v>904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2049</f>
        <v>2049.0</v>
      </c>
      <c r="L286" s="34" t="s">
        <v>48</v>
      </c>
      <c r="M286" s="33" t="n">
        <f>2152</f>
        <v>2152.0</v>
      </c>
      <c r="N286" s="34" t="s">
        <v>65</v>
      </c>
      <c r="O286" s="33" t="n">
        <f>2034</f>
        <v>2034.0</v>
      </c>
      <c r="P286" s="34" t="s">
        <v>48</v>
      </c>
      <c r="Q286" s="33" t="n">
        <f>2104</f>
        <v>2104.0</v>
      </c>
      <c r="R286" s="34" t="s">
        <v>50</v>
      </c>
      <c r="S286" s="35" t="n">
        <f>2096.21</f>
        <v>2096.21</v>
      </c>
      <c r="T286" s="32" t="n">
        <f>665700</f>
        <v>665700.0</v>
      </c>
      <c r="U286" s="32" t="n">
        <f>465248</f>
        <v>465248.0</v>
      </c>
      <c r="V286" s="32" t="n">
        <f>1397635111</f>
        <v>1.397635111E9</v>
      </c>
      <c r="W286" s="32" t="n">
        <f>977461516</f>
        <v>9.77461516E8</v>
      </c>
      <c r="X286" s="36" t="n">
        <f>19</f>
        <v>19.0</v>
      </c>
    </row>
    <row r="287">
      <c r="A287" s="27" t="s">
        <v>42</v>
      </c>
      <c r="B287" s="27" t="s">
        <v>905</v>
      </c>
      <c r="C287" s="27" t="s">
        <v>906</v>
      </c>
      <c r="D287" s="27" t="s">
        <v>907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16910</f>
        <v>16910.0</v>
      </c>
      <c r="L287" s="34" t="s">
        <v>48</v>
      </c>
      <c r="M287" s="33" t="n">
        <f>18130</f>
        <v>18130.0</v>
      </c>
      <c r="N287" s="34" t="s">
        <v>74</v>
      </c>
      <c r="O287" s="33" t="n">
        <f>16910</f>
        <v>16910.0</v>
      </c>
      <c r="P287" s="34" t="s">
        <v>48</v>
      </c>
      <c r="Q287" s="33" t="n">
        <f>17405</f>
        <v>17405.0</v>
      </c>
      <c r="R287" s="34" t="s">
        <v>50</v>
      </c>
      <c r="S287" s="35" t="n">
        <f>17657.63</f>
        <v>17657.63</v>
      </c>
      <c r="T287" s="32" t="n">
        <f>6742</f>
        <v>6742.0</v>
      </c>
      <c r="U287" s="32" t="str">
        <f>"－"</f>
        <v>－</v>
      </c>
      <c r="V287" s="32" t="n">
        <f>118931985</f>
        <v>1.18931985E8</v>
      </c>
      <c r="W287" s="32" t="str">
        <f>"－"</f>
        <v>－</v>
      </c>
      <c r="X287" s="36" t="n">
        <f>19</f>
        <v>19.0</v>
      </c>
    </row>
    <row r="288">
      <c r="A288" s="27" t="s">
        <v>42</v>
      </c>
      <c r="B288" s="27" t="s">
        <v>908</v>
      </c>
      <c r="C288" s="27" t="s">
        <v>909</v>
      </c>
      <c r="D288" s="27" t="s">
        <v>910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2200</f>
        <v>2200.0</v>
      </c>
      <c r="L288" s="34" t="s">
        <v>48</v>
      </c>
      <c r="M288" s="33" t="n">
        <f>2239</f>
        <v>2239.0</v>
      </c>
      <c r="N288" s="34" t="s">
        <v>103</v>
      </c>
      <c r="O288" s="33" t="n">
        <f>2122</f>
        <v>2122.0</v>
      </c>
      <c r="P288" s="34" t="s">
        <v>70</v>
      </c>
      <c r="Q288" s="33" t="n">
        <f>2169</f>
        <v>2169.0</v>
      </c>
      <c r="R288" s="34" t="s">
        <v>50</v>
      </c>
      <c r="S288" s="35" t="n">
        <f>2188.68</f>
        <v>2188.68</v>
      </c>
      <c r="T288" s="32" t="n">
        <f>694668</f>
        <v>694668.0</v>
      </c>
      <c r="U288" s="32" t="n">
        <f>616790</f>
        <v>616790.0</v>
      </c>
      <c r="V288" s="32" t="n">
        <f>1511866893</f>
        <v>1.511866893E9</v>
      </c>
      <c r="W288" s="32" t="n">
        <f>1341867390</f>
        <v>1.34186739E9</v>
      </c>
      <c r="X288" s="36" t="n">
        <f>19</f>
        <v>19.0</v>
      </c>
    </row>
    <row r="289">
      <c r="A289" s="27" t="s">
        <v>42</v>
      </c>
      <c r="B289" s="27" t="s">
        <v>911</v>
      </c>
      <c r="C289" s="27" t="s">
        <v>912</v>
      </c>
      <c r="D289" s="27" t="s">
        <v>913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2268</f>
        <v>2268.0</v>
      </c>
      <c r="L289" s="34" t="s">
        <v>48</v>
      </c>
      <c r="M289" s="33" t="n">
        <f>2650.5</f>
        <v>2650.5</v>
      </c>
      <c r="N289" s="34" t="s">
        <v>61</v>
      </c>
      <c r="O289" s="33" t="n">
        <f>2262</f>
        <v>2262.0</v>
      </c>
      <c r="P289" s="34" t="s">
        <v>48</v>
      </c>
      <c r="Q289" s="33" t="n">
        <f>2527.5</f>
        <v>2527.5</v>
      </c>
      <c r="R289" s="34" t="s">
        <v>50</v>
      </c>
      <c r="S289" s="35" t="n">
        <f>2491.66</f>
        <v>2491.66</v>
      </c>
      <c r="T289" s="32" t="n">
        <f>376570</f>
        <v>376570.0</v>
      </c>
      <c r="U289" s="32" t="str">
        <f>"－"</f>
        <v>－</v>
      </c>
      <c r="V289" s="32" t="n">
        <f>938821985</f>
        <v>9.38821985E8</v>
      </c>
      <c r="W289" s="32" t="str">
        <f>"－"</f>
        <v>－</v>
      </c>
      <c r="X289" s="36" t="n">
        <f>19</f>
        <v>19.0</v>
      </c>
    </row>
    <row r="290">
      <c r="A290" s="27" t="s">
        <v>42</v>
      </c>
      <c r="B290" s="27" t="s">
        <v>914</v>
      </c>
      <c r="C290" s="27" t="s">
        <v>915</v>
      </c>
      <c r="D290" s="27" t="s">
        <v>916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777.1</f>
        <v>777.1</v>
      </c>
      <c r="L290" s="34" t="s">
        <v>48</v>
      </c>
      <c r="M290" s="33" t="n">
        <f>780.8</f>
        <v>780.8</v>
      </c>
      <c r="N290" s="34" t="s">
        <v>103</v>
      </c>
      <c r="O290" s="33" t="n">
        <f>774.6</f>
        <v>774.6</v>
      </c>
      <c r="P290" s="34" t="s">
        <v>213</v>
      </c>
      <c r="Q290" s="33" t="n">
        <f>777.5</f>
        <v>777.5</v>
      </c>
      <c r="R290" s="34" t="s">
        <v>50</v>
      </c>
      <c r="S290" s="35" t="n">
        <f>777.78</f>
        <v>777.78</v>
      </c>
      <c r="T290" s="32" t="n">
        <f>441590</f>
        <v>441590.0</v>
      </c>
      <c r="U290" s="32" t="n">
        <f>342010</f>
        <v>342010.0</v>
      </c>
      <c r="V290" s="32" t="n">
        <f>344306198</f>
        <v>3.44306198E8</v>
      </c>
      <c r="W290" s="32" t="n">
        <f>266829811</f>
        <v>2.66829811E8</v>
      </c>
      <c r="X290" s="36" t="n">
        <f>19</f>
        <v>19.0</v>
      </c>
    </row>
    <row r="291">
      <c r="A291" s="27" t="s">
        <v>42</v>
      </c>
      <c r="B291" s="27" t="s">
        <v>917</v>
      </c>
      <c r="C291" s="27" t="s">
        <v>918</v>
      </c>
      <c r="D291" s="27" t="s">
        <v>919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2127</f>
        <v>2127.0</v>
      </c>
      <c r="L291" s="34" t="s">
        <v>48</v>
      </c>
      <c r="M291" s="33" t="n">
        <f>2135</f>
        <v>2135.0</v>
      </c>
      <c r="N291" s="34" t="s">
        <v>103</v>
      </c>
      <c r="O291" s="33" t="n">
        <f>2016</f>
        <v>2016.0</v>
      </c>
      <c r="P291" s="34" t="s">
        <v>70</v>
      </c>
      <c r="Q291" s="33" t="n">
        <f>2063</f>
        <v>2063.0</v>
      </c>
      <c r="R291" s="34" t="s">
        <v>50</v>
      </c>
      <c r="S291" s="35" t="n">
        <f>2083.63</f>
        <v>2083.63</v>
      </c>
      <c r="T291" s="32" t="n">
        <f>1437490</f>
        <v>1437490.0</v>
      </c>
      <c r="U291" s="32" t="n">
        <f>1162830</f>
        <v>1162830.0</v>
      </c>
      <c r="V291" s="32" t="n">
        <f>2975968547</f>
        <v>2.975968547E9</v>
      </c>
      <c r="W291" s="32" t="n">
        <f>2408205117</f>
        <v>2.408205117E9</v>
      </c>
      <c r="X291" s="36" t="n">
        <f>19</f>
        <v>19.0</v>
      </c>
    </row>
    <row r="292">
      <c r="A292" s="27" t="s">
        <v>42</v>
      </c>
      <c r="B292" s="27" t="s">
        <v>920</v>
      </c>
      <c r="C292" s="27" t="s">
        <v>921</v>
      </c>
      <c r="D292" s="27" t="s">
        <v>922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2100</f>
        <v>2100.0</v>
      </c>
      <c r="L292" s="34" t="s">
        <v>48</v>
      </c>
      <c r="M292" s="33" t="n">
        <f>2182.5</f>
        <v>2182.5</v>
      </c>
      <c r="N292" s="34" t="s">
        <v>65</v>
      </c>
      <c r="O292" s="33" t="n">
        <f>2011</f>
        <v>2011.0</v>
      </c>
      <c r="P292" s="34" t="s">
        <v>70</v>
      </c>
      <c r="Q292" s="33" t="n">
        <f>2044</f>
        <v>2044.0</v>
      </c>
      <c r="R292" s="34" t="s">
        <v>50</v>
      </c>
      <c r="S292" s="35" t="n">
        <f>2076.05</f>
        <v>2076.05</v>
      </c>
      <c r="T292" s="32" t="n">
        <f>8365860</f>
        <v>8365860.0</v>
      </c>
      <c r="U292" s="32" t="n">
        <f>7268190</f>
        <v>7268190.0</v>
      </c>
      <c r="V292" s="32" t="n">
        <f>17330126614</f>
        <v>1.7330126614E10</v>
      </c>
      <c r="W292" s="32" t="n">
        <f>15050233684</f>
        <v>1.5050233684E10</v>
      </c>
      <c r="X292" s="36" t="n">
        <f>19</f>
        <v>19.0</v>
      </c>
    </row>
    <row r="293">
      <c r="A293" s="27" t="s">
        <v>42</v>
      </c>
      <c r="B293" s="27" t="s">
        <v>923</v>
      </c>
      <c r="C293" s="27" t="s">
        <v>924</v>
      </c>
      <c r="D293" s="27" t="s">
        <v>925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3485</f>
        <v>3485.0</v>
      </c>
      <c r="L293" s="34" t="s">
        <v>48</v>
      </c>
      <c r="M293" s="33" t="n">
        <f>3713</f>
        <v>3713.0</v>
      </c>
      <c r="N293" s="34" t="s">
        <v>49</v>
      </c>
      <c r="O293" s="33" t="n">
        <f>3485</f>
        <v>3485.0</v>
      </c>
      <c r="P293" s="34" t="s">
        <v>48</v>
      </c>
      <c r="Q293" s="33" t="n">
        <f>3610</f>
        <v>3610.0</v>
      </c>
      <c r="R293" s="34" t="s">
        <v>50</v>
      </c>
      <c r="S293" s="35" t="n">
        <f>3617.21</f>
        <v>3617.21</v>
      </c>
      <c r="T293" s="32" t="n">
        <f>2617500</f>
        <v>2617500.0</v>
      </c>
      <c r="U293" s="32" t="n">
        <f>2213230</f>
        <v>2213230.0</v>
      </c>
      <c r="V293" s="32" t="n">
        <f>9387372617</f>
        <v>9.387372617E9</v>
      </c>
      <c r="W293" s="32" t="n">
        <f>7925806417</f>
        <v>7.925806417E9</v>
      </c>
      <c r="X293" s="36" t="n">
        <f>19</f>
        <v>19.0</v>
      </c>
    </row>
    <row r="294">
      <c r="A294" s="27" t="s">
        <v>42</v>
      </c>
      <c r="B294" s="27" t="s">
        <v>926</v>
      </c>
      <c r="C294" s="27" t="s">
        <v>927</v>
      </c>
      <c r="D294" s="27" t="s">
        <v>928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30950</f>
        <v>30950.0</v>
      </c>
      <c r="L294" s="34" t="s">
        <v>48</v>
      </c>
      <c r="M294" s="33" t="n">
        <f>31880</f>
        <v>31880.0</v>
      </c>
      <c r="N294" s="34" t="s">
        <v>74</v>
      </c>
      <c r="O294" s="33" t="n">
        <f>30470</f>
        <v>30470.0</v>
      </c>
      <c r="P294" s="34" t="s">
        <v>273</v>
      </c>
      <c r="Q294" s="33" t="n">
        <f>30610</f>
        <v>30610.0</v>
      </c>
      <c r="R294" s="34" t="s">
        <v>50</v>
      </c>
      <c r="S294" s="35" t="n">
        <f>31191.05</f>
        <v>31191.05</v>
      </c>
      <c r="T294" s="32" t="n">
        <f>803268</f>
        <v>803268.0</v>
      </c>
      <c r="U294" s="32" t="n">
        <f>174448</f>
        <v>174448.0</v>
      </c>
      <c r="V294" s="32" t="n">
        <f>25045486557</f>
        <v>2.5045486557E10</v>
      </c>
      <c r="W294" s="32" t="n">
        <f>5453995387</f>
        <v>5.453995387E9</v>
      </c>
      <c r="X294" s="36" t="n">
        <f>19</f>
        <v>19.0</v>
      </c>
    </row>
    <row r="295">
      <c r="A295" s="27" t="s">
        <v>42</v>
      </c>
      <c r="B295" s="27" t="s">
        <v>929</v>
      </c>
      <c r="C295" s="27" t="s">
        <v>930</v>
      </c>
      <c r="D295" s="27" t="s">
        <v>931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26320</f>
        <v>26320.0</v>
      </c>
      <c r="L295" s="34" t="s">
        <v>48</v>
      </c>
      <c r="M295" s="33" t="n">
        <f>27165</f>
        <v>27165.0</v>
      </c>
      <c r="N295" s="34" t="s">
        <v>74</v>
      </c>
      <c r="O295" s="33" t="n">
        <f>26205</f>
        <v>26205.0</v>
      </c>
      <c r="P295" s="34" t="s">
        <v>213</v>
      </c>
      <c r="Q295" s="33" t="n">
        <f>26385</f>
        <v>26385.0</v>
      </c>
      <c r="R295" s="34" t="s">
        <v>50</v>
      </c>
      <c r="S295" s="35" t="n">
        <f>26680.53</f>
        <v>26680.53</v>
      </c>
      <c r="T295" s="32" t="n">
        <f>707408</f>
        <v>707408.0</v>
      </c>
      <c r="U295" s="32" t="n">
        <f>16234</f>
        <v>16234.0</v>
      </c>
      <c r="V295" s="32" t="n">
        <f>18835380747</f>
        <v>1.8835380747E10</v>
      </c>
      <c r="W295" s="32" t="n">
        <f>433395822</f>
        <v>4.33395822E8</v>
      </c>
      <c r="X295" s="36" t="n">
        <f>19</f>
        <v>19.0</v>
      </c>
    </row>
    <row r="296">
      <c r="A296" s="27" t="s">
        <v>42</v>
      </c>
      <c r="B296" s="27" t="s">
        <v>932</v>
      </c>
      <c r="C296" s="27" t="s">
        <v>933</v>
      </c>
      <c r="D296" s="27" t="s">
        <v>934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45980</f>
        <v>45980.0</v>
      </c>
      <c r="L296" s="34" t="s">
        <v>48</v>
      </c>
      <c r="M296" s="33" t="n">
        <f>54450</f>
        <v>54450.0</v>
      </c>
      <c r="N296" s="34" t="s">
        <v>60</v>
      </c>
      <c r="O296" s="33" t="n">
        <f>45980</f>
        <v>45980.0</v>
      </c>
      <c r="P296" s="34" t="s">
        <v>48</v>
      </c>
      <c r="Q296" s="33" t="n">
        <f>46920</f>
        <v>46920.0</v>
      </c>
      <c r="R296" s="34" t="s">
        <v>223</v>
      </c>
      <c r="S296" s="35" t="n">
        <f>47777</f>
        <v>47777.0</v>
      </c>
      <c r="T296" s="32" t="n">
        <f>1598</f>
        <v>1598.0</v>
      </c>
      <c r="U296" s="32" t="str">
        <f>"－"</f>
        <v>－</v>
      </c>
      <c r="V296" s="32" t="n">
        <f>77180930</f>
        <v>7.718093E7</v>
      </c>
      <c r="W296" s="32" t="str">
        <f>"－"</f>
        <v>－</v>
      </c>
      <c r="X296" s="36" t="n">
        <f>10</f>
        <v>10.0</v>
      </c>
    </row>
    <row r="297">
      <c r="A297" s="27" t="s">
        <v>42</v>
      </c>
      <c r="B297" s="27" t="s">
        <v>935</v>
      </c>
      <c r="C297" s="27" t="s">
        <v>936</v>
      </c>
      <c r="D297" s="27" t="s">
        <v>937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2109</f>
        <v>2109.0</v>
      </c>
      <c r="L297" s="34" t="s">
        <v>48</v>
      </c>
      <c r="M297" s="33" t="n">
        <f>2111</f>
        <v>2111.0</v>
      </c>
      <c r="N297" s="34" t="s">
        <v>75</v>
      </c>
      <c r="O297" s="33" t="n">
        <f>2042</f>
        <v>2042.0</v>
      </c>
      <c r="P297" s="34" t="s">
        <v>213</v>
      </c>
      <c r="Q297" s="33" t="n">
        <f>2069</f>
        <v>2069.0</v>
      </c>
      <c r="R297" s="34" t="s">
        <v>50</v>
      </c>
      <c r="S297" s="35" t="n">
        <f>2078</f>
        <v>2078.0</v>
      </c>
      <c r="T297" s="32" t="n">
        <f>2694480</f>
        <v>2694480.0</v>
      </c>
      <c r="U297" s="32" t="n">
        <f>1120075</f>
        <v>1120075.0</v>
      </c>
      <c r="V297" s="32" t="n">
        <f>5588102110</f>
        <v>5.58810211E9</v>
      </c>
      <c r="W297" s="32" t="n">
        <f>2329317559</f>
        <v>2.329317559E9</v>
      </c>
      <c r="X297" s="36" t="n">
        <f>19</f>
        <v>19.0</v>
      </c>
    </row>
    <row r="298">
      <c r="A298" s="27" t="s">
        <v>42</v>
      </c>
      <c r="B298" s="27" t="s">
        <v>938</v>
      </c>
      <c r="C298" s="27" t="s">
        <v>939</v>
      </c>
      <c r="D298" s="27" t="s">
        <v>940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3477</f>
        <v>3477.0</v>
      </c>
      <c r="L298" s="34" t="s">
        <v>48</v>
      </c>
      <c r="M298" s="33" t="n">
        <f>3516</f>
        <v>3516.0</v>
      </c>
      <c r="N298" s="34" t="s">
        <v>195</v>
      </c>
      <c r="O298" s="33" t="n">
        <f>3433</f>
        <v>3433.0</v>
      </c>
      <c r="P298" s="34" t="s">
        <v>213</v>
      </c>
      <c r="Q298" s="33" t="n">
        <f>3448</f>
        <v>3448.0</v>
      </c>
      <c r="R298" s="34" t="s">
        <v>50</v>
      </c>
      <c r="S298" s="35" t="n">
        <f>3479.32</f>
        <v>3479.32</v>
      </c>
      <c r="T298" s="32" t="n">
        <f>2136589</f>
        <v>2136589.0</v>
      </c>
      <c r="U298" s="32" t="n">
        <f>1634833</f>
        <v>1634833.0</v>
      </c>
      <c r="V298" s="32" t="n">
        <f>7445734044</f>
        <v>7.445734044E9</v>
      </c>
      <c r="W298" s="32" t="n">
        <f>5698168886</f>
        <v>5.698168886E9</v>
      </c>
      <c r="X298" s="36" t="n">
        <f>19</f>
        <v>19.0</v>
      </c>
    </row>
    <row r="299">
      <c r="A299" s="27" t="s">
        <v>42</v>
      </c>
      <c r="B299" s="27" t="s">
        <v>941</v>
      </c>
      <c r="C299" s="27" t="s">
        <v>942</v>
      </c>
      <c r="D299" s="27" t="s">
        <v>943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371.7</f>
        <v>371.7</v>
      </c>
      <c r="L299" s="34" t="s">
        <v>48</v>
      </c>
      <c r="M299" s="33" t="n">
        <f>378.8</f>
        <v>378.8</v>
      </c>
      <c r="N299" s="34" t="s">
        <v>61</v>
      </c>
      <c r="O299" s="33" t="n">
        <f>367.8</f>
        <v>367.8</v>
      </c>
      <c r="P299" s="34" t="s">
        <v>213</v>
      </c>
      <c r="Q299" s="33" t="n">
        <f>374.4</f>
        <v>374.4</v>
      </c>
      <c r="R299" s="34" t="s">
        <v>50</v>
      </c>
      <c r="S299" s="35" t="n">
        <f>374.51</f>
        <v>374.51</v>
      </c>
      <c r="T299" s="32" t="n">
        <f>40237250</f>
        <v>4.023725E7</v>
      </c>
      <c r="U299" s="32" t="n">
        <f>21702000</f>
        <v>2.1702E7</v>
      </c>
      <c r="V299" s="32" t="n">
        <f>15048105682</f>
        <v>1.5048105682E10</v>
      </c>
      <c r="W299" s="32" t="n">
        <f>8120622295</f>
        <v>8.120622295E9</v>
      </c>
      <c r="X299" s="36" t="n">
        <f>19</f>
        <v>19.0</v>
      </c>
    </row>
    <row r="300">
      <c r="A300" s="27" t="s">
        <v>42</v>
      </c>
      <c r="B300" s="27" t="s">
        <v>944</v>
      </c>
      <c r="C300" s="27" t="s">
        <v>945</v>
      </c>
      <c r="D300" s="27" t="s">
        <v>946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3409</f>
        <v>3409.0</v>
      </c>
      <c r="L300" s="34" t="s">
        <v>48</v>
      </c>
      <c r="M300" s="33" t="n">
        <f>3674</f>
        <v>3674.0</v>
      </c>
      <c r="N300" s="34" t="s">
        <v>103</v>
      </c>
      <c r="O300" s="33" t="n">
        <f>3397</f>
        <v>3397.0</v>
      </c>
      <c r="P300" s="34" t="s">
        <v>48</v>
      </c>
      <c r="Q300" s="33" t="n">
        <f>3522</f>
        <v>3522.0</v>
      </c>
      <c r="R300" s="34" t="s">
        <v>50</v>
      </c>
      <c r="S300" s="35" t="n">
        <f>3529.37</f>
        <v>3529.37</v>
      </c>
      <c r="T300" s="32" t="n">
        <f>2836209</f>
        <v>2836209.0</v>
      </c>
      <c r="U300" s="32" t="n">
        <f>2097967</f>
        <v>2097967.0</v>
      </c>
      <c r="V300" s="32" t="n">
        <f>10110045592</f>
        <v>1.0110045592E10</v>
      </c>
      <c r="W300" s="32" t="n">
        <f>7510639024</f>
        <v>7.510639024E9</v>
      </c>
      <c r="X300" s="36" t="n">
        <f>19</f>
        <v>19.0</v>
      </c>
    </row>
    <row r="301">
      <c r="A301" s="27" t="s">
        <v>42</v>
      </c>
      <c r="B301" s="27" t="s">
        <v>947</v>
      </c>
      <c r="C301" s="27" t="s">
        <v>948</v>
      </c>
      <c r="D301" s="27" t="s">
        <v>949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994</f>
        <v>994.0</v>
      </c>
      <c r="L301" s="34" t="s">
        <v>48</v>
      </c>
      <c r="M301" s="33" t="n">
        <f>1026</f>
        <v>1026.0</v>
      </c>
      <c r="N301" s="34" t="s">
        <v>103</v>
      </c>
      <c r="O301" s="33" t="n">
        <f>958</f>
        <v>958.0</v>
      </c>
      <c r="P301" s="34" t="s">
        <v>70</v>
      </c>
      <c r="Q301" s="33" t="n">
        <f>968</f>
        <v>968.0</v>
      </c>
      <c r="R301" s="34" t="s">
        <v>50</v>
      </c>
      <c r="S301" s="35" t="n">
        <f>995.16</f>
        <v>995.16</v>
      </c>
      <c r="T301" s="32" t="n">
        <f>1722185</f>
        <v>1722185.0</v>
      </c>
      <c r="U301" s="32" t="n">
        <f>1486399</f>
        <v>1486399.0</v>
      </c>
      <c r="V301" s="32" t="n">
        <f>1718116912</f>
        <v>1.718116912E9</v>
      </c>
      <c r="W301" s="32" t="n">
        <f>1486332319</f>
        <v>1.486332319E9</v>
      </c>
      <c r="X301" s="36" t="n">
        <f>19</f>
        <v>19.0</v>
      </c>
    </row>
    <row r="302">
      <c r="A302" s="27" t="s">
        <v>42</v>
      </c>
      <c r="B302" s="27" t="s">
        <v>950</v>
      </c>
      <c r="C302" s="27" t="s">
        <v>951</v>
      </c>
      <c r="D302" s="27" t="s">
        <v>952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1156</f>
        <v>1156.0</v>
      </c>
      <c r="L302" s="34" t="s">
        <v>48</v>
      </c>
      <c r="M302" s="33" t="n">
        <f>1169</f>
        <v>1169.0</v>
      </c>
      <c r="N302" s="34" t="s">
        <v>103</v>
      </c>
      <c r="O302" s="33" t="n">
        <f>1101</f>
        <v>1101.0</v>
      </c>
      <c r="P302" s="34" t="s">
        <v>70</v>
      </c>
      <c r="Q302" s="33" t="n">
        <f>1119</f>
        <v>1119.0</v>
      </c>
      <c r="R302" s="34" t="s">
        <v>50</v>
      </c>
      <c r="S302" s="35" t="n">
        <f>1139.79</f>
        <v>1139.79</v>
      </c>
      <c r="T302" s="32" t="n">
        <f>3622640</f>
        <v>3622640.0</v>
      </c>
      <c r="U302" s="32" t="n">
        <f>3405893</f>
        <v>3405893.0</v>
      </c>
      <c r="V302" s="32" t="n">
        <f>4080760438</f>
        <v>4.080760438E9</v>
      </c>
      <c r="W302" s="32" t="n">
        <f>3835909654</f>
        <v>3.835909654E9</v>
      </c>
      <c r="X302" s="36" t="n">
        <f>19</f>
        <v>19.0</v>
      </c>
    </row>
    <row r="303">
      <c r="A303" s="27" t="s">
        <v>42</v>
      </c>
      <c r="B303" s="27" t="s">
        <v>953</v>
      </c>
      <c r="C303" s="27" t="s">
        <v>954</v>
      </c>
      <c r="D303" s="27" t="s">
        <v>955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460</f>
        <v>460.0</v>
      </c>
      <c r="L303" s="34" t="s">
        <v>48</v>
      </c>
      <c r="M303" s="33" t="n">
        <f>530</f>
        <v>530.0</v>
      </c>
      <c r="N303" s="34" t="s">
        <v>60</v>
      </c>
      <c r="O303" s="33" t="n">
        <f>458.7</f>
        <v>458.7</v>
      </c>
      <c r="P303" s="34" t="s">
        <v>195</v>
      </c>
      <c r="Q303" s="33" t="n">
        <f>474</f>
        <v>474.0</v>
      </c>
      <c r="R303" s="34" t="s">
        <v>50</v>
      </c>
      <c r="S303" s="35" t="n">
        <f>479.31</f>
        <v>479.31</v>
      </c>
      <c r="T303" s="32" t="n">
        <f>8550</f>
        <v>8550.0</v>
      </c>
      <c r="U303" s="32" t="n">
        <f>200</f>
        <v>200.0</v>
      </c>
      <c r="V303" s="32" t="n">
        <f>4146359</f>
        <v>4146359.0</v>
      </c>
      <c r="W303" s="32" t="n">
        <f>94620</f>
        <v>94620.0</v>
      </c>
      <c r="X303" s="36" t="n">
        <f>19</f>
        <v>19.0</v>
      </c>
    </row>
    <row r="304">
      <c r="A304" s="27" t="s">
        <v>42</v>
      </c>
      <c r="B304" s="27" t="s">
        <v>956</v>
      </c>
      <c r="C304" s="27" t="s">
        <v>957</v>
      </c>
      <c r="D304" s="27" t="s">
        <v>958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6814</f>
        <v>6814.0</v>
      </c>
      <c r="L304" s="34" t="s">
        <v>48</v>
      </c>
      <c r="M304" s="33" t="n">
        <f>7041</f>
        <v>7041.0</v>
      </c>
      <c r="N304" s="34" t="s">
        <v>74</v>
      </c>
      <c r="O304" s="33" t="n">
        <f>6728</f>
        <v>6728.0</v>
      </c>
      <c r="P304" s="34" t="s">
        <v>273</v>
      </c>
      <c r="Q304" s="33" t="n">
        <f>6769</f>
        <v>6769.0</v>
      </c>
      <c r="R304" s="34" t="s">
        <v>50</v>
      </c>
      <c r="S304" s="35" t="n">
        <f>6876.58</f>
        <v>6876.58</v>
      </c>
      <c r="T304" s="32" t="n">
        <f>382171</f>
        <v>382171.0</v>
      </c>
      <c r="U304" s="32" t="n">
        <f>161</f>
        <v>161.0</v>
      </c>
      <c r="V304" s="32" t="n">
        <f>2621660966</f>
        <v>2.621660966E9</v>
      </c>
      <c r="W304" s="32" t="n">
        <f>1107236</f>
        <v>1107236.0</v>
      </c>
      <c r="X304" s="36" t="n">
        <f>19</f>
        <v>19.0</v>
      </c>
    </row>
    <row r="305">
      <c r="A305" s="27" t="s">
        <v>42</v>
      </c>
      <c r="B305" s="27" t="s">
        <v>959</v>
      </c>
      <c r="C305" s="27" t="s">
        <v>960</v>
      </c>
      <c r="D305" s="27" t="s">
        <v>961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3765</f>
        <v>3765.0</v>
      </c>
      <c r="L305" s="34" t="s">
        <v>48</v>
      </c>
      <c r="M305" s="33" t="n">
        <f>3882</f>
        <v>3882.0</v>
      </c>
      <c r="N305" s="34" t="s">
        <v>61</v>
      </c>
      <c r="O305" s="33" t="n">
        <f>3708</f>
        <v>3708.0</v>
      </c>
      <c r="P305" s="34" t="s">
        <v>213</v>
      </c>
      <c r="Q305" s="33" t="n">
        <f>3807</f>
        <v>3807.0</v>
      </c>
      <c r="R305" s="34" t="s">
        <v>50</v>
      </c>
      <c r="S305" s="35" t="n">
        <f>3798.53</f>
        <v>3798.53</v>
      </c>
      <c r="T305" s="32" t="n">
        <f>3495421</f>
        <v>3495421.0</v>
      </c>
      <c r="U305" s="32" t="n">
        <f>2455819</f>
        <v>2455819.0</v>
      </c>
      <c r="V305" s="32" t="n">
        <f>13290658289</f>
        <v>1.3290658289E10</v>
      </c>
      <c r="W305" s="32" t="n">
        <f>9362545705</f>
        <v>9.362545705E9</v>
      </c>
      <c r="X305" s="36" t="n">
        <f>19</f>
        <v>19.0</v>
      </c>
    </row>
    <row r="306">
      <c r="A306" s="27" t="s">
        <v>42</v>
      </c>
      <c r="B306" s="27" t="s">
        <v>962</v>
      </c>
      <c r="C306" s="27" t="s">
        <v>963</v>
      </c>
      <c r="D306" s="27" t="s">
        <v>964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2723</f>
        <v>2723.0</v>
      </c>
      <c r="L306" s="34" t="s">
        <v>48</v>
      </c>
      <c r="M306" s="33" t="n">
        <f>6270</f>
        <v>6270.0</v>
      </c>
      <c r="N306" s="34" t="s">
        <v>103</v>
      </c>
      <c r="O306" s="33" t="n">
        <f>2721</f>
        <v>2721.0</v>
      </c>
      <c r="P306" s="34" t="s">
        <v>257</v>
      </c>
      <c r="Q306" s="33" t="n">
        <f>2853</f>
        <v>2853.0</v>
      </c>
      <c r="R306" s="34" t="s">
        <v>50</v>
      </c>
      <c r="S306" s="35" t="n">
        <f>2909.68</f>
        <v>2909.68</v>
      </c>
      <c r="T306" s="32" t="n">
        <f>63212</f>
        <v>63212.0</v>
      </c>
      <c r="U306" s="32" t="str">
        <f>"－"</f>
        <v>－</v>
      </c>
      <c r="V306" s="32" t="n">
        <f>216997988</f>
        <v>2.16997988E8</v>
      </c>
      <c r="W306" s="32" t="str">
        <f>"－"</f>
        <v>－</v>
      </c>
      <c r="X306" s="36" t="n">
        <f>19</f>
        <v>19.0</v>
      </c>
    </row>
    <row r="307">
      <c r="A307" s="27" t="s">
        <v>42</v>
      </c>
      <c r="B307" s="27" t="s">
        <v>965</v>
      </c>
      <c r="C307" s="27" t="s">
        <v>966</v>
      </c>
      <c r="D307" s="27" t="s">
        <v>967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2394</f>
        <v>2394.0</v>
      </c>
      <c r="L307" s="34" t="s">
        <v>48</v>
      </c>
      <c r="M307" s="33" t="n">
        <f>2499</f>
        <v>2499.0</v>
      </c>
      <c r="N307" s="34" t="s">
        <v>75</v>
      </c>
      <c r="O307" s="33" t="n">
        <f>2245</f>
        <v>2245.0</v>
      </c>
      <c r="P307" s="34" t="s">
        <v>61</v>
      </c>
      <c r="Q307" s="33" t="n">
        <f>2266</f>
        <v>2266.0</v>
      </c>
      <c r="R307" s="34" t="s">
        <v>50</v>
      </c>
      <c r="S307" s="35" t="n">
        <f>2311.68</f>
        <v>2311.68</v>
      </c>
      <c r="T307" s="32" t="n">
        <f>13579</f>
        <v>13579.0</v>
      </c>
      <c r="U307" s="32" t="n">
        <f>1</f>
        <v>1.0</v>
      </c>
      <c r="V307" s="32" t="n">
        <f>31863599</f>
        <v>3.1863599E7</v>
      </c>
      <c r="W307" s="32" t="n">
        <f>2349</f>
        <v>2349.0</v>
      </c>
      <c r="X307" s="36" t="n">
        <f>19</f>
        <v>19.0</v>
      </c>
    </row>
    <row r="308">
      <c r="A308" s="27" t="s">
        <v>42</v>
      </c>
      <c r="B308" s="27" t="s">
        <v>968</v>
      </c>
      <c r="C308" s="27" t="s">
        <v>969</v>
      </c>
      <c r="D308" s="27" t="s">
        <v>970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367.8</f>
        <v>367.8</v>
      </c>
      <c r="L308" s="34" t="s">
        <v>48</v>
      </c>
      <c r="M308" s="33" t="n">
        <f>386</f>
        <v>386.0</v>
      </c>
      <c r="N308" s="34" t="s">
        <v>48</v>
      </c>
      <c r="O308" s="33" t="n">
        <f>353.8</f>
        <v>353.8</v>
      </c>
      <c r="P308" s="34" t="s">
        <v>61</v>
      </c>
      <c r="Q308" s="33" t="n">
        <f>358.2</f>
        <v>358.2</v>
      </c>
      <c r="R308" s="34" t="s">
        <v>50</v>
      </c>
      <c r="S308" s="35" t="n">
        <f>365.24</f>
        <v>365.24</v>
      </c>
      <c r="T308" s="32" t="n">
        <f>11061310</f>
        <v>1.106131E7</v>
      </c>
      <c r="U308" s="32" t="n">
        <f>7295820</f>
        <v>7295820.0</v>
      </c>
      <c r="V308" s="32" t="n">
        <f>4007953840</f>
        <v>4.00795384E9</v>
      </c>
      <c r="W308" s="32" t="n">
        <f>2644163785</f>
        <v>2.644163785E9</v>
      </c>
      <c r="X308" s="36" t="n">
        <f>19</f>
        <v>19.0</v>
      </c>
    </row>
    <row r="309">
      <c r="A309" s="27" t="s">
        <v>42</v>
      </c>
      <c r="B309" s="27" t="s">
        <v>971</v>
      </c>
      <c r="C309" s="27" t="s">
        <v>972</v>
      </c>
      <c r="D309" s="27" t="s">
        <v>973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1085</f>
        <v>1085.0</v>
      </c>
      <c r="L309" s="34" t="s">
        <v>48</v>
      </c>
      <c r="M309" s="33" t="n">
        <f>1087</f>
        <v>1087.0</v>
      </c>
      <c r="N309" s="34" t="s">
        <v>195</v>
      </c>
      <c r="O309" s="33" t="n">
        <f>1063</f>
        <v>1063.0</v>
      </c>
      <c r="P309" s="34" t="s">
        <v>213</v>
      </c>
      <c r="Q309" s="33" t="n">
        <f>1068</f>
        <v>1068.0</v>
      </c>
      <c r="R309" s="34" t="s">
        <v>50</v>
      </c>
      <c r="S309" s="35" t="n">
        <f>1076.95</f>
        <v>1076.95</v>
      </c>
      <c r="T309" s="32" t="n">
        <f>17243805</f>
        <v>1.7243805E7</v>
      </c>
      <c r="U309" s="32" t="n">
        <f>281155</f>
        <v>281155.0</v>
      </c>
      <c r="V309" s="32" t="n">
        <f>18581284442</f>
        <v>1.8581284442E10</v>
      </c>
      <c r="W309" s="32" t="n">
        <f>302615253</f>
        <v>3.02615253E8</v>
      </c>
      <c r="X309" s="36" t="n">
        <f>19</f>
        <v>19.0</v>
      </c>
    </row>
    <row r="310">
      <c r="A310" s="27" t="s">
        <v>42</v>
      </c>
      <c r="B310" s="27" t="s">
        <v>974</v>
      </c>
      <c r="C310" s="27" t="s">
        <v>975</v>
      </c>
      <c r="D310" s="27" t="s">
        <v>976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1785</f>
        <v>1785.0</v>
      </c>
      <c r="L310" s="34" t="s">
        <v>48</v>
      </c>
      <c r="M310" s="33" t="n">
        <f>1806</f>
        <v>1806.0</v>
      </c>
      <c r="N310" s="34" t="s">
        <v>48</v>
      </c>
      <c r="O310" s="33" t="n">
        <f>1733</f>
        <v>1733.0</v>
      </c>
      <c r="P310" s="34" t="s">
        <v>50</v>
      </c>
      <c r="Q310" s="33" t="n">
        <f>1750</f>
        <v>1750.0</v>
      </c>
      <c r="R310" s="34" t="s">
        <v>50</v>
      </c>
      <c r="S310" s="35" t="n">
        <f>1756.84</f>
        <v>1756.84</v>
      </c>
      <c r="T310" s="32" t="n">
        <f>116796</f>
        <v>116796.0</v>
      </c>
      <c r="U310" s="32" t="n">
        <f>16026</f>
        <v>16026.0</v>
      </c>
      <c r="V310" s="32" t="n">
        <f>204760172</f>
        <v>2.04760172E8</v>
      </c>
      <c r="W310" s="32" t="n">
        <f>27783039</f>
        <v>2.7783039E7</v>
      </c>
      <c r="X310" s="36" t="n">
        <f>19</f>
        <v>19.0</v>
      </c>
    </row>
    <row r="311">
      <c r="A311" s="27" t="s">
        <v>42</v>
      </c>
      <c r="B311" s="27" t="s">
        <v>977</v>
      </c>
      <c r="C311" s="27" t="s">
        <v>978</v>
      </c>
      <c r="D311" s="27" t="s">
        <v>979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2010</f>
        <v>2010.0</v>
      </c>
      <c r="L311" s="34" t="s">
        <v>48</v>
      </c>
      <c r="M311" s="33" t="n">
        <f>2104</f>
        <v>2104.0</v>
      </c>
      <c r="N311" s="34" t="s">
        <v>60</v>
      </c>
      <c r="O311" s="33" t="n">
        <f>1995</f>
        <v>1995.0</v>
      </c>
      <c r="P311" s="34" t="s">
        <v>48</v>
      </c>
      <c r="Q311" s="33" t="n">
        <f>2008</f>
        <v>2008.0</v>
      </c>
      <c r="R311" s="34" t="s">
        <v>50</v>
      </c>
      <c r="S311" s="35" t="n">
        <f>2004.63</f>
        <v>2004.63</v>
      </c>
      <c r="T311" s="32" t="n">
        <f>524805</f>
        <v>524805.0</v>
      </c>
      <c r="U311" s="32" t="n">
        <f>499000</f>
        <v>499000.0</v>
      </c>
      <c r="V311" s="32" t="n">
        <f>1049162083</f>
        <v>1.049162083E9</v>
      </c>
      <c r="W311" s="32" t="n">
        <f>997051900</f>
        <v>9.970519E8</v>
      </c>
      <c r="X311" s="36" t="n">
        <f>19</f>
        <v>19.0</v>
      </c>
    </row>
    <row r="312">
      <c r="A312" s="27" t="s">
        <v>42</v>
      </c>
      <c r="B312" s="27" t="s">
        <v>980</v>
      </c>
      <c r="C312" s="27" t="s">
        <v>981</v>
      </c>
      <c r="D312" s="27" t="s">
        <v>982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5146</f>
        <v>5146.0</v>
      </c>
      <c r="L312" s="34" t="s">
        <v>48</v>
      </c>
      <c r="M312" s="33" t="n">
        <f>5474</f>
        <v>5474.0</v>
      </c>
      <c r="N312" s="34" t="s">
        <v>74</v>
      </c>
      <c r="O312" s="33" t="n">
        <f>5130</f>
        <v>5130.0</v>
      </c>
      <c r="P312" s="34" t="s">
        <v>75</v>
      </c>
      <c r="Q312" s="33" t="n">
        <f>5346</f>
        <v>5346.0</v>
      </c>
      <c r="R312" s="34" t="s">
        <v>50</v>
      </c>
      <c r="S312" s="35" t="n">
        <f>5339.58</f>
        <v>5339.58</v>
      </c>
      <c r="T312" s="32" t="n">
        <f>1366003</f>
        <v>1366003.0</v>
      </c>
      <c r="U312" s="32" t="n">
        <f>632959</f>
        <v>632959.0</v>
      </c>
      <c r="V312" s="32" t="n">
        <f>7268566045</f>
        <v>7.268566045E9</v>
      </c>
      <c r="W312" s="32" t="n">
        <f>3387340735</f>
        <v>3.387340735E9</v>
      </c>
      <c r="X312" s="36" t="n">
        <f>19</f>
        <v>19.0</v>
      </c>
    </row>
    <row r="313">
      <c r="A313" s="27" t="s">
        <v>42</v>
      </c>
      <c r="B313" s="27" t="s">
        <v>983</v>
      </c>
      <c r="C313" s="27" t="s">
        <v>984</v>
      </c>
      <c r="D313" s="27" t="s">
        <v>985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3475</f>
        <v>3475.0</v>
      </c>
      <c r="L313" s="34" t="s">
        <v>48</v>
      </c>
      <c r="M313" s="33" t="n">
        <f>3685</f>
        <v>3685.0</v>
      </c>
      <c r="N313" s="34" t="s">
        <v>49</v>
      </c>
      <c r="O313" s="33" t="n">
        <f>3465</f>
        <v>3465.0</v>
      </c>
      <c r="P313" s="34" t="s">
        <v>48</v>
      </c>
      <c r="Q313" s="33" t="n">
        <f>3585</f>
        <v>3585.0</v>
      </c>
      <c r="R313" s="34" t="s">
        <v>50</v>
      </c>
      <c r="S313" s="35" t="n">
        <f>3590.47</f>
        <v>3590.47</v>
      </c>
      <c r="T313" s="32" t="n">
        <f>3613668</f>
        <v>3613668.0</v>
      </c>
      <c r="U313" s="32" t="n">
        <f>3309758</f>
        <v>3309758.0</v>
      </c>
      <c r="V313" s="32" t="n">
        <f>13039155726</f>
        <v>1.3039155726E10</v>
      </c>
      <c r="W313" s="32" t="n">
        <f>11939812422</f>
        <v>1.1939812422E10</v>
      </c>
      <c r="X313" s="36" t="n">
        <f>19</f>
        <v>19.0</v>
      </c>
    </row>
    <row r="314">
      <c r="A314" s="27" t="s">
        <v>42</v>
      </c>
      <c r="B314" s="27" t="s">
        <v>986</v>
      </c>
      <c r="C314" s="27" t="s">
        <v>987</v>
      </c>
      <c r="D314" s="27" t="s">
        <v>988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3130</f>
        <v>3130.0</v>
      </c>
      <c r="L314" s="34" t="s">
        <v>48</v>
      </c>
      <c r="M314" s="33" t="n">
        <f>3130</f>
        <v>3130.0</v>
      </c>
      <c r="N314" s="34" t="s">
        <v>48</v>
      </c>
      <c r="O314" s="33" t="n">
        <f>2903</f>
        <v>2903.0</v>
      </c>
      <c r="P314" s="34" t="s">
        <v>70</v>
      </c>
      <c r="Q314" s="33" t="n">
        <f>2939</f>
        <v>2939.0</v>
      </c>
      <c r="R314" s="34" t="s">
        <v>50</v>
      </c>
      <c r="S314" s="35" t="n">
        <f>3040</f>
        <v>3040.0</v>
      </c>
      <c r="T314" s="32" t="n">
        <f>47506</f>
        <v>47506.0</v>
      </c>
      <c r="U314" s="32" t="n">
        <f>50</f>
        <v>50.0</v>
      </c>
      <c r="V314" s="32" t="n">
        <f>140770853</f>
        <v>1.40770853E8</v>
      </c>
      <c r="W314" s="32" t="n">
        <f>154230</f>
        <v>154230.0</v>
      </c>
      <c r="X314" s="36" t="n">
        <f>19</f>
        <v>19.0</v>
      </c>
    </row>
    <row r="315">
      <c r="A315" s="27" t="s">
        <v>42</v>
      </c>
      <c r="B315" s="27" t="s">
        <v>989</v>
      </c>
      <c r="C315" s="27" t="s">
        <v>990</v>
      </c>
      <c r="D315" s="27" t="s">
        <v>991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1533</f>
        <v>1533.0</v>
      </c>
      <c r="L315" s="34" t="s">
        <v>48</v>
      </c>
      <c r="M315" s="33" t="n">
        <f>1585</f>
        <v>1585.0</v>
      </c>
      <c r="N315" s="34" t="s">
        <v>74</v>
      </c>
      <c r="O315" s="33" t="n">
        <f>1435</f>
        <v>1435.0</v>
      </c>
      <c r="P315" s="34" t="s">
        <v>70</v>
      </c>
      <c r="Q315" s="33" t="n">
        <f>1452</f>
        <v>1452.0</v>
      </c>
      <c r="R315" s="34" t="s">
        <v>50</v>
      </c>
      <c r="S315" s="35" t="n">
        <f>1507.21</f>
        <v>1507.21</v>
      </c>
      <c r="T315" s="32" t="n">
        <f>20589</f>
        <v>20589.0</v>
      </c>
      <c r="U315" s="32" t="n">
        <f>130</f>
        <v>130.0</v>
      </c>
      <c r="V315" s="32" t="n">
        <f>31340274</f>
        <v>3.1340274E7</v>
      </c>
      <c r="W315" s="32" t="n">
        <f>195200</f>
        <v>195200.0</v>
      </c>
      <c r="X315" s="36" t="n">
        <f>19</f>
        <v>19.0</v>
      </c>
    </row>
    <row r="316">
      <c r="A316" s="27" t="s">
        <v>42</v>
      </c>
      <c r="B316" s="27" t="s">
        <v>992</v>
      </c>
      <c r="C316" s="27" t="s">
        <v>993</v>
      </c>
      <c r="D316" s="27" t="s">
        <v>994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2963</f>
        <v>2963.0</v>
      </c>
      <c r="L316" s="34" t="s">
        <v>48</v>
      </c>
      <c r="M316" s="33" t="n">
        <f>3450</f>
        <v>3450.0</v>
      </c>
      <c r="N316" s="34" t="s">
        <v>206</v>
      </c>
      <c r="O316" s="33" t="n">
        <f>2946</f>
        <v>2946.0</v>
      </c>
      <c r="P316" s="34" t="s">
        <v>48</v>
      </c>
      <c r="Q316" s="33" t="n">
        <f>3275</f>
        <v>3275.0</v>
      </c>
      <c r="R316" s="34" t="s">
        <v>50</v>
      </c>
      <c r="S316" s="35" t="n">
        <f>3259.89</f>
        <v>3259.89</v>
      </c>
      <c r="T316" s="32" t="n">
        <f>343105</f>
        <v>343105.0</v>
      </c>
      <c r="U316" s="32" t="str">
        <f>"－"</f>
        <v>－</v>
      </c>
      <c r="V316" s="32" t="n">
        <f>1117365376</f>
        <v>1.117365376E9</v>
      </c>
      <c r="W316" s="32" t="str">
        <f>"－"</f>
        <v>－</v>
      </c>
      <c r="X316" s="36" t="n">
        <f>19</f>
        <v>19.0</v>
      </c>
    </row>
    <row r="317">
      <c r="A317" s="27" t="s">
        <v>42</v>
      </c>
      <c r="B317" s="27" t="s">
        <v>995</v>
      </c>
      <c r="C317" s="27" t="s">
        <v>996</v>
      </c>
      <c r="D317" s="27" t="s">
        <v>997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3790</f>
        <v>3790.0</v>
      </c>
      <c r="L317" s="34" t="s">
        <v>48</v>
      </c>
      <c r="M317" s="33" t="n">
        <f>4197</f>
        <v>4197.0</v>
      </c>
      <c r="N317" s="34" t="s">
        <v>74</v>
      </c>
      <c r="O317" s="33" t="n">
        <f>3689</f>
        <v>3689.0</v>
      </c>
      <c r="P317" s="34" t="s">
        <v>50</v>
      </c>
      <c r="Q317" s="33" t="n">
        <f>3725</f>
        <v>3725.0</v>
      </c>
      <c r="R317" s="34" t="s">
        <v>50</v>
      </c>
      <c r="S317" s="35" t="n">
        <f>3839.16</f>
        <v>3839.16</v>
      </c>
      <c r="T317" s="32" t="n">
        <f>311383</f>
        <v>311383.0</v>
      </c>
      <c r="U317" s="32" t="str">
        <f>"－"</f>
        <v>－</v>
      </c>
      <c r="V317" s="32" t="n">
        <f>1194070083</f>
        <v>1.194070083E9</v>
      </c>
      <c r="W317" s="32" t="str">
        <f>"－"</f>
        <v>－</v>
      </c>
      <c r="X317" s="36" t="n">
        <f>19</f>
        <v>19.0</v>
      </c>
    </row>
    <row r="318">
      <c r="A318" s="27" t="s">
        <v>42</v>
      </c>
      <c r="B318" s="27" t="s">
        <v>998</v>
      </c>
      <c r="C318" s="27" t="s">
        <v>999</v>
      </c>
      <c r="D318" s="27" t="s">
        <v>1000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14680</f>
        <v>14680.0</v>
      </c>
      <c r="L318" s="34" t="s">
        <v>48</v>
      </c>
      <c r="M318" s="33" t="n">
        <f>14955</f>
        <v>14955.0</v>
      </c>
      <c r="N318" s="34" t="s">
        <v>61</v>
      </c>
      <c r="O318" s="33" t="n">
        <f>14510</f>
        <v>14510.0</v>
      </c>
      <c r="P318" s="34" t="s">
        <v>213</v>
      </c>
      <c r="Q318" s="33" t="n">
        <f>14745</f>
        <v>14745.0</v>
      </c>
      <c r="R318" s="34" t="s">
        <v>50</v>
      </c>
      <c r="S318" s="35" t="n">
        <f>14775.53</f>
        <v>14775.53</v>
      </c>
      <c r="T318" s="32" t="n">
        <f>436192</f>
        <v>436192.0</v>
      </c>
      <c r="U318" s="32" t="n">
        <f>310975</f>
        <v>310975.0</v>
      </c>
      <c r="V318" s="32" t="n">
        <f>6433356824</f>
        <v>6.433356824E9</v>
      </c>
      <c r="W318" s="32" t="n">
        <f>4584243084</f>
        <v>4.584243084E9</v>
      </c>
      <c r="X318" s="36" t="n">
        <f>19</f>
        <v>19.0</v>
      </c>
    </row>
    <row r="319">
      <c r="A319" s="27" t="s">
        <v>42</v>
      </c>
      <c r="B319" s="27" t="s">
        <v>1001</v>
      </c>
      <c r="C319" s="27" t="s">
        <v>1002</v>
      </c>
      <c r="D319" s="27" t="s">
        <v>1003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28395</f>
        <v>28395.0</v>
      </c>
      <c r="L319" s="34" t="s">
        <v>48</v>
      </c>
      <c r="M319" s="33" t="n">
        <f>29385</f>
        <v>29385.0</v>
      </c>
      <c r="N319" s="34" t="s">
        <v>74</v>
      </c>
      <c r="O319" s="33" t="n">
        <f>28060</f>
        <v>28060.0</v>
      </c>
      <c r="P319" s="34" t="s">
        <v>273</v>
      </c>
      <c r="Q319" s="33" t="n">
        <f>28265</f>
        <v>28265.0</v>
      </c>
      <c r="R319" s="34" t="s">
        <v>50</v>
      </c>
      <c r="S319" s="35" t="n">
        <f>28692.63</f>
        <v>28692.63</v>
      </c>
      <c r="T319" s="32" t="n">
        <f>282676</f>
        <v>282676.0</v>
      </c>
      <c r="U319" s="32" t="n">
        <f>60112</f>
        <v>60112.0</v>
      </c>
      <c r="V319" s="32" t="n">
        <f>8096733839</f>
        <v>8.096733839E9</v>
      </c>
      <c r="W319" s="32" t="n">
        <f>1727188824</f>
        <v>1.727188824E9</v>
      </c>
      <c r="X319" s="36" t="n">
        <f>19</f>
        <v>19.0</v>
      </c>
    </row>
    <row r="320">
      <c r="A320" s="27" t="s">
        <v>42</v>
      </c>
      <c r="B320" s="27" t="s">
        <v>1004</v>
      </c>
      <c r="C320" s="27" t="s">
        <v>1005</v>
      </c>
      <c r="D320" s="27" t="s">
        <v>1006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15710</f>
        <v>15710.0</v>
      </c>
      <c r="L320" s="34" t="s">
        <v>48</v>
      </c>
      <c r="M320" s="33" t="n">
        <f>16230</f>
        <v>16230.0</v>
      </c>
      <c r="N320" s="34" t="s">
        <v>61</v>
      </c>
      <c r="O320" s="33" t="n">
        <f>15490</f>
        <v>15490.0</v>
      </c>
      <c r="P320" s="34" t="s">
        <v>213</v>
      </c>
      <c r="Q320" s="33" t="n">
        <f>15950</f>
        <v>15950.0</v>
      </c>
      <c r="R320" s="34" t="s">
        <v>50</v>
      </c>
      <c r="S320" s="35" t="n">
        <f>15883.95</f>
        <v>15883.95</v>
      </c>
      <c r="T320" s="32" t="n">
        <f>201796</f>
        <v>201796.0</v>
      </c>
      <c r="U320" s="32" t="n">
        <f>13153</f>
        <v>13153.0</v>
      </c>
      <c r="V320" s="32" t="n">
        <f>3199675190</f>
        <v>3.19967519E9</v>
      </c>
      <c r="W320" s="32" t="n">
        <f>204330585</f>
        <v>2.04330585E8</v>
      </c>
      <c r="X320" s="36" t="n">
        <f>19</f>
        <v>19.0</v>
      </c>
    </row>
    <row r="321">
      <c r="A321" s="27" t="s">
        <v>42</v>
      </c>
      <c r="B321" s="27" t="s">
        <v>1007</v>
      </c>
      <c r="C321" s="27" t="s">
        <v>1008</v>
      </c>
      <c r="D321" s="27" t="s">
        <v>1009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497.7</f>
        <v>497.7</v>
      </c>
      <c r="L321" s="34" t="s">
        <v>48</v>
      </c>
      <c r="M321" s="33" t="n">
        <f>512.7</f>
        <v>512.7</v>
      </c>
      <c r="N321" s="34" t="s">
        <v>74</v>
      </c>
      <c r="O321" s="33" t="n">
        <f>490</f>
        <v>490.0</v>
      </c>
      <c r="P321" s="34" t="s">
        <v>273</v>
      </c>
      <c r="Q321" s="33" t="n">
        <f>492.2</f>
        <v>492.2</v>
      </c>
      <c r="R321" s="34" t="s">
        <v>50</v>
      </c>
      <c r="S321" s="35" t="n">
        <f>501.54</f>
        <v>501.54</v>
      </c>
      <c r="T321" s="32" t="n">
        <f>7316420</f>
        <v>7316420.0</v>
      </c>
      <c r="U321" s="32" t="n">
        <f>3873330</f>
        <v>3873330.0</v>
      </c>
      <c r="V321" s="32" t="n">
        <f>3683239596</f>
        <v>3.683239596E9</v>
      </c>
      <c r="W321" s="32" t="n">
        <f>1962137676</f>
        <v>1.962137676E9</v>
      </c>
      <c r="X321" s="36" t="n">
        <f>19</f>
        <v>19.0</v>
      </c>
    </row>
    <row r="322">
      <c r="A322" s="27" t="s">
        <v>42</v>
      </c>
      <c r="B322" s="27" t="s">
        <v>1010</v>
      </c>
      <c r="C322" s="27" t="s">
        <v>1011</v>
      </c>
      <c r="D322" s="27" t="s">
        <v>1012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2904</f>
        <v>2904.0</v>
      </c>
      <c r="L322" s="34" t="s">
        <v>48</v>
      </c>
      <c r="M322" s="33" t="n">
        <f>2955</f>
        <v>2955.0</v>
      </c>
      <c r="N322" s="34" t="s">
        <v>61</v>
      </c>
      <c r="O322" s="33" t="n">
        <f>2865</f>
        <v>2865.0</v>
      </c>
      <c r="P322" s="34" t="s">
        <v>213</v>
      </c>
      <c r="Q322" s="33" t="n">
        <f>2917</f>
        <v>2917.0</v>
      </c>
      <c r="R322" s="34" t="s">
        <v>50</v>
      </c>
      <c r="S322" s="35" t="n">
        <f>2922.11</f>
        <v>2922.11</v>
      </c>
      <c r="T322" s="32" t="n">
        <f>6561720</f>
        <v>6561720.0</v>
      </c>
      <c r="U322" s="32" t="n">
        <f>4609241</f>
        <v>4609241.0</v>
      </c>
      <c r="V322" s="32" t="n">
        <f>19130890131</f>
        <v>1.9130890131E10</v>
      </c>
      <c r="W322" s="32" t="n">
        <f>13446675040</f>
        <v>1.344667504E10</v>
      </c>
      <c r="X322" s="36" t="n">
        <f>19</f>
        <v>19.0</v>
      </c>
    </row>
    <row r="323">
      <c r="A323" s="27" t="s">
        <v>42</v>
      </c>
      <c r="B323" s="27" t="s">
        <v>1013</v>
      </c>
      <c r="C323" s="27" t="s">
        <v>1014</v>
      </c>
      <c r="D323" s="27" t="s">
        <v>1015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4151</f>
        <v>4151.0</v>
      </c>
      <c r="L323" s="34" t="s">
        <v>48</v>
      </c>
      <c r="M323" s="33" t="n">
        <f>4446</f>
        <v>4446.0</v>
      </c>
      <c r="N323" s="34" t="s">
        <v>103</v>
      </c>
      <c r="O323" s="33" t="n">
        <f>4137</f>
        <v>4137.0</v>
      </c>
      <c r="P323" s="34" t="s">
        <v>48</v>
      </c>
      <c r="Q323" s="33" t="n">
        <f>4252</f>
        <v>4252.0</v>
      </c>
      <c r="R323" s="34" t="s">
        <v>50</v>
      </c>
      <c r="S323" s="35" t="n">
        <f>4270.05</f>
        <v>4270.05</v>
      </c>
      <c r="T323" s="32" t="n">
        <f>20447</f>
        <v>20447.0</v>
      </c>
      <c r="U323" s="32" t="n">
        <f>10</f>
        <v>10.0</v>
      </c>
      <c r="V323" s="32" t="n">
        <f>86553181</f>
        <v>8.6553181E7</v>
      </c>
      <c r="W323" s="32" t="n">
        <f>42815</f>
        <v>42815.0</v>
      </c>
      <c r="X323" s="36" t="n">
        <f>19</f>
        <v>19.0</v>
      </c>
    </row>
    <row r="324">
      <c r="A324" s="27" t="s">
        <v>42</v>
      </c>
      <c r="B324" s="27" t="s">
        <v>1016</v>
      </c>
      <c r="C324" s="27" t="s">
        <v>1017</v>
      </c>
      <c r="D324" s="27" t="s">
        <v>1018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1954</f>
        <v>1954.0</v>
      </c>
      <c r="L324" s="34" t="s">
        <v>48</v>
      </c>
      <c r="M324" s="33" t="n">
        <f>2203</f>
        <v>2203.0</v>
      </c>
      <c r="N324" s="34" t="s">
        <v>61</v>
      </c>
      <c r="O324" s="33" t="n">
        <f>1954</f>
        <v>1954.0</v>
      </c>
      <c r="P324" s="34" t="s">
        <v>48</v>
      </c>
      <c r="Q324" s="33" t="n">
        <f>2060</f>
        <v>2060.0</v>
      </c>
      <c r="R324" s="34" t="s">
        <v>50</v>
      </c>
      <c r="S324" s="35" t="n">
        <f>2095.21</f>
        <v>2095.21</v>
      </c>
      <c r="T324" s="32" t="n">
        <f>33162</f>
        <v>33162.0</v>
      </c>
      <c r="U324" s="32" t="n">
        <f>230</f>
        <v>230.0</v>
      </c>
      <c r="V324" s="32" t="n">
        <f>68861098</f>
        <v>6.8861098E7</v>
      </c>
      <c r="W324" s="32" t="n">
        <f>480278</f>
        <v>480278.0</v>
      </c>
      <c r="X324" s="36" t="n">
        <f>19</f>
        <v>19.0</v>
      </c>
    </row>
    <row r="325">
      <c r="A325" s="27" t="s">
        <v>42</v>
      </c>
      <c r="B325" s="27" t="s">
        <v>1019</v>
      </c>
      <c r="C325" s="27" t="s">
        <v>1020</v>
      </c>
      <c r="D325" s="27" t="s">
        <v>1021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2448</f>
        <v>2448.0</v>
      </c>
      <c r="L325" s="34" t="s">
        <v>48</v>
      </c>
      <c r="M325" s="33" t="n">
        <f>2589</f>
        <v>2589.0</v>
      </c>
      <c r="N325" s="34" t="s">
        <v>49</v>
      </c>
      <c r="O325" s="33" t="n">
        <f>2386</f>
        <v>2386.0</v>
      </c>
      <c r="P325" s="34" t="s">
        <v>70</v>
      </c>
      <c r="Q325" s="33" t="n">
        <f>2421</f>
        <v>2421.0</v>
      </c>
      <c r="R325" s="34" t="s">
        <v>50</v>
      </c>
      <c r="S325" s="35" t="n">
        <f>2492.37</f>
        <v>2492.37</v>
      </c>
      <c r="T325" s="32" t="n">
        <f>1270557</f>
        <v>1270557.0</v>
      </c>
      <c r="U325" s="32" t="n">
        <f>301255</f>
        <v>301255.0</v>
      </c>
      <c r="V325" s="32" t="n">
        <f>3178262097</f>
        <v>3.178262097E9</v>
      </c>
      <c r="W325" s="32" t="n">
        <f>767279485</f>
        <v>7.67279485E8</v>
      </c>
      <c r="X325" s="36" t="n">
        <f>19</f>
        <v>19.0</v>
      </c>
    </row>
    <row r="326">
      <c r="A326" s="27" t="s">
        <v>42</v>
      </c>
      <c r="B326" s="27" t="s">
        <v>1022</v>
      </c>
      <c r="C326" s="27" t="s">
        <v>1023</v>
      </c>
      <c r="D326" s="27" t="s">
        <v>1024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1697</f>
        <v>1697.0</v>
      </c>
      <c r="L326" s="34" t="s">
        <v>48</v>
      </c>
      <c r="M326" s="33" t="n">
        <f>1780</f>
        <v>1780.0</v>
      </c>
      <c r="N326" s="34" t="s">
        <v>74</v>
      </c>
      <c r="O326" s="33" t="n">
        <f>1650</f>
        <v>1650.0</v>
      </c>
      <c r="P326" s="34" t="s">
        <v>70</v>
      </c>
      <c r="Q326" s="33" t="n">
        <f>1692</f>
        <v>1692.0</v>
      </c>
      <c r="R326" s="34" t="s">
        <v>50</v>
      </c>
      <c r="S326" s="35" t="n">
        <f>1721.84</f>
        <v>1721.84</v>
      </c>
      <c r="T326" s="32" t="n">
        <f>128185</f>
        <v>128185.0</v>
      </c>
      <c r="U326" s="32" t="n">
        <f>114520</f>
        <v>114520.0</v>
      </c>
      <c r="V326" s="32" t="n">
        <f>224048074</f>
        <v>2.24048074E8</v>
      </c>
      <c r="W326" s="32" t="n">
        <f>200523457</f>
        <v>2.00523457E8</v>
      </c>
      <c r="X326" s="36" t="n">
        <f>19</f>
        <v>19.0</v>
      </c>
    </row>
    <row r="327">
      <c r="A327" s="27" t="s">
        <v>42</v>
      </c>
      <c r="B327" s="27" t="s">
        <v>1025</v>
      </c>
      <c r="C327" s="27" t="s">
        <v>1026</v>
      </c>
      <c r="D327" s="27" t="s">
        <v>1027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4352</f>
        <v>4352.0</v>
      </c>
      <c r="L327" s="34" t="s">
        <v>48</v>
      </c>
      <c r="M327" s="33" t="n">
        <f>4449</f>
        <v>4449.0</v>
      </c>
      <c r="N327" s="34" t="s">
        <v>65</v>
      </c>
      <c r="O327" s="33" t="n">
        <f>4128</f>
        <v>4128.0</v>
      </c>
      <c r="P327" s="34" t="s">
        <v>70</v>
      </c>
      <c r="Q327" s="33" t="n">
        <f>4193</f>
        <v>4193.0</v>
      </c>
      <c r="R327" s="34" t="s">
        <v>50</v>
      </c>
      <c r="S327" s="35" t="n">
        <f>4302</f>
        <v>4302.0</v>
      </c>
      <c r="T327" s="32" t="n">
        <f>372914</f>
        <v>372914.0</v>
      </c>
      <c r="U327" s="32" t="n">
        <f>128216</f>
        <v>128216.0</v>
      </c>
      <c r="V327" s="32" t="n">
        <f>1612500910</f>
        <v>1.61250091E9</v>
      </c>
      <c r="W327" s="32" t="n">
        <f>559328949</f>
        <v>5.59328949E8</v>
      </c>
      <c r="X327" s="36" t="n">
        <f>19</f>
        <v>19.0</v>
      </c>
    </row>
    <row r="328">
      <c r="A328" s="27" t="s">
        <v>42</v>
      </c>
      <c r="B328" s="27" t="s">
        <v>1028</v>
      </c>
      <c r="C328" s="27" t="s">
        <v>1029</v>
      </c>
      <c r="D328" s="27" t="s">
        <v>1030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3986</f>
        <v>3986.0</v>
      </c>
      <c r="L328" s="34" t="s">
        <v>48</v>
      </c>
      <c r="M328" s="33" t="n">
        <f>4300</f>
        <v>4300.0</v>
      </c>
      <c r="N328" s="34" t="s">
        <v>103</v>
      </c>
      <c r="O328" s="33" t="n">
        <f>3978</f>
        <v>3978.0</v>
      </c>
      <c r="P328" s="34" t="s">
        <v>75</v>
      </c>
      <c r="Q328" s="33" t="n">
        <f>4085</f>
        <v>4085.0</v>
      </c>
      <c r="R328" s="34" t="s">
        <v>50</v>
      </c>
      <c r="S328" s="35" t="n">
        <f>4120.42</f>
        <v>4120.42</v>
      </c>
      <c r="T328" s="32" t="n">
        <f>1274754</f>
        <v>1274754.0</v>
      </c>
      <c r="U328" s="32" t="n">
        <f>879263</f>
        <v>879263.0</v>
      </c>
      <c r="V328" s="32" t="n">
        <f>5234965246</f>
        <v>5.234965246E9</v>
      </c>
      <c r="W328" s="32" t="n">
        <f>3604128896</f>
        <v>3.604128896E9</v>
      </c>
      <c r="X328" s="36" t="n">
        <f>19</f>
        <v>19.0</v>
      </c>
    </row>
    <row r="329">
      <c r="A329" s="27" t="s">
        <v>42</v>
      </c>
      <c r="B329" s="27" t="s">
        <v>1031</v>
      </c>
      <c r="C329" s="27" t="s">
        <v>1032</v>
      </c>
      <c r="D329" s="27" t="s">
        <v>1033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46190</f>
        <v>46190.0</v>
      </c>
      <c r="L329" s="34" t="s">
        <v>48</v>
      </c>
      <c r="M329" s="33" t="n">
        <f>48550</f>
        <v>48550.0</v>
      </c>
      <c r="N329" s="34" t="s">
        <v>65</v>
      </c>
      <c r="O329" s="33" t="n">
        <f>46190</f>
        <v>46190.0</v>
      </c>
      <c r="P329" s="34" t="s">
        <v>48</v>
      </c>
      <c r="Q329" s="33" t="n">
        <f>47280</f>
        <v>47280.0</v>
      </c>
      <c r="R329" s="34" t="s">
        <v>50</v>
      </c>
      <c r="S329" s="35" t="n">
        <f>47416.25</f>
        <v>47416.25</v>
      </c>
      <c r="T329" s="32" t="n">
        <f>25</f>
        <v>25.0</v>
      </c>
      <c r="U329" s="32" t="str">
        <f>"－"</f>
        <v>－</v>
      </c>
      <c r="V329" s="32" t="n">
        <f>1184260</f>
        <v>1184260.0</v>
      </c>
      <c r="W329" s="32" t="str">
        <f>"－"</f>
        <v>－</v>
      </c>
      <c r="X329" s="36" t="n">
        <f>16</f>
        <v>16.0</v>
      </c>
    </row>
    <row r="330">
      <c r="A330" s="27" t="s">
        <v>42</v>
      </c>
      <c r="B330" s="27" t="s">
        <v>1034</v>
      </c>
      <c r="C330" s="27" t="s">
        <v>1035</v>
      </c>
      <c r="D330" s="27" t="s">
        <v>1036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3687</f>
        <v>3687.0</v>
      </c>
      <c r="L330" s="34" t="s">
        <v>48</v>
      </c>
      <c r="M330" s="33" t="n">
        <f>3895</f>
        <v>3895.0</v>
      </c>
      <c r="N330" s="34" t="s">
        <v>49</v>
      </c>
      <c r="O330" s="33" t="n">
        <f>3667</f>
        <v>3667.0</v>
      </c>
      <c r="P330" s="34" t="s">
        <v>48</v>
      </c>
      <c r="Q330" s="33" t="n">
        <f>3715</f>
        <v>3715.0</v>
      </c>
      <c r="R330" s="34" t="s">
        <v>223</v>
      </c>
      <c r="S330" s="35" t="n">
        <f>3766.62</f>
        <v>3766.62</v>
      </c>
      <c r="T330" s="32" t="n">
        <f>51118</f>
        <v>51118.0</v>
      </c>
      <c r="U330" s="32" t="str">
        <f>"－"</f>
        <v>－</v>
      </c>
      <c r="V330" s="32" t="n">
        <f>193287971</f>
        <v>1.93287971E8</v>
      </c>
      <c r="W330" s="32" t="str">
        <f>"－"</f>
        <v>－</v>
      </c>
      <c r="X330" s="36" t="n">
        <f>13</f>
        <v>13.0</v>
      </c>
    </row>
    <row r="331">
      <c r="A331" s="27" t="s">
        <v>42</v>
      </c>
      <c r="B331" s="27" t="s">
        <v>1037</v>
      </c>
      <c r="C331" s="27" t="s">
        <v>1038</v>
      </c>
      <c r="D331" s="27" t="s">
        <v>1039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2630</f>
        <v>2630.0</v>
      </c>
      <c r="L331" s="34" t="s">
        <v>48</v>
      </c>
      <c r="M331" s="33" t="n">
        <f>3330</f>
        <v>3330.0</v>
      </c>
      <c r="N331" s="34" t="s">
        <v>70</v>
      </c>
      <c r="O331" s="33" t="n">
        <f>2630</f>
        <v>2630.0</v>
      </c>
      <c r="P331" s="34" t="s">
        <v>48</v>
      </c>
      <c r="Q331" s="33" t="n">
        <f>3152</f>
        <v>3152.0</v>
      </c>
      <c r="R331" s="34" t="s">
        <v>50</v>
      </c>
      <c r="S331" s="35" t="n">
        <f>2985.84</f>
        <v>2985.84</v>
      </c>
      <c r="T331" s="32" t="n">
        <f>28811190</f>
        <v>2.881119E7</v>
      </c>
      <c r="U331" s="32" t="n">
        <f>636781</f>
        <v>636781.0</v>
      </c>
      <c r="V331" s="32" t="n">
        <f>86462925621</f>
        <v>8.6462925621E10</v>
      </c>
      <c r="W331" s="32" t="n">
        <f>1848975904</f>
        <v>1.848975904E9</v>
      </c>
      <c r="X331" s="36" t="n">
        <f>19</f>
        <v>19.0</v>
      </c>
    </row>
    <row r="332">
      <c r="A332" s="27" t="s">
        <v>42</v>
      </c>
      <c r="B332" s="27" t="s">
        <v>1040</v>
      </c>
      <c r="C332" s="27" t="s">
        <v>1041</v>
      </c>
      <c r="D332" s="27" t="s">
        <v>1042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2706</f>
        <v>2706.0</v>
      </c>
      <c r="L332" s="34" t="s">
        <v>48</v>
      </c>
      <c r="M332" s="33" t="n">
        <f>2764</f>
        <v>2764.0</v>
      </c>
      <c r="N332" s="34" t="s">
        <v>60</v>
      </c>
      <c r="O332" s="33" t="n">
        <f>2599</f>
        <v>2599.0</v>
      </c>
      <c r="P332" s="34" t="s">
        <v>70</v>
      </c>
      <c r="Q332" s="33" t="n">
        <f>2628</f>
        <v>2628.0</v>
      </c>
      <c r="R332" s="34" t="s">
        <v>50</v>
      </c>
      <c r="S332" s="35" t="n">
        <f>2708.42</f>
        <v>2708.42</v>
      </c>
      <c r="T332" s="32" t="n">
        <f>16495</f>
        <v>16495.0</v>
      </c>
      <c r="U332" s="32" t="n">
        <f>30</f>
        <v>30.0</v>
      </c>
      <c r="V332" s="32" t="n">
        <f>44696462</f>
        <v>4.4696462E7</v>
      </c>
      <c r="W332" s="32" t="n">
        <f>82080</f>
        <v>82080.0</v>
      </c>
      <c r="X332" s="36" t="n">
        <f>19</f>
        <v>19.0</v>
      </c>
    </row>
    <row r="333">
      <c r="A333" s="27" t="s">
        <v>42</v>
      </c>
      <c r="B333" s="27" t="s">
        <v>1043</v>
      </c>
      <c r="C333" s="27" t="s">
        <v>1044</v>
      </c>
      <c r="D333" s="27" t="s">
        <v>1045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2823</f>
        <v>2823.0</v>
      </c>
      <c r="L333" s="34" t="s">
        <v>48</v>
      </c>
      <c r="M333" s="33" t="n">
        <f>3418</f>
        <v>3418.0</v>
      </c>
      <c r="N333" s="34" t="s">
        <v>50</v>
      </c>
      <c r="O333" s="33" t="n">
        <f>2810</f>
        <v>2810.0</v>
      </c>
      <c r="P333" s="34" t="s">
        <v>48</v>
      </c>
      <c r="Q333" s="33" t="n">
        <f>3277</f>
        <v>3277.0</v>
      </c>
      <c r="R333" s="34" t="s">
        <v>50</v>
      </c>
      <c r="S333" s="35" t="n">
        <f>3170.37</f>
        <v>3170.37</v>
      </c>
      <c r="T333" s="32" t="n">
        <f>894039</f>
        <v>894039.0</v>
      </c>
      <c r="U333" s="32" t="n">
        <f>17057</f>
        <v>17057.0</v>
      </c>
      <c r="V333" s="32" t="n">
        <f>2846095354</f>
        <v>2.846095354E9</v>
      </c>
      <c r="W333" s="32" t="n">
        <f>55444305</f>
        <v>5.5444305E7</v>
      </c>
      <c r="X333" s="36" t="n">
        <f>19</f>
        <v>19.0</v>
      </c>
    </row>
    <row r="334">
      <c r="A334" s="27" t="s">
        <v>42</v>
      </c>
      <c r="B334" s="27" t="s">
        <v>1046</v>
      </c>
      <c r="C334" s="27" t="s">
        <v>1047</v>
      </c>
      <c r="D334" s="27" t="s">
        <v>1048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6098</f>
        <v>6098.0</v>
      </c>
      <c r="L334" s="34" t="s">
        <v>48</v>
      </c>
      <c r="M334" s="33" t="n">
        <f>6098</f>
        <v>6098.0</v>
      </c>
      <c r="N334" s="34" t="s">
        <v>48</v>
      </c>
      <c r="O334" s="33" t="n">
        <f>5791</f>
        <v>5791.0</v>
      </c>
      <c r="P334" s="34" t="s">
        <v>61</v>
      </c>
      <c r="Q334" s="33" t="n">
        <f>5830</f>
        <v>5830.0</v>
      </c>
      <c r="R334" s="34" t="s">
        <v>50</v>
      </c>
      <c r="S334" s="35" t="n">
        <f>5961.79</f>
        <v>5961.79</v>
      </c>
      <c r="T334" s="32" t="n">
        <f>211823</f>
        <v>211823.0</v>
      </c>
      <c r="U334" s="32" t="n">
        <f>184521</f>
        <v>184521.0</v>
      </c>
      <c r="V334" s="32" t="n">
        <f>1242065152</f>
        <v>1.242065152E9</v>
      </c>
      <c r="W334" s="32" t="n">
        <f>1080450130</f>
        <v>1.08045013E9</v>
      </c>
      <c r="X334" s="36" t="n">
        <f>19</f>
        <v>19.0</v>
      </c>
    </row>
    <row r="335">
      <c r="A335" s="27" t="s">
        <v>42</v>
      </c>
      <c r="B335" s="27" t="s">
        <v>1049</v>
      </c>
      <c r="C335" s="27" t="s">
        <v>1050</v>
      </c>
      <c r="D335" s="27" t="s">
        <v>1051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3540</f>
        <v>3540.0</v>
      </c>
      <c r="L335" s="34" t="s">
        <v>48</v>
      </c>
      <c r="M335" s="33" t="n">
        <f>3540</f>
        <v>3540.0</v>
      </c>
      <c r="N335" s="34" t="s">
        <v>48</v>
      </c>
      <c r="O335" s="33" t="n">
        <f>3494</f>
        <v>3494.0</v>
      </c>
      <c r="P335" s="34" t="s">
        <v>213</v>
      </c>
      <c r="Q335" s="33" t="n">
        <f>3502</f>
        <v>3502.0</v>
      </c>
      <c r="R335" s="34" t="s">
        <v>50</v>
      </c>
      <c r="S335" s="35" t="n">
        <f>3513.79</f>
        <v>3513.79</v>
      </c>
      <c r="T335" s="32" t="n">
        <f>345319</f>
        <v>345319.0</v>
      </c>
      <c r="U335" s="32" t="n">
        <f>265830</f>
        <v>265830.0</v>
      </c>
      <c r="V335" s="32" t="n">
        <f>1213696174</f>
        <v>1.213696174E9</v>
      </c>
      <c r="W335" s="32" t="n">
        <f>934622568</f>
        <v>9.34622568E8</v>
      </c>
      <c r="X335" s="36" t="n">
        <f>19</f>
        <v>19.0</v>
      </c>
    </row>
    <row r="336">
      <c r="A336" s="27" t="s">
        <v>42</v>
      </c>
      <c r="B336" s="27" t="s">
        <v>1052</v>
      </c>
      <c r="C336" s="27" t="s">
        <v>1053</v>
      </c>
      <c r="D336" s="27" t="s">
        <v>1054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607.9</f>
        <v>607.9</v>
      </c>
      <c r="L336" s="34" t="s">
        <v>48</v>
      </c>
      <c r="M336" s="33" t="n">
        <f>608</f>
        <v>608.0</v>
      </c>
      <c r="N336" s="34" t="s">
        <v>69</v>
      </c>
      <c r="O336" s="33" t="n">
        <f>597.1</f>
        <v>597.1</v>
      </c>
      <c r="P336" s="34" t="s">
        <v>213</v>
      </c>
      <c r="Q336" s="33" t="n">
        <f>602.5</f>
        <v>602.5</v>
      </c>
      <c r="R336" s="34" t="s">
        <v>70</v>
      </c>
      <c r="S336" s="35" t="n">
        <f>601.82</f>
        <v>601.82</v>
      </c>
      <c r="T336" s="32" t="n">
        <f>130860</f>
        <v>130860.0</v>
      </c>
      <c r="U336" s="32" t="n">
        <f>60</f>
        <v>60.0</v>
      </c>
      <c r="V336" s="32" t="n">
        <f>78781504</f>
        <v>7.8781504E7</v>
      </c>
      <c r="W336" s="32" t="n">
        <f>36061</f>
        <v>36061.0</v>
      </c>
      <c r="X336" s="36" t="n">
        <f>18</f>
        <v>18.0</v>
      </c>
    </row>
    <row r="337">
      <c r="A337" s="27" t="s">
        <v>42</v>
      </c>
      <c r="B337" s="27" t="s">
        <v>1055</v>
      </c>
      <c r="C337" s="27" t="s">
        <v>1056</v>
      </c>
      <c r="D337" s="27" t="s">
        <v>1057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9422</f>
        <v>9422.0</v>
      </c>
      <c r="L337" s="34" t="s">
        <v>48</v>
      </c>
      <c r="M337" s="33" t="n">
        <f>10750</f>
        <v>10750.0</v>
      </c>
      <c r="N337" s="34" t="s">
        <v>273</v>
      </c>
      <c r="O337" s="33" t="n">
        <f>9150</f>
        <v>9150.0</v>
      </c>
      <c r="P337" s="34" t="s">
        <v>48</v>
      </c>
      <c r="Q337" s="33" t="n">
        <f>10030</f>
        <v>10030.0</v>
      </c>
      <c r="R337" s="34" t="s">
        <v>50</v>
      </c>
      <c r="S337" s="35" t="n">
        <f>9820.47</f>
        <v>9820.47</v>
      </c>
      <c r="T337" s="32" t="n">
        <f>13128</f>
        <v>13128.0</v>
      </c>
      <c r="U337" s="32" t="str">
        <f>"－"</f>
        <v>－</v>
      </c>
      <c r="V337" s="32" t="n">
        <f>130033898</f>
        <v>1.30033898E8</v>
      </c>
      <c r="W337" s="32" t="str">
        <f>"－"</f>
        <v>－</v>
      </c>
      <c r="X337" s="36" t="n">
        <f>19</f>
        <v>19.0</v>
      </c>
    </row>
    <row r="338">
      <c r="A338" s="27" t="s">
        <v>42</v>
      </c>
      <c r="B338" s="27" t="s">
        <v>1058</v>
      </c>
      <c r="C338" s="27" t="s">
        <v>1059</v>
      </c>
      <c r="D338" s="27" t="s">
        <v>1060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1455</f>
        <v>1455.0</v>
      </c>
      <c r="L338" s="34" t="s">
        <v>48</v>
      </c>
      <c r="M338" s="33" t="n">
        <f>1843</f>
        <v>1843.0</v>
      </c>
      <c r="N338" s="34" t="s">
        <v>70</v>
      </c>
      <c r="O338" s="33" t="n">
        <f>1455</f>
        <v>1455.0</v>
      </c>
      <c r="P338" s="34" t="s">
        <v>48</v>
      </c>
      <c r="Q338" s="33" t="n">
        <f>1758</f>
        <v>1758.0</v>
      </c>
      <c r="R338" s="34" t="s">
        <v>50</v>
      </c>
      <c r="S338" s="35" t="n">
        <f>1651.53</f>
        <v>1651.53</v>
      </c>
      <c r="T338" s="32" t="n">
        <f>2013547</f>
        <v>2013547.0</v>
      </c>
      <c r="U338" s="32" t="n">
        <f>221979</f>
        <v>221979.0</v>
      </c>
      <c r="V338" s="32" t="n">
        <f>3413509411</f>
        <v>3.413509411E9</v>
      </c>
      <c r="W338" s="32" t="n">
        <f>386898664</f>
        <v>3.86898664E8</v>
      </c>
      <c r="X338" s="36" t="n">
        <f>19</f>
        <v>19.0</v>
      </c>
    </row>
    <row r="339">
      <c r="A339" s="27" t="s">
        <v>42</v>
      </c>
      <c r="B339" s="27" t="s">
        <v>1061</v>
      </c>
      <c r="C339" s="27" t="s">
        <v>1062</v>
      </c>
      <c r="D339" s="27" t="s">
        <v>1063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3255</f>
        <v>3255.0</v>
      </c>
      <c r="L339" s="34" t="s">
        <v>48</v>
      </c>
      <c r="M339" s="33" t="n">
        <f>3298</f>
        <v>3298.0</v>
      </c>
      <c r="N339" s="34" t="s">
        <v>49</v>
      </c>
      <c r="O339" s="33" t="n">
        <f>3022</f>
        <v>3022.0</v>
      </c>
      <c r="P339" s="34" t="s">
        <v>50</v>
      </c>
      <c r="Q339" s="33" t="n">
        <f>3032</f>
        <v>3032.0</v>
      </c>
      <c r="R339" s="34" t="s">
        <v>50</v>
      </c>
      <c r="S339" s="35" t="n">
        <f>3178.89</f>
        <v>3178.89</v>
      </c>
      <c r="T339" s="32" t="n">
        <f>17634</f>
        <v>17634.0</v>
      </c>
      <c r="U339" s="32" t="n">
        <f>200</f>
        <v>200.0</v>
      </c>
      <c r="V339" s="32" t="n">
        <f>57088087</f>
        <v>5.7088087E7</v>
      </c>
      <c r="W339" s="32" t="n">
        <f>638995</f>
        <v>638995.0</v>
      </c>
      <c r="X339" s="36" t="n">
        <f>19</f>
        <v>19.0</v>
      </c>
    </row>
    <row r="340">
      <c r="A340" s="27" t="s">
        <v>42</v>
      </c>
      <c r="B340" s="27" t="s">
        <v>1064</v>
      </c>
      <c r="C340" s="27" t="s">
        <v>1065</v>
      </c>
      <c r="D340" s="27" t="s">
        <v>1066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2849</f>
        <v>2849.0</v>
      </c>
      <c r="L340" s="34" t="s">
        <v>48</v>
      </c>
      <c r="M340" s="33" t="n">
        <f>3287</f>
        <v>3287.0</v>
      </c>
      <c r="N340" s="34" t="s">
        <v>50</v>
      </c>
      <c r="O340" s="33" t="n">
        <f>2838</f>
        <v>2838.0</v>
      </c>
      <c r="P340" s="34" t="s">
        <v>48</v>
      </c>
      <c r="Q340" s="33" t="n">
        <f>3273</f>
        <v>3273.0</v>
      </c>
      <c r="R340" s="34" t="s">
        <v>50</v>
      </c>
      <c r="S340" s="35" t="n">
        <f>3107.74</f>
        <v>3107.74</v>
      </c>
      <c r="T340" s="32" t="n">
        <f>377677</f>
        <v>377677.0</v>
      </c>
      <c r="U340" s="32" t="n">
        <f>174008</f>
        <v>174008.0</v>
      </c>
      <c r="V340" s="32" t="n">
        <f>1138852551</f>
        <v>1.138852551E9</v>
      </c>
      <c r="W340" s="32" t="n">
        <f>520789206</f>
        <v>5.20789206E8</v>
      </c>
      <c r="X340" s="36" t="n">
        <f>19</f>
        <v>19.0</v>
      </c>
    </row>
    <row r="341">
      <c r="A341" s="27" t="s">
        <v>42</v>
      </c>
      <c r="B341" s="27" t="s">
        <v>1067</v>
      </c>
      <c r="C341" s="27" t="s">
        <v>1068</v>
      </c>
      <c r="D341" s="27" t="s">
        <v>1069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9203</f>
        <v>9203.0</v>
      </c>
      <c r="L341" s="34" t="s">
        <v>48</v>
      </c>
      <c r="M341" s="33" t="n">
        <f>9203</f>
        <v>9203.0</v>
      </c>
      <c r="N341" s="34" t="s">
        <v>48</v>
      </c>
      <c r="O341" s="33" t="n">
        <f>8639</f>
        <v>8639.0</v>
      </c>
      <c r="P341" s="34" t="s">
        <v>61</v>
      </c>
      <c r="Q341" s="33" t="n">
        <f>8693</f>
        <v>8693.0</v>
      </c>
      <c r="R341" s="34" t="s">
        <v>50</v>
      </c>
      <c r="S341" s="35" t="n">
        <f>8891</f>
        <v>8891.0</v>
      </c>
      <c r="T341" s="32" t="n">
        <f>664113</f>
        <v>664113.0</v>
      </c>
      <c r="U341" s="32" t="n">
        <f>656600</f>
        <v>656600.0</v>
      </c>
      <c r="V341" s="32" t="n">
        <f>5895722745</f>
        <v>5.895722745E9</v>
      </c>
      <c r="W341" s="32" t="n">
        <f>5828258205</f>
        <v>5.828258205E9</v>
      </c>
      <c r="X341" s="36" t="n">
        <f>19</f>
        <v>19.0</v>
      </c>
    </row>
    <row r="342">
      <c r="A342" s="27" t="s">
        <v>42</v>
      </c>
      <c r="B342" s="27" t="s">
        <v>1070</v>
      </c>
      <c r="C342" s="27" t="s">
        <v>1071</v>
      </c>
      <c r="D342" s="27" t="s">
        <v>1072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5330</f>
        <v>5330.0</v>
      </c>
      <c r="L342" s="34" t="s">
        <v>48</v>
      </c>
      <c r="M342" s="33" t="n">
        <f>5330</f>
        <v>5330.0</v>
      </c>
      <c r="N342" s="34" t="s">
        <v>48</v>
      </c>
      <c r="O342" s="33" t="n">
        <f>5220</f>
        <v>5220.0</v>
      </c>
      <c r="P342" s="34" t="s">
        <v>213</v>
      </c>
      <c r="Q342" s="33" t="n">
        <f>5230</f>
        <v>5230.0</v>
      </c>
      <c r="R342" s="34" t="s">
        <v>50</v>
      </c>
      <c r="S342" s="35" t="n">
        <f>5249.17</f>
        <v>5249.17</v>
      </c>
      <c r="T342" s="32" t="n">
        <f>407477</f>
        <v>407477.0</v>
      </c>
      <c r="U342" s="32" t="n">
        <f>400050</f>
        <v>400050.0</v>
      </c>
      <c r="V342" s="32" t="n">
        <f>2147564888</f>
        <v>2.147564888E9</v>
      </c>
      <c r="W342" s="32" t="n">
        <f>2108563600</f>
        <v>2.1085636E9</v>
      </c>
      <c r="X342" s="36" t="n">
        <f>18</f>
        <v>18.0</v>
      </c>
    </row>
    <row r="343">
      <c r="A343" s="27" t="s">
        <v>42</v>
      </c>
      <c r="B343" s="27" t="s">
        <v>1073</v>
      </c>
      <c r="C343" s="27" t="s">
        <v>1074</v>
      </c>
      <c r="D343" s="27" t="s">
        <v>1075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1159</f>
        <v>1159.0</v>
      </c>
      <c r="L343" s="34" t="s">
        <v>48</v>
      </c>
      <c r="M343" s="33" t="n">
        <f>1217</f>
        <v>1217.0</v>
      </c>
      <c r="N343" s="34" t="s">
        <v>65</v>
      </c>
      <c r="O343" s="33" t="n">
        <f>1153</f>
        <v>1153.0</v>
      </c>
      <c r="P343" s="34" t="s">
        <v>273</v>
      </c>
      <c r="Q343" s="33" t="n">
        <f>1168</f>
        <v>1168.0</v>
      </c>
      <c r="R343" s="34" t="s">
        <v>50</v>
      </c>
      <c r="S343" s="35" t="n">
        <f>1183.21</f>
        <v>1183.21</v>
      </c>
      <c r="T343" s="32" t="n">
        <f>198631</f>
        <v>198631.0</v>
      </c>
      <c r="U343" s="32" t="str">
        <f>"－"</f>
        <v>－</v>
      </c>
      <c r="V343" s="32" t="n">
        <f>233197144</f>
        <v>2.33197144E8</v>
      </c>
      <c r="W343" s="32" t="str">
        <f>"－"</f>
        <v>－</v>
      </c>
      <c r="X343" s="36" t="n">
        <f>19</f>
        <v>19.0</v>
      </c>
    </row>
    <row r="344">
      <c r="A344" s="27" t="s">
        <v>42</v>
      </c>
      <c r="B344" s="27" t="s">
        <v>1076</v>
      </c>
      <c r="C344" s="27" t="s">
        <v>1077</v>
      </c>
      <c r="D344" s="27" t="s">
        <v>1078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2290</f>
        <v>2290.0</v>
      </c>
      <c r="L344" s="34" t="s">
        <v>48</v>
      </c>
      <c r="M344" s="33" t="n">
        <f>2369</f>
        <v>2369.0</v>
      </c>
      <c r="N344" s="34" t="s">
        <v>74</v>
      </c>
      <c r="O344" s="33" t="n">
        <f>2263</f>
        <v>2263.0</v>
      </c>
      <c r="P344" s="34" t="s">
        <v>273</v>
      </c>
      <c r="Q344" s="33" t="n">
        <f>2282</f>
        <v>2282.0</v>
      </c>
      <c r="R344" s="34" t="s">
        <v>50</v>
      </c>
      <c r="S344" s="35" t="n">
        <f>2313.63</f>
        <v>2313.63</v>
      </c>
      <c r="T344" s="32" t="n">
        <f>2257787</f>
        <v>2257787.0</v>
      </c>
      <c r="U344" s="32" t="n">
        <f>589333</f>
        <v>589333.0</v>
      </c>
      <c r="V344" s="32" t="n">
        <f>5211871652</f>
        <v>5.211871652E9</v>
      </c>
      <c r="W344" s="32" t="n">
        <f>1365354752</f>
        <v>1.365354752E9</v>
      </c>
      <c r="X344" s="36" t="n">
        <f>19</f>
        <v>19.0</v>
      </c>
    </row>
    <row r="345">
      <c r="A345" s="27" t="s">
        <v>42</v>
      </c>
      <c r="B345" s="27" t="s">
        <v>1079</v>
      </c>
      <c r="C345" s="27" t="s">
        <v>1080</v>
      </c>
      <c r="D345" s="27" t="s">
        <v>1081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1482</f>
        <v>1482.0</v>
      </c>
      <c r="L345" s="34" t="s">
        <v>48</v>
      </c>
      <c r="M345" s="33" t="n">
        <f>1530</f>
        <v>1530.0</v>
      </c>
      <c r="N345" s="34" t="s">
        <v>61</v>
      </c>
      <c r="O345" s="33" t="n">
        <f>1462</f>
        <v>1462.0</v>
      </c>
      <c r="P345" s="34" t="s">
        <v>213</v>
      </c>
      <c r="Q345" s="33" t="n">
        <f>1500</f>
        <v>1500.0</v>
      </c>
      <c r="R345" s="34" t="s">
        <v>50</v>
      </c>
      <c r="S345" s="35" t="n">
        <f>1497</f>
        <v>1497.0</v>
      </c>
      <c r="T345" s="32" t="n">
        <f>2647489</f>
        <v>2647489.0</v>
      </c>
      <c r="U345" s="32" t="n">
        <f>733348</f>
        <v>733348.0</v>
      </c>
      <c r="V345" s="32" t="n">
        <f>3982698734</f>
        <v>3.982698734E9</v>
      </c>
      <c r="W345" s="32" t="n">
        <f>1113292632</f>
        <v>1.113292632E9</v>
      </c>
      <c r="X345" s="36" t="n">
        <f>19</f>
        <v>19.0</v>
      </c>
    </row>
    <row r="346">
      <c r="A346" s="27" t="s">
        <v>42</v>
      </c>
      <c r="B346" s="27" t="s">
        <v>1082</v>
      </c>
      <c r="C346" s="27" t="s">
        <v>1083</v>
      </c>
      <c r="D346" s="27" t="s">
        <v>1084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14250</f>
        <v>14250.0</v>
      </c>
      <c r="L346" s="34" t="s">
        <v>48</v>
      </c>
      <c r="M346" s="33" t="n">
        <f>14430</f>
        <v>14430.0</v>
      </c>
      <c r="N346" s="34" t="s">
        <v>213</v>
      </c>
      <c r="O346" s="33" t="n">
        <f>13765</f>
        <v>13765.0</v>
      </c>
      <c r="P346" s="34" t="s">
        <v>61</v>
      </c>
      <c r="Q346" s="33" t="n">
        <f>14155</f>
        <v>14155.0</v>
      </c>
      <c r="R346" s="34" t="s">
        <v>50</v>
      </c>
      <c r="S346" s="35" t="n">
        <f>14122.37</f>
        <v>14122.37</v>
      </c>
      <c r="T346" s="32" t="n">
        <f>67297</f>
        <v>67297.0</v>
      </c>
      <c r="U346" s="32" t="n">
        <f>402</f>
        <v>402.0</v>
      </c>
      <c r="V346" s="32" t="n">
        <f>947377265</f>
        <v>9.47377265E8</v>
      </c>
      <c r="W346" s="32" t="n">
        <f>5650700</f>
        <v>5650700.0</v>
      </c>
      <c r="X346" s="36" t="n">
        <f>19</f>
        <v>19.0</v>
      </c>
    </row>
    <row r="347">
      <c r="A347" s="27" t="s">
        <v>42</v>
      </c>
      <c r="B347" s="27" t="s">
        <v>1085</v>
      </c>
      <c r="C347" s="27" t="s">
        <v>1086</v>
      </c>
      <c r="D347" s="27" t="s">
        <v>1087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3912</f>
        <v>3912.0</v>
      </c>
      <c r="L347" s="34" t="s">
        <v>48</v>
      </c>
      <c r="M347" s="33" t="n">
        <f>3912</f>
        <v>3912.0</v>
      </c>
      <c r="N347" s="34" t="s">
        <v>48</v>
      </c>
      <c r="O347" s="33" t="n">
        <f>3783</f>
        <v>3783.0</v>
      </c>
      <c r="P347" s="34" t="s">
        <v>61</v>
      </c>
      <c r="Q347" s="33" t="n">
        <f>3817</f>
        <v>3817.0</v>
      </c>
      <c r="R347" s="34" t="s">
        <v>50</v>
      </c>
      <c r="S347" s="35" t="n">
        <f>3827.47</f>
        <v>3827.47</v>
      </c>
      <c r="T347" s="32" t="n">
        <f>229150</f>
        <v>229150.0</v>
      </c>
      <c r="U347" s="32" t="n">
        <f>104004</f>
        <v>104004.0</v>
      </c>
      <c r="V347" s="32" t="n">
        <f>874965606</f>
        <v>8.74965606E8</v>
      </c>
      <c r="W347" s="32" t="n">
        <f>396858464</f>
        <v>3.96858464E8</v>
      </c>
      <c r="X347" s="36" t="n">
        <f>19</f>
        <v>19.0</v>
      </c>
    </row>
    <row r="348">
      <c r="A348" s="27" t="s">
        <v>42</v>
      </c>
      <c r="B348" s="27" t="s">
        <v>1088</v>
      </c>
      <c r="C348" s="27" t="s">
        <v>1089</v>
      </c>
      <c r="D348" s="27" t="s">
        <v>1090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5400</f>
        <v>5400.0</v>
      </c>
      <c r="L348" s="34" t="s">
        <v>48</v>
      </c>
      <c r="M348" s="33" t="n">
        <f>5501</f>
        <v>5501.0</v>
      </c>
      <c r="N348" s="34" t="s">
        <v>155</v>
      </c>
      <c r="O348" s="33" t="n">
        <f>5288</f>
        <v>5288.0</v>
      </c>
      <c r="P348" s="34" t="s">
        <v>48</v>
      </c>
      <c r="Q348" s="33" t="n">
        <f>5447</f>
        <v>5447.0</v>
      </c>
      <c r="R348" s="34" t="s">
        <v>50</v>
      </c>
      <c r="S348" s="35" t="n">
        <f>5415.11</f>
        <v>5415.11</v>
      </c>
      <c r="T348" s="32" t="n">
        <f>324788</f>
        <v>324788.0</v>
      </c>
      <c r="U348" s="32" t="n">
        <f>242400</f>
        <v>242400.0</v>
      </c>
      <c r="V348" s="32" t="n">
        <f>1754435149</f>
        <v>1.754435149E9</v>
      </c>
      <c r="W348" s="32" t="n">
        <f>1308776169</f>
        <v>1.308776169E9</v>
      </c>
      <c r="X348" s="36" t="n">
        <f>19</f>
        <v>19.0</v>
      </c>
    </row>
    <row r="349">
      <c r="A349" s="27" t="s">
        <v>42</v>
      </c>
      <c r="B349" s="27" t="s">
        <v>1091</v>
      </c>
      <c r="C349" s="27" t="s">
        <v>1092</v>
      </c>
      <c r="D349" s="27" t="s">
        <v>1093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3110</f>
        <v>3110.0</v>
      </c>
      <c r="L349" s="34" t="s">
        <v>48</v>
      </c>
      <c r="M349" s="33" t="n">
        <f>3210</f>
        <v>3210.0</v>
      </c>
      <c r="N349" s="34" t="s">
        <v>61</v>
      </c>
      <c r="O349" s="33" t="n">
        <f>3065</f>
        <v>3065.0</v>
      </c>
      <c r="P349" s="34" t="s">
        <v>213</v>
      </c>
      <c r="Q349" s="33" t="n">
        <f>3150</f>
        <v>3150.0</v>
      </c>
      <c r="R349" s="34" t="s">
        <v>50</v>
      </c>
      <c r="S349" s="35" t="n">
        <f>3140.89</f>
        <v>3140.89</v>
      </c>
      <c r="T349" s="32" t="n">
        <f>656679</f>
        <v>656679.0</v>
      </c>
      <c r="U349" s="32" t="n">
        <f>320890</f>
        <v>320890.0</v>
      </c>
      <c r="V349" s="32" t="n">
        <f>2070013918</f>
        <v>2.070013918E9</v>
      </c>
      <c r="W349" s="32" t="n">
        <f>1013777345</f>
        <v>1.013777345E9</v>
      </c>
      <c r="X349" s="36" t="n">
        <f>19</f>
        <v>19.0</v>
      </c>
    </row>
    <row r="350">
      <c r="A350" s="27" t="s">
        <v>42</v>
      </c>
      <c r="B350" s="27" t="s">
        <v>1094</v>
      </c>
      <c r="C350" s="27" t="s">
        <v>1095</v>
      </c>
      <c r="D350" s="27" t="s">
        <v>1096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2388</f>
        <v>2388.0</v>
      </c>
      <c r="L350" s="34" t="s">
        <v>48</v>
      </c>
      <c r="M350" s="33" t="n">
        <f>2452</f>
        <v>2452.0</v>
      </c>
      <c r="N350" s="34" t="s">
        <v>60</v>
      </c>
      <c r="O350" s="33" t="n">
        <f>2379</f>
        <v>2379.0</v>
      </c>
      <c r="P350" s="34" t="s">
        <v>213</v>
      </c>
      <c r="Q350" s="33" t="n">
        <f>2398</f>
        <v>2398.0</v>
      </c>
      <c r="R350" s="34" t="s">
        <v>50</v>
      </c>
      <c r="S350" s="35" t="n">
        <f>2416.63</f>
        <v>2416.63</v>
      </c>
      <c r="T350" s="32" t="n">
        <f>1583061</f>
        <v>1583061.0</v>
      </c>
      <c r="U350" s="32" t="n">
        <f>1122110</f>
        <v>1122110.0</v>
      </c>
      <c r="V350" s="32" t="n">
        <f>3838589347</f>
        <v>3.838589347E9</v>
      </c>
      <c r="W350" s="32" t="n">
        <f>2719302224</f>
        <v>2.719302224E9</v>
      </c>
      <c r="X350" s="36" t="n">
        <f>19</f>
        <v>19.0</v>
      </c>
    </row>
    <row r="351">
      <c r="A351" s="27" t="s">
        <v>42</v>
      </c>
      <c r="B351" s="27" t="s">
        <v>1097</v>
      </c>
      <c r="C351" s="27" t="s">
        <v>1098</v>
      </c>
      <c r="D351" s="27" t="s">
        <v>1099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2558</f>
        <v>2558.0</v>
      </c>
      <c r="L351" s="34" t="s">
        <v>48</v>
      </c>
      <c r="M351" s="33" t="n">
        <f>2815</f>
        <v>2815.0</v>
      </c>
      <c r="N351" s="34" t="s">
        <v>202</v>
      </c>
      <c r="O351" s="33" t="n">
        <f>2558</f>
        <v>2558.0</v>
      </c>
      <c r="P351" s="34" t="s">
        <v>48</v>
      </c>
      <c r="Q351" s="33" t="n">
        <f>2585</f>
        <v>2585.0</v>
      </c>
      <c r="R351" s="34" t="s">
        <v>50</v>
      </c>
      <c r="S351" s="35" t="n">
        <f>2636.68</f>
        <v>2636.68</v>
      </c>
      <c r="T351" s="32" t="n">
        <f>13637</f>
        <v>13637.0</v>
      </c>
      <c r="U351" s="32" t="n">
        <f>80</f>
        <v>80.0</v>
      </c>
      <c r="V351" s="32" t="n">
        <f>36064536</f>
        <v>3.6064536E7</v>
      </c>
      <c r="W351" s="32" t="n">
        <f>210683</f>
        <v>210683.0</v>
      </c>
      <c r="X351" s="36" t="n">
        <f>19</f>
        <v>19.0</v>
      </c>
    </row>
    <row r="352">
      <c r="A352" s="27" t="s">
        <v>42</v>
      </c>
      <c r="B352" s="27" t="s">
        <v>1100</v>
      </c>
      <c r="C352" s="27" t="s">
        <v>1101</v>
      </c>
      <c r="D352" s="27" t="s">
        <v>1102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2610</f>
        <v>2610.0</v>
      </c>
      <c r="L352" s="34" t="s">
        <v>48</v>
      </c>
      <c r="M352" s="33" t="n">
        <f>2810</f>
        <v>2810.0</v>
      </c>
      <c r="N352" s="34" t="s">
        <v>49</v>
      </c>
      <c r="O352" s="33" t="n">
        <f>2610</f>
        <v>2610.0</v>
      </c>
      <c r="P352" s="34" t="s">
        <v>48</v>
      </c>
      <c r="Q352" s="33" t="n">
        <f>2682</f>
        <v>2682.0</v>
      </c>
      <c r="R352" s="34" t="s">
        <v>50</v>
      </c>
      <c r="S352" s="35" t="n">
        <f>2701.95</f>
        <v>2701.95</v>
      </c>
      <c r="T352" s="32" t="n">
        <f>8183</f>
        <v>8183.0</v>
      </c>
      <c r="U352" s="32" t="str">
        <f>"－"</f>
        <v>－</v>
      </c>
      <c r="V352" s="32" t="n">
        <f>21873737</f>
        <v>2.1873737E7</v>
      </c>
      <c r="W352" s="32" t="str">
        <f>"－"</f>
        <v>－</v>
      </c>
      <c r="X352" s="36" t="n">
        <f>19</f>
        <v>19.0</v>
      </c>
    </row>
    <row r="353">
      <c r="A353" s="27" t="s">
        <v>42</v>
      </c>
      <c r="B353" s="27" t="s">
        <v>1103</v>
      </c>
      <c r="C353" s="27" t="s">
        <v>1104</v>
      </c>
      <c r="D353" s="27" t="s">
        <v>1105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5200</f>
        <v>5200.0</v>
      </c>
      <c r="L353" s="34" t="s">
        <v>48</v>
      </c>
      <c r="M353" s="33" t="n">
        <f>5295</f>
        <v>5295.0</v>
      </c>
      <c r="N353" s="34" t="s">
        <v>202</v>
      </c>
      <c r="O353" s="33" t="n">
        <f>5004</f>
        <v>5004.0</v>
      </c>
      <c r="P353" s="34" t="s">
        <v>70</v>
      </c>
      <c r="Q353" s="33" t="n">
        <f>5093</f>
        <v>5093.0</v>
      </c>
      <c r="R353" s="34" t="s">
        <v>50</v>
      </c>
      <c r="S353" s="35" t="n">
        <f>5173.21</f>
        <v>5173.21</v>
      </c>
      <c r="T353" s="32" t="n">
        <f>793178</f>
        <v>793178.0</v>
      </c>
      <c r="U353" s="32" t="n">
        <f>750727</f>
        <v>750727.0</v>
      </c>
      <c r="V353" s="32" t="n">
        <f>4088467606</f>
        <v>4.088467606E9</v>
      </c>
      <c r="W353" s="32" t="n">
        <f>3869823713</f>
        <v>3.869823713E9</v>
      </c>
      <c r="X353" s="36" t="n">
        <f>19</f>
        <v>19.0</v>
      </c>
    </row>
    <row r="354">
      <c r="A354" s="27" t="s">
        <v>42</v>
      </c>
      <c r="B354" s="27" t="s">
        <v>1106</v>
      </c>
      <c r="C354" s="27" t="s">
        <v>1107</v>
      </c>
      <c r="D354" s="27" t="s">
        <v>1108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10.0</v>
      </c>
      <c r="K354" s="33" t="n">
        <f>341</f>
        <v>341.0</v>
      </c>
      <c r="L354" s="34" t="s">
        <v>48</v>
      </c>
      <c r="M354" s="33" t="n">
        <f>365.4</f>
        <v>365.4</v>
      </c>
      <c r="N354" s="34" t="s">
        <v>49</v>
      </c>
      <c r="O354" s="33" t="n">
        <f>337.9</f>
        <v>337.9</v>
      </c>
      <c r="P354" s="34" t="s">
        <v>70</v>
      </c>
      <c r="Q354" s="33" t="n">
        <f>341.8</f>
        <v>341.8</v>
      </c>
      <c r="R354" s="34" t="s">
        <v>50</v>
      </c>
      <c r="S354" s="35" t="n">
        <f>348.93</f>
        <v>348.93</v>
      </c>
      <c r="T354" s="32" t="n">
        <f>74290</f>
        <v>74290.0</v>
      </c>
      <c r="U354" s="32" t="n">
        <f>110</f>
        <v>110.0</v>
      </c>
      <c r="V354" s="32" t="n">
        <f>25817098</f>
        <v>2.5817098E7</v>
      </c>
      <c r="W354" s="32" t="n">
        <f>37745</f>
        <v>37745.0</v>
      </c>
      <c r="X354" s="36" t="n">
        <f>19</f>
        <v>19.0</v>
      </c>
    </row>
    <row r="355">
      <c r="A355" s="27" t="s">
        <v>42</v>
      </c>
      <c r="B355" s="27" t="s">
        <v>1109</v>
      </c>
      <c r="C355" s="27" t="s">
        <v>1110</v>
      </c>
      <c r="D355" s="27" t="s">
        <v>1111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198.5</f>
        <v>198.5</v>
      </c>
      <c r="L355" s="34" t="s">
        <v>48</v>
      </c>
      <c r="M355" s="33" t="n">
        <f>203.4</f>
        <v>203.4</v>
      </c>
      <c r="N355" s="34" t="s">
        <v>65</v>
      </c>
      <c r="O355" s="33" t="n">
        <f>192.7</f>
        <v>192.7</v>
      </c>
      <c r="P355" s="34" t="s">
        <v>70</v>
      </c>
      <c r="Q355" s="33" t="n">
        <f>194.4</f>
        <v>194.4</v>
      </c>
      <c r="R355" s="34" t="s">
        <v>50</v>
      </c>
      <c r="S355" s="35" t="n">
        <f>198.24</f>
        <v>198.24</v>
      </c>
      <c r="T355" s="32" t="n">
        <f>141850</f>
        <v>141850.0</v>
      </c>
      <c r="U355" s="32" t="n">
        <f>700</f>
        <v>700.0</v>
      </c>
      <c r="V355" s="32" t="n">
        <f>27932970</f>
        <v>2.793297E7</v>
      </c>
      <c r="W355" s="32" t="n">
        <f>136077</f>
        <v>136077.0</v>
      </c>
      <c r="X355" s="36" t="n">
        <f>19</f>
        <v>19.0</v>
      </c>
    </row>
    <row r="356">
      <c r="A356" s="27" t="s">
        <v>42</v>
      </c>
      <c r="B356" s="27" t="s">
        <v>1112</v>
      </c>
      <c r="C356" s="27" t="s">
        <v>1113</v>
      </c>
      <c r="D356" s="27" t="s">
        <v>1114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643.8</f>
        <v>643.8</v>
      </c>
      <c r="L356" s="34" t="s">
        <v>48</v>
      </c>
      <c r="M356" s="33" t="n">
        <f>643.8</f>
        <v>643.8</v>
      </c>
      <c r="N356" s="34" t="s">
        <v>48</v>
      </c>
      <c r="O356" s="33" t="n">
        <f>633</f>
        <v>633.0</v>
      </c>
      <c r="P356" s="34" t="s">
        <v>70</v>
      </c>
      <c r="Q356" s="33" t="n">
        <f>637.9</f>
        <v>637.9</v>
      </c>
      <c r="R356" s="34" t="s">
        <v>50</v>
      </c>
      <c r="S356" s="35" t="n">
        <f>635.58</f>
        <v>635.58</v>
      </c>
      <c r="T356" s="32" t="n">
        <f>2800</f>
        <v>2800.0</v>
      </c>
      <c r="U356" s="32" t="str">
        <f>"－"</f>
        <v>－</v>
      </c>
      <c r="V356" s="32" t="n">
        <f>1783455</f>
        <v>1783455.0</v>
      </c>
      <c r="W356" s="32" t="str">
        <f>"－"</f>
        <v>－</v>
      </c>
      <c r="X356" s="36" t="n">
        <f>16</f>
        <v>16.0</v>
      </c>
    </row>
    <row r="357">
      <c r="A357" s="27" t="s">
        <v>42</v>
      </c>
      <c r="B357" s="27" t="s">
        <v>1115</v>
      </c>
      <c r="C357" s="27" t="s">
        <v>1116</v>
      </c>
      <c r="D357" s="27" t="s">
        <v>1117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2020</f>
        <v>2020.0</v>
      </c>
      <c r="L357" s="34" t="s">
        <v>48</v>
      </c>
      <c r="M357" s="33" t="n">
        <f>2197</f>
        <v>2197.0</v>
      </c>
      <c r="N357" s="34" t="s">
        <v>49</v>
      </c>
      <c r="O357" s="33" t="n">
        <f>2012</f>
        <v>2012.0</v>
      </c>
      <c r="P357" s="34" t="s">
        <v>257</v>
      </c>
      <c r="Q357" s="33" t="n">
        <f>2072</f>
        <v>2072.0</v>
      </c>
      <c r="R357" s="34" t="s">
        <v>50</v>
      </c>
      <c r="S357" s="35" t="n">
        <f>2099.26</f>
        <v>2099.26</v>
      </c>
      <c r="T357" s="32" t="n">
        <f>347898</f>
        <v>347898.0</v>
      </c>
      <c r="U357" s="32" t="n">
        <f>72381</f>
        <v>72381.0</v>
      </c>
      <c r="V357" s="32" t="n">
        <f>735279036</f>
        <v>7.35279036E8</v>
      </c>
      <c r="W357" s="32" t="n">
        <f>155484477</f>
        <v>1.55484477E8</v>
      </c>
      <c r="X357" s="36" t="n">
        <f>19</f>
        <v>19.0</v>
      </c>
    </row>
    <row r="358">
      <c r="A358" s="27" t="s">
        <v>42</v>
      </c>
      <c r="B358" s="27" t="s">
        <v>1118</v>
      </c>
      <c r="C358" s="27" t="s">
        <v>1119</v>
      </c>
      <c r="D358" s="27" t="s">
        <v>1120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1070</f>
        <v>1070.0</v>
      </c>
      <c r="L358" s="34" t="s">
        <v>48</v>
      </c>
      <c r="M358" s="33" t="n">
        <f>1093</f>
        <v>1093.0</v>
      </c>
      <c r="N358" s="34" t="s">
        <v>213</v>
      </c>
      <c r="O358" s="33" t="n">
        <f>1029</f>
        <v>1029.0</v>
      </c>
      <c r="P358" s="34" t="s">
        <v>70</v>
      </c>
      <c r="Q358" s="33" t="n">
        <f>1042</f>
        <v>1042.0</v>
      </c>
      <c r="R358" s="34" t="s">
        <v>50</v>
      </c>
      <c r="S358" s="35" t="n">
        <f>1062.47</f>
        <v>1062.47</v>
      </c>
      <c r="T358" s="32" t="n">
        <f>1314150</f>
        <v>1314150.0</v>
      </c>
      <c r="U358" s="32" t="n">
        <f>1044862</f>
        <v>1044862.0</v>
      </c>
      <c r="V358" s="32" t="n">
        <f>1408966321</f>
        <v>1.408966321E9</v>
      </c>
      <c r="W358" s="32" t="n">
        <f>1127100397</f>
        <v>1.127100397E9</v>
      </c>
      <c r="X358" s="36" t="n">
        <f>19</f>
        <v>19.0</v>
      </c>
    </row>
    <row r="359">
      <c r="A359" s="27" t="s">
        <v>42</v>
      </c>
      <c r="B359" s="27" t="s">
        <v>1121</v>
      </c>
      <c r="C359" s="27" t="s">
        <v>1122</v>
      </c>
      <c r="D359" s="27" t="s">
        <v>1123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10.0</v>
      </c>
      <c r="K359" s="33" t="n">
        <f>680.3</f>
        <v>680.3</v>
      </c>
      <c r="L359" s="34" t="s">
        <v>48</v>
      </c>
      <c r="M359" s="33" t="n">
        <f>681.6</f>
        <v>681.6</v>
      </c>
      <c r="N359" s="34" t="s">
        <v>48</v>
      </c>
      <c r="O359" s="33" t="n">
        <f>670.6</f>
        <v>670.6</v>
      </c>
      <c r="P359" s="34" t="s">
        <v>206</v>
      </c>
      <c r="Q359" s="33" t="n">
        <f>671.9</f>
        <v>671.9</v>
      </c>
      <c r="R359" s="34" t="s">
        <v>50</v>
      </c>
      <c r="S359" s="35" t="n">
        <f>673.53</f>
        <v>673.53</v>
      </c>
      <c r="T359" s="32" t="n">
        <f>971790</f>
        <v>971790.0</v>
      </c>
      <c r="U359" s="32" t="n">
        <f>18100</f>
        <v>18100.0</v>
      </c>
      <c r="V359" s="32" t="n">
        <f>655249422</f>
        <v>6.55249422E8</v>
      </c>
      <c r="W359" s="32" t="n">
        <f>12158051</f>
        <v>1.2158051E7</v>
      </c>
      <c r="X359" s="36" t="n">
        <f>19</f>
        <v>19.0</v>
      </c>
    </row>
    <row r="360">
      <c r="A360" s="27" t="s">
        <v>42</v>
      </c>
      <c r="B360" s="27" t="s">
        <v>1124</v>
      </c>
      <c r="C360" s="27" t="s">
        <v>1125</v>
      </c>
      <c r="D360" s="27" t="s">
        <v>1126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648.4</f>
        <v>648.4</v>
      </c>
      <c r="L360" s="34" t="s">
        <v>48</v>
      </c>
      <c r="M360" s="33" t="n">
        <f>648.4</f>
        <v>648.4</v>
      </c>
      <c r="N360" s="34" t="s">
        <v>48</v>
      </c>
      <c r="O360" s="33" t="n">
        <f>639.4</f>
        <v>639.4</v>
      </c>
      <c r="P360" s="34" t="s">
        <v>206</v>
      </c>
      <c r="Q360" s="33" t="n">
        <f>641.7</f>
        <v>641.7</v>
      </c>
      <c r="R360" s="34" t="s">
        <v>50</v>
      </c>
      <c r="S360" s="35" t="n">
        <f>641.13</f>
        <v>641.13</v>
      </c>
      <c r="T360" s="32" t="n">
        <f>1396980</f>
        <v>1396980.0</v>
      </c>
      <c r="U360" s="32" t="n">
        <f>1284080</f>
        <v>1284080.0</v>
      </c>
      <c r="V360" s="32" t="n">
        <f>894284086</f>
        <v>8.94284086E8</v>
      </c>
      <c r="W360" s="32" t="n">
        <f>821972089</f>
        <v>8.21972089E8</v>
      </c>
      <c r="X360" s="36" t="n">
        <f>19</f>
        <v>19.0</v>
      </c>
    </row>
    <row r="361">
      <c r="A361" s="27" t="s">
        <v>42</v>
      </c>
      <c r="B361" s="27" t="s">
        <v>1127</v>
      </c>
      <c r="C361" s="27" t="s">
        <v>1128</v>
      </c>
      <c r="D361" s="27" t="s">
        <v>1129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1340</f>
        <v>1340.0</v>
      </c>
      <c r="L361" s="34" t="s">
        <v>48</v>
      </c>
      <c r="M361" s="33" t="n">
        <f>1390</f>
        <v>1390.0</v>
      </c>
      <c r="N361" s="34" t="s">
        <v>61</v>
      </c>
      <c r="O361" s="33" t="n">
        <f>1332</f>
        <v>1332.0</v>
      </c>
      <c r="P361" s="34" t="s">
        <v>206</v>
      </c>
      <c r="Q361" s="33" t="n">
        <f>1361</f>
        <v>1361.0</v>
      </c>
      <c r="R361" s="34" t="s">
        <v>50</v>
      </c>
      <c r="S361" s="35" t="n">
        <f>1360.11</f>
        <v>1360.11</v>
      </c>
      <c r="T361" s="32" t="n">
        <f>41593</f>
        <v>41593.0</v>
      </c>
      <c r="U361" s="32" t="str">
        <f>"－"</f>
        <v>－</v>
      </c>
      <c r="V361" s="32" t="n">
        <f>56527731</f>
        <v>5.6527731E7</v>
      </c>
      <c r="W361" s="32" t="str">
        <f>"－"</f>
        <v>－</v>
      </c>
      <c r="X361" s="36" t="n">
        <f>19</f>
        <v>19.0</v>
      </c>
    </row>
    <row r="362">
      <c r="A362" s="27" t="s">
        <v>42</v>
      </c>
      <c r="B362" s="27" t="s">
        <v>1130</v>
      </c>
      <c r="C362" s="27" t="s">
        <v>1131</v>
      </c>
      <c r="D362" s="27" t="s">
        <v>1132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2960</f>
        <v>2960.0</v>
      </c>
      <c r="L362" s="34" t="s">
        <v>48</v>
      </c>
      <c r="M362" s="33" t="n">
        <f>3067</f>
        <v>3067.0</v>
      </c>
      <c r="N362" s="34" t="s">
        <v>74</v>
      </c>
      <c r="O362" s="33" t="n">
        <f>2955</f>
        <v>2955.0</v>
      </c>
      <c r="P362" s="34" t="s">
        <v>48</v>
      </c>
      <c r="Q362" s="33" t="n">
        <f>2986</f>
        <v>2986.0</v>
      </c>
      <c r="R362" s="34" t="s">
        <v>50</v>
      </c>
      <c r="S362" s="35" t="n">
        <f>3005.95</f>
        <v>3005.95</v>
      </c>
      <c r="T362" s="32" t="n">
        <f>129338</f>
        <v>129338.0</v>
      </c>
      <c r="U362" s="32" t="n">
        <f>7121</f>
        <v>7121.0</v>
      </c>
      <c r="V362" s="32" t="n">
        <f>388040977</f>
        <v>3.88040977E8</v>
      </c>
      <c r="W362" s="32" t="n">
        <f>21290308</f>
        <v>2.1290308E7</v>
      </c>
      <c r="X362" s="36" t="n">
        <f>19</f>
        <v>19.0</v>
      </c>
    </row>
    <row r="363">
      <c r="A363" s="27" t="s">
        <v>42</v>
      </c>
      <c r="B363" s="27" t="s">
        <v>1133</v>
      </c>
      <c r="C363" s="27" t="s">
        <v>1134</v>
      </c>
      <c r="D363" s="27" t="s">
        <v>1135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3169</f>
        <v>3169.0</v>
      </c>
      <c r="L363" s="34" t="s">
        <v>48</v>
      </c>
      <c r="M363" s="33" t="n">
        <f>3300</f>
        <v>3300.0</v>
      </c>
      <c r="N363" s="34" t="s">
        <v>60</v>
      </c>
      <c r="O363" s="33" t="n">
        <f>3154</f>
        <v>3154.0</v>
      </c>
      <c r="P363" s="34" t="s">
        <v>50</v>
      </c>
      <c r="Q363" s="33" t="n">
        <f>3158</f>
        <v>3158.0</v>
      </c>
      <c r="R363" s="34" t="s">
        <v>50</v>
      </c>
      <c r="S363" s="35" t="n">
        <f>3232.37</f>
        <v>3232.37</v>
      </c>
      <c r="T363" s="32" t="n">
        <f>731207</f>
        <v>731207.0</v>
      </c>
      <c r="U363" s="32" t="n">
        <f>336382</f>
        <v>336382.0</v>
      </c>
      <c r="V363" s="32" t="n">
        <f>2359074920</f>
        <v>2.35907492E9</v>
      </c>
      <c r="W363" s="32" t="n">
        <f>1077999760</f>
        <v>1.07799976E9</v>
      </c>
      <c r="X363" s="36" t="n">
        <f>19</f>
        <v>19.0</v>
      </c>
    </row>
    <row r="364">
      <c r="A364" s="27" t="s">
        <v>42</v>
      </c>
      <c r="B364" s="27" t="s">
        <v>1136</v>
      </c>
      <c r="C364" s="27" t="s">
        <v>1137</v>
      </c>
      <c r="D364" s="27" t="s">
        <v>1138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6070</f>
        <v>6070.0</v>
      </c>
      <c r="L364" s="34" t="s">
        <v>48</v>
      </c>
      <c r="M364" s="33" t="n">
        <f>6356</f>
        <v>6356.0</v>
      </c>
      <c r="N364" s="34" t="s">
        <v>206</v>
      </c>
      <c r="O364" s="33" t="n">
        <f>5833</f>
        <v>5833.0</v>
      </c>
      <c r="P364" s="34" t="s">
        <v>61</v>
      </c>
      <c r="Q364" s="33" t="n">
        <f>5942</f>
        <v>5942.0</v>
      </c>
      <c r="R364" s="34" t="s">
        <v>50</v>
      </c>
      <c r="S364" s="35" t="n">
        <f>5914.74</f>
        <v>5914.74</v>
      </c>
      <c r="T364" s="32" t="n">
        <f>467525</f>
        <v>467525.0</v>
      </c>
      <c r="U364" s="32" t="n">
        <f>464160</f>
        <v>464160.0</v>
      </c>
      <c r="V364" s="32" t="n">
        <f>2769338637</f>
        <v>2.769338637E9</v>
      </c>
      <c r="W364" s="32" t="n">
        <f>2749262672</f>
        <v>2.749262672E9</v>
      </c>
      <c r="X364" s="36" t="n">
        <f>19</f>
        <v>19.0</v>
      </c>
    </row>
    <row r="365">
      <c r="A365" s="27" t="s">
        <v>42</v>
      </c>
      <c r="B365" s="27" t="s">
        <v>1139</v>
      </c>
      <c r="C365" s="27" t="s">
        <v>1140</v>
      </c>
      <c r="D365" s="27" t="s">
        <v>1141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4014</f>
        <v>4014.0</v>
      </c>
      <c r="L365" s="34" t="s">
        <v>48</v>
      </c>
      <c r="M365" s="33" t="n">
        <f>4061</f>
        <v>4061.0</v>
      </c>
      <c r="N365" s="34" t="s">
        <v>223</v>
      </c>
      <c r="O365" s="33" t="n">
        <f>4010</f>
        <v>4010.0</v>
      </c>
      <c r="P365" s="34" t="s">
        <v>48</v>
      </c>
      <c r="Q365" s="33" t="n">
        <f>4061</f>
        <v>4061.0</v>
      </c>
      <c r="R365" s="34" t="s">
        <v>223</v>
      </c>
      <c r="S365" s="35" t="n">
        <f>4030.13</f>
        <v>4030.13</v>
      </c>
      <c r="T365" s="32" t="n">
        <f>285</f>
        <v>285.0</v>
      </c>
      <c r="U365" s="32" t="str">
        <f>"－"</f>
        <v>－</v>
      </c>
      <c r="V365" s="32" t="n">
        <f>1148002</f>
        <v>1148002.0</v>
      </c>
      <c r="W365" s="32" t="str">
        <f>"－"</f>
        <v>－</v>
      </c>
      <c r="X365" s="36" t="n">
        <f>8</f>
        <v>8.0</v>
      </c>
    </row>
    <row r="366">
      <c r="A366" s="27" t="s">
        <v>42</v>
      </c>
      <c r="B366" s="27" t="s">
        <v>1142</v>
      </c>
      <c r="C366" s="27" t="s">
        <v>1143</v>
      </c>
      <c r="D366" s="27" t="s">
        <v>1144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1326</f>
        <v>1326.0</v>
      </c>
      <c r="L366" s="34" t="s">
        <v>48</v>
      </c>
      <c r="M366" s="33" t="n">
        <f>1383</f>
        <v>1383.0</v>
      </c>
      <c r="N366" s="34" t="s">
        <v>60</v>
      </c>
      <c r="O366" s="33" t="n">
        <f>1290</f>
        <v>1290.0</v>
      </c>
      <c r="P366" s="34" t="s">
        <v>61</v>
      </c>
      <c r="Q366" s="33" t="n">
        <f>1306</f>
        <v>1306.0</v>
      </c>
      <c r="R366" s="34" t="s">
        <v>50</v>
      </c>
      <c r="S366" s="35" t="n">
        <f>1323.11</f>
        <v>1323.11</v>
      </c>
      <c r="T366" s="32" t="n">
        <f>20316</f>
        <v>20316.0</v>
      </c>
      <c r="U366" s="32" t="str">
        <f>"－"</f>
        <v>－</v>
      </c>
      <c r="V366" s="32" t="n">
        <f>26566825</f>
        <v>2.6566825E7</v>
      </c>
      <c r="W366" s="32" t="str">
        <f>"－"</f>
        <v>－</v>
      </c>
      <c r="X366" s="36" t="n">
        <f>19</f>
        <v>19.0</v>
      </c>
    </row>
    <row r="367">
      <c r="A367" s="27" t="s">
        <v>42</v>
      </c>
      <c r="B367" s="27" t="s">
        <v>1145</v>
      </c>
      <c r="C367" s="27" t="s">
        <v>1146</v>
      </c>
      <c r="D367" s="27" t="s">
        <v>1147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1227</f>
        <v>1227.0</v>
      </c>
      <c r="L367" s="34" t="s">
        <v>48</v>
      </c>
      <c r="M367" s="33" t="n">
        <f>1248</f>
        <v>1248.0</v>
      </c>
      <c r="N367" s="34" t="s">
        <v>74</v>
      </c>
      <c r="O367" s="33" t="n">
        <f>1203</f>
        <v>1203.0</v>
      </c>
      <c r="P367" s="34" t="s">
        <v>61</v>
      </c>
      <c r="Q367" s="33" t="n">
        <f>1212</f>
        <v>1212.0</v>
      </c>
      <c r="R367" s="34" t="s">
        <v>50</v>
      </c>
      <c r="S367" s="35" t="n">
        <f>1228.79</f>
        <v>1228.79</v>
      </c>
      <c r="T367" s="32" t="n">
        <f>7872292</f>
        <v>7872292.0</v>
      </c>
      <c r="U367" s="32" t="n">
        <f>1647</f>
        <v>1647.0</v>
      </c>
      <c r="V367" s="32" t="n">
        <f>9657384128</f>
        <v>9.657384128E9</v>
      </c>
      <c r="W367" s="32" t="n">
        <f>2053031</f>
        <v>2053031.0</v>
      </c>
      <c r="X367" s="36" t="n">
        <f>19</f>
        <v>19.0</v>
      </c>
    </row>
    <row r="368">
      <c r="A368" s="27" t="s">
        <v>42</v>
      </c>
      <c r="B368" s="27" t="s">
        <v>1148</v>
      </c>
      <c r="C368" s="27" t="s">
        <v>1149</v>
      </c>
      <c r="D368" s="27" t="s">
        <v>1150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1003</f>
        <v>1003.0</v>
      </c>
      <c r="L368" s="34" t="s">
        <v>48</v>
      </c>
      <c r="M368" s="33" t="n">
        <f>1047</f>
        <v>1047.0</v>
      </c>
      <c r="N368" s="34" t="s">
        <v>155</v>
      </c>
      <c r="O368" s="33" t="n">
        <f>1000</f>
        <v>1000.0</v>
      </c>
      <c r="P368" s="34" t="s">
        <v>50</v>
      </c>
      <c r="Q368" s="33" t="n">
        <f>1003</f>
        <v>1003.0</v>
      </c>
      <c r="R368" s="34" t="s">
        <v>50</v>
      </c>
      <c r="S368" s="35" t="n">
        <f>1023.74</f>
        <v>1023.74</v>
      </c>
      <c r="T368" s="32" t="n">
        <f>1084069</f>
        <v>1084069.0</v>
      </c>
      <c r="U368" s="32" t="n">
        <f>103</f>
        <v>103.0</v>
      </c>
      <c r="V368" s="32" t="n">
        <f>1109287287</f>
        <v>1.109287287E9</v>
      </c>
      <c r="W368" s="32" t="n">
        <f>103515</f>
        <v>103515.0</v>
      </c>
      <c r="X368" s="36" t="n">
        <f>19</f>
        <v>19.0</v>
      </c>
    </row>
    <row r="369">
      <c r="A369" s="27" t="s">
        <v>42</v>
      </c>
      <c r="B369" s="27" t="s">
        <v>1151</v>
      </c>
      <c r="C369" s="27" t="s">
        <v>1152</v>
      </c>
      <c r="D369" s="27" t="s">
        <v>1153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1590</f>
        <v>1590.0</v>
      </c>
      <c r="L369" s="34" t="s">
        <v>48</v>
      </c>
      <c r="M369" s="33" t="n">
        <f>1739</f>
        <v>1739.0</v>
      </c>
      <c r="N369" s="34" t="s">
        <v>69</v>
      </c>
      <c r="O369" s="33" t="n">
        <f>1506</f>
        <v>1506.0</v>
      </c>
      <c r="P369" s="34" t="s">
        <v>48</v>
      </c>
      <c r="Q369" s="33" t="n">
        <f>1600</f>
        <v>1600.0</v>
      </c>
      <c r="R369" s="34" t="s">
        <v>50</v>
      </c>
      <c r="S369" s="35" t="n">
        <f>1603.32</f>
        <v>1603.32</v>
      </c>
      <c r="T369" s="32" t="n">
        <f>48729</f>
        <v>48729.0</v>
      </c>
      <c r="U369" s="32" t="str">
        <f>"－"</f>
        <v>－</v>
      </c>
      <c r="V369" s="32" t="n">
        <f>76534504</f>
        <v>7.6534504E7</v>
      </c>
      <c r="W369" s="32" t="str">
        <f>"－"</f>
        <v>－</v>
      </c>
      <c r="X369" s="36" t="n">
        <f>19</f>
        <v>19.0</v>
      </c>
    </row>
    <row r="370">
      <c r="A370" s="27" t="s">
        <v>42</v>
      </c>
      <c r="B370" s="27" t="s">
        <v>1154</v>
      </c>
      <c r="C370" s="27" t="s">
        <v>1155</v>
      </c>
      <c r="D370" s="27" t="s">
        <v>1156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1110</f>
        <v>1110.0</v>
      </c>
      <c r="L370" s="34" t="s">
        <v>48</v>
      </c>
      <c r="M370" s="33" t="n">
        <f>1127</f>
        <v>1127.0</v>
      </c>
      <c r="N370" s="34" t="s">
        <v>74</v>
      </c>
      <c r="O370" s="33" t="n">
        <f>1082</f>
        <v>1082.0</v>
      </c>
      <c r="P370" s="34" t="s">
        <v>61</v>
      </c>
      <c r="Q370" s="33" t="n">
        <f>1088</f>
        <v>1088.0</v>
      </c>
      <c r="R370" s="34" t="s">
        <v>50</v>
      </c>
      <c r="S370" s="35" t="n">
        <f>1108.42</f>
        <v>1108.42</v>
      </c>
      <c r="T370" s="32" t="n">
        <f>1918694</f>
        <v>1918694.0</v>
      </c>
      <c r="U370" s="32" t="n">
        <f>422</f>
        <v>422.0</v>
      </c>
      <c r="V370" s="32" t="n">
        <f>2124930597</f>
        <v>2.124930597E9</v>
      </c>
      <c r="W370" s="32" t="n">
        <f>465487</f>
        <v>465487.0</v>
      </c>
      <c r="X370" s="36" t="n">
        <f>19</f>
        <v>19.0</v>
      </c>
    </row>
    <row r="371">
      <c r="A371" s="27" t="s">
        <v>42</v>
      </c>
      <c r="B371" s="27" t="s">
        <v>1157</v>
      </c>
      <c r="C371" s="27" t="s">
        <v>1158</v>
      </c>
      <c r="D371" s="27" t="s">
        <v>1159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59120</f>
        <v>59120.0</v>
      </c>
      <c r="L371" s="34" t="s">
        <v>48</v>
      </c>
      <c r="M371" s="33" t="n">
        <f>62670</f>
        <v>62670.0</v>
      </c>
      <c r="N371" s="34" t="s">
        <v>61</v>
      </c>
      <c r="O371" s="33" t="n">
        <f>57150</f>
        <v>57150.0</v>
      </c>
      <c r="P371" s="34" t="s">
        <v>213</v>
      </c>
      <c r="Q371" s="33" t="n">
        <f>60150</f>
        <v>60150.0</v>
      </c>
      <c r="R371" s="34" t="s">
        <v>50</v>
      </c>
      <c r="S371" s="35" t="n">
        <f>60054.74</f>
        <v>60054.74</v>
      </c>
      <c r="T371" s="32" t="n">
        <f>204506</f>
        <v>204506.0</v>
      </c>
      <c r="U371" s="32" t="n">
        <f>1167</f>
        <v>1167.0</v>
      </c>
      <c r="V371" s="32" t="n">
        <f>12260757455</f>
        <v>1.2260757455E10</v>
      </c>
      <c r="W371" s="32" t="n">
        <f>70066905</f>
        <v>7.0066905E7</v>
      </c>
      <c r="X371" s="36" t="n">
        <f>19</f>
        <v>19.0</v>
      </c>
    </row>
    <row r="372">
      <c r="A372" s="27" t="s">
        <v>42</v>
      </c>
      <c r="B372" s="27" t="s">
        <v>1160</v>
      </c>
      <c r="C372" s="27" t="s">
        <v>1161</v>
      </c>
      <c r="D372" s="27" t="s">
        <v>1162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10765</f>
        <v>10765.0</v>
      </c>
      <c r="L372" s="34" t="s">
        <v>48</v>
      </c>
      <c r="M372" s="33" t="n">
        <f>11030</f>
        <v>11030.0</v>
      </c>
      <c r="N372" s="34" t="s">
        <v>213</v>
      </c>
      <c r="O372" s="33" t="n">
        <f>10040</f>
        <v>10040.0</v>
      </c>
      <c r="P372" s="34" t="s">
        <v>61</v>
      </c>
      <c r="Q372" s="33" t="n">
        <f>10450</f>
        <v>10450.0</v>
      </c>
      <c r="R372" s="34" t="s">
        <v>50</v>
      </c>
      <c r="S372" s="35" t="n">
        <f>10555.79</f>
        <v>10555.79</v>
      </c>
      <c r="T372" s="32" t="n">
        <f>323446</f>
        <v>323446.0</v>
      </c>
      <c r="U372" s="32" t="n">
        <f>1433</f>
        <v>1433.0</v>
      </c>
      <c r="V372" s="32" t="n">
        <f>3388423188</f>
        <v>3.388423188E9</v>
      </c>
      <c r="W372" s="32" t="n">
        <f>15286843</f>
        <v>1.5286843E7</v>
      </c>
      <c r="X372" s="36" t="n">
        <f>19</f>
        <v>19.0</v>
      </c>
    </row>
    <row r="373">
      <c r="A373" s="27" t="s">
        <v>42</v>
      </c>
      <c r="B373" s="27" t="s">
        <v>1163</v>
      </c>
      <c r="C373" s="27" t="s">
        <v>1164</v>
      </c>
      <c r="D373" s="27" t="s">
        <v>1165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2589</f>
        <v>2589.0</v>
      </c>
      <c r="L373" s="34" t="s">
        <v>48</v>
      </c>
      <c r="M373" s="33" t="n">
        <f>2677</f>
        <v>2677.0</v>
      </c>
      <c r="N373" s="34" t="s">
        <v>74</v>
      </c>
      <c r="O373" s="33" t="n">
        <f>2534</f>
        <v>2534.0</v>
      </c>
      <c r="P373" s="34" t="s">
        <v>61</v>
      </c>
      <c r="Q373" s="33" t="n">
        <f>2564</f>
        <v>2564.0</v>
      </c>
      <c r="R373" s="34" t="s">
        <v>50</v>
      </c>
      <c r="S373" s="35" t="n">
        <f>2600.94</f>
        <v>2600.94</v>
      </c>
      <c r="T373" s="32" t="n">
        <f>609</f>
        <v>609.0</v>
      </c>
      <c r="U373" s="32" t="str">
        <f>"－"</f>
        <v>－</v>
      </c>
      <c r="V373" s="32" t="n">
        <f>1582191</f>
        <v>1582191.0</v>
      </c>
      <c r="W373" s="32" t="str">
        <f>"－"</f>
        <v>－</v>
      </c>
      <c r="X373" s="36" t="n">
        <f>16</f>
        <v>16.0</v>
      </c>
    </row>
    <row r="374">
      <c r="A374" s="27" t="s">
        <v>42</v>
      </c>
      <c r="B374" s="27" t="s">
        <v>1166</v>
      </c>
      <c r="C374" s="27" t="s">
        <v>1167</v>
      </c>
      <c r="D374" s="27" t="s">
        <v>1168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9342</f>
        <v>9342.0</v>
      </c>
      <c r="L374" s="34" t="s">
        <v>48</v>
      </c>
      <c r="M374" s="33" t="n">
        <f>10300</f>
        <v>10300.0</v>
      </c>
      <c r="N374" s="34" t="s">
        <v>61</v>
      </c>
      <c r="O374" s="33" t="n">
        <f>9085</f>
        <v>9085.0</v>
      </c>
      <c r="P374" s="34" t="s">
        <v>48</v>
      </c>
      <c r="Q374" s="33" t="n">
        <f>10100</f>
        <v>10100.0</v>
      </c>
      <c r="R374" s="34" t="s">
        <v>50</v>
      </c>
      <c r="S374" s="35" t="n">
        <f>9838</f>
        <v>9838.0</v>
      </c>
      <c r="T374" s="32" t="n">
        <f>3262</f>
        <v>3262.0</v>
      </c>
      <c r="U374" s="32" t="n">
        <f>4</f>
        <v>4.0</v>
      </c>
      <c r="V374" s="32" t="n">
        <f>31840681</f>
        <v>3.1840681E7</v>
      </c>
      <c r="W374" s="32" t="n">
        <f>36920</f>
        <v>36920.0</v>
      </c>
      <c r="X374" s="36" t="n">
        <f>19</f>
        <v>19.0</v>
      </c>
    </row>
    <row r="375">
      <c r="A375" s="27" t="s">
        <v>42</v>
      </c>
      <c r="B375" s="27" t="s">
        <v>1169</v>
      </c>
      <c r="C375" s="27" t="s">
        <v>1170</v>
      </c>
      <c r="D375" s="27" t="s">
        <v>1171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128700</f>
        <v>128700.0</v>
      </c>
      <c r="L375" s="34" t="s">
        <v>48</v>
      </c>
      <c r="M375" s="33" t="n">
        <f>134200</f>
        <v>134200.0</v>
      </c>
      <c r="N375" s="34" t="s">
        <v>103</v>
      </c>
      <c r="O375" s="33" t="n">
        <f>125000</f>
        <v>125000.0</v>
      </c>
      <c r="P375" s="34" t="s">
        <v>70</v>
      </c>
      <c r="Q375" s="33" t="n">
        <f>125100</f>
        <v>125100.0</v>
      </c>
      <c r="R375" s="34" t="s">
        <v>50</v>
      </c>
      <c r="S375" s="35" t="n">
        <f>130794.74</f>
        <v>130794.74</v>
      </c>
      <c r="T375" s="32" t="n">
        <f>26581</f>
        <v>26581.0</v>
      </c>
      <c r="U375" s="32" t="n">
        <f>2678</f>
        <v>2678.0</v>
      </c>
      <c r="V375" s="32" t="n">
        <f>3464024626</f>
        <v>3.464024626E9</v>
      </c>
      <c r="W375" s="32" t="n">
        <f>349791926</f>
        <v>3.49791926E8</v>
      </c>
      <c r="X375" s="36" t="n">
        <f>19</f>
        <v>19.0</v>
      </c>
    </row>
    <row r="376">
      <c r="A376" s="27" t="s">
        <v>42</v>
      </c>
      <c r="B376" s="27" t="s">
        <v>1172</v>
      </c>
      <c r="C376" s="27" t="s">
        <v>1173</v>
      </c>
      <c r="D376" s="27" t="s">
        <v>1174</v>
      </c>
      <c r="E376" s="28" t="s">
        <v>46</v>
      </c>
      <c r="F376" s="29" t="s">
        <v>46</v>
      </c>
      <c r="G376" s="30" t="s">
        <v>46</v>
      </c>
      <c r="H376" s="31" t="s">
        <v>1175</v>
      </c>
      <c r="I376" s="31" t="s">
        <v>415</v>
      </c>
      <c r="J376" s="32" t="n">
        <v>1.0</v>
      </c>
      <c r="K376" s="33" t="n">
        <f>104000</f>
        <v>104000.0</v>
      </c>
      <c r="L376" s="34" t="s">
        <v>48</v>
      </c>
      <c r="M376" s="33" t="n">
        <f>134000</f>
        <v>134000.0</v>
      </c>
      <c r="N376" s="34" t="s">
        <v>273</v>
      </c>
      <c r="O376" s="33" t="n">
        <f>102300</f>
        <v>102300.0</v>
      </c>
      <c r="P376" s="34" t="s">
        <v>48</v>
      </c>
      <c r="Q376" s="33" t="n">
        <f>132800</f>
        <v>132800.0</v>
      </c>
      <c r="R376" s="34" t="s">
        <v>50</v>
      </c>
      <c r="S376" s="35" t="n">
        <f>124863.16</f>
        <v>124863.16</v>
      </c>
      <c r="T376" s="32" t="n">
        <f>265207</f>
        <v>265207.0</v>
      </c>
      <c r="U376" s="32" t="n">
        <f>10162</f>
        <v>10162.0</v>
      </c>
      <c r="V376" s="32" t="n">
        <f>33379965931</f>
        <v>3.3379965931E10</v>
      </c>
      <c r="W376" s="32" t="n">
        <f>1270560431</f>
        <v>1.270560431E9</v>
      </c>
      <c r="X376" s="36" t="n">
        <f>19</f>
        <v>19.0</v>
      </c>
    </row>
    <row r="377">
      <c r="A377" s="27" t="s">
        <v>42</v>
      </c>
      <c r="B377" s="27" t="s">
        <v>1176</v>
      </c>
      <c r="C377" s="27" t="s">
        <v>1177</v>
      </c>
      <c r="D377" s="27" t="s">
        <v>1178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125800</f>
        <v>125800.0</v>
      </c>
      <c r="L377" s="34" t="s">
        <v>48</v>
      </c>
      <c r="M377" s="33" t="n">
        <f>136100</f>
        <v>136100.0</v>
      </c>
      <c r="N377" s="34" t="s">
        <v>49</v>
      </c>
      <c r="O377" s="33" t="n">
        <f>125000</f>
        <v>125000.0</v>
      </c>
      <c r="P377" s="34" t="s">
        <v>48</v>
      </c>
      <c r="Q377" s="33" t="n">
        <f>128000</f>
        <v>128000.0</v>
      </c>
      <c r="R377" s="34" t="s">
        <v>50</v>
      </c>
      <c r="S377" s="35" t="n">
        <f>130836.84</f>
        <v>130836.84</v>
      </c>
      <c r="T377" s="32" t="n">
        <f>63037</f>
        <v>63037.0</v>
      </c>
      <c r="U377" s="32" t="n">
        <f>10290</f>
        <v>10290.0</v>
      </c>
      <c r="V377" s="32" t="n">
        <f>8250882040</f>
        <v>8.25088204E9</v>
      </c>
      <c r="W377" s="32" t="n">
        <f>1346978640</f>
        <v>1.34697864E9</v>
      </c>
      <c r="X377" s="36" t="n">
        <f>19</f>
        <v>19.0</v>
      </c>
    </row>
    <row r="378">
      <c r="A378" s="27" t="s">
        <v>42</v>
      </c>
      <c r="B378" s="27" t="s">
        <v>1179</v>
      </c>
      <c r="C378" s="27" t="s">
        <v>1180</v>
      </c>
      <c r="D378" s="27" t="s">
        <v>1181</v>
      </c>
      <c r="E378" s="28" t="s">
        <v>46</v>
      </c>
      <c r="F378" s="29" t="s">
        <v>46</v>
      </c>
      <c r="G378" s="30" t="s">
        <v>46</v>
      </c>
      <c r="H378" s="31"/>
      <c r="I378" s="31" t="s">
        <v>415</v>
      </c>
      <c r="J378" s="32" t="n">
        <v>1.0</v>
      </c>
      <c r="K378" s="33" t="n">
        <f>116500</f>
        <v>116500.0</v>
      </c>
      <c r="L378" s="34" t="s">
        <v>48</v>
      </c>
      <c r="M378" s="33" t="n">
        <f>119400</f>
        <v>119400.0</v>
      </c>
      <c r="N378" s="34" t="s">
        <v>65</v>
      </c>
      <c r="O378" s="33" t="n">
        <f>112400</f>
        <v>112400.0</v>
      </c>
      <c r="P378" s="34" t="s">
        <v>70</v>
      </c>
      <c r="Q378" s="33" t="n">
        <f>113200</f>
        <v>113200.0</v>
      </c>
      <c r="R378" s="34" t="s">
        <v>50</v>
      </c>
      <c r="S378" s="35" t="n">
        <f>116821.05</f>
        <v>116821.05</v>
      </c>
      <c r="T378" s="32" t="n">
        <f>47539</f>
        <v>47539.0</v>
      </c>
      <c r="U378" s="32" t="n">
        <f>2831</f>
        <v>2831.0</v>
      </c>
      <c r="V378" s="32" t="n">
        <f>5531680470</f>
        <v>5.53168047E9</v>
      </c>
      <c r="W378" s="32" t="n">
        <f>329767670</f>
        <v>3.2976767E8</v>
      </c>
      <c r="X378" s="36" t="n">
        <f>19</f>
        <v>19.0</v>
      </c>
    </row>
    <row r="379">
      <c r="A379" s="27" t="s">
        <v>42</v>
      </c>
      <c r="B379" s="27" t="s">
        <v>1182</v>
      </c>
      <c r="C379" s="27" t="s">
        <v>1183</v>
      </c>
      <c r="D379" s="27" t="s">
        <v>1184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10.0</v>
      </c>
      <c r="K379" s="33" t="n">
        <f>241.5</f>
        <v>241.5</v>
      </c>
      <c r="L379" s="34" t="s">
        <v>48</v>
      </c>
      <c r="M379" s="33" t="n">
        <f>244.5</f>
        <v>244.5</v>
      </c>
      <c r="N379" s="34" t="s">
        <v>60</v>
      </c>
      <c r="O379" s="33" t="n">
        <f>232.1</f>
        <v>232.1</v>
      </c>
      <c r="P379" s="34" t="s">
        <v>273</v>
      </c>
      <c r="Q379" s="33" t="n">
        <f>232.2</f>
        <v>232.2</v>
      </c>
      <c r="R379" s="34" t="s">
        <v>50</v>
      </c>
      <c r="S379" s="35" t="n">
        <f>238.51</f>
        <v>238.51</v>
      </c>
      <c r="T379" s="32" t="n">
        <f>4248520</f>
        <v>4248520.0</v>
      </c>
      <c r="U379" s="32" t="n">
        <f>170</f>
        <v>170.0</v>
      </c>
      <c r="V379" s="32" t="n">
        <f>1008383134</f>
        <v>1.008383134E9</v>
      </c>
      <c r="W379" s="32" t="n">
        <f>41395</f>
        <v>41395.0</v>
      </c>
      <c r="X379" s="36" t="n">
        <f>19</f>
        <v>19.0</v>
      </c>
    </row>
    <row r="380">
      <c r="A380" s="27" t="s">
        <v>42</v>
      </c>
      <c r="B380" s="27" t="s">
        <v>1185</v>
      </c>
      <c r="C380" s="27" t="s">
        <v>1186</v>
      </c>
      <c r="D380" s="27" t="s">
        <v>1187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10.0</v>
      </c>
      <c r="K380" s="33" t="n">
        <f>325.8</f>
        <v>325.8</v>
      </c>
      <c r="L380" s="34" t="s">
        <v>48</v>
      </c>
      <c r="M380" s="33" t="n">
        <f>405.9</f>
        <v>405.9</v>
      </c>
      <c r="N380" s="34" t="s">
        <v>70</v>
      </c>
      <c r="O380" s="33" t="n">
        <f>325.6</f>
        <v>325.6</v>
      </c>
      <c r="P380" s="34" t="s">
        <v>48</v>
      </c>
      <c r="Q380" s="33" t="n">
        <f>376.6</f>
        <v>376.6</v>
      </c>
      <c r="R380" s="34" t="s">
        <v>50</v>
      </c>
      <c r="S380" s="35" t="n">
        <f>355.44</f>
        <v>355.44</v>
      </c>
      <c r="T380" s="32" t="n">
        <f>203931260</f>
        <v>2.0393126E8</v>
      </c>
      <c r="U380" s="32" t="n">
        <f>15369560</f>
        <v>1.536956E7</v>
      </c>
      <c r="V380" s="32" t="n">
        <f>74149717044</f>
        <v>7.4149717044E10</v>
      </c>
      <c r="W380" s="32" t="n">
        <f>5475762308</f>
        <v>5.475762308E9</v>
      </c>
      <c r="X380" s="36" t="n">
        <f>19</f>
        <v>19.0</v>
      </c>
    </row>
    <row r="381">
      <c r="A381" s="27" t="s">
        <v>42</v>
      </c>
      <c r="B381" s="27" t="s">
        <v>1188</v>
      </c>
      <c r="C381" s="27" t="s">
        <v>1189</v>
      </c>
      <c r="D381" s="27" t="s">
        <v>1190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1372</f>
        <v>1372.0</v>
      </c>
      <c r="L381" s="34" t="s">
        <v>48</v>
      </c>
      <c r="M381" s="33" t="n">
        <f>1616</f>
        <v>1616.0</v>
      </c>
      <c r="N381" s="34" t="s">
        <v>103</v>
      </c>
      <c r="O381" s="33" t="n">
        <f>1372</f>
        <v>1372.0</v>
      </c>
      <c r="P381" s="34" t="s">
        <v>48</v>
      </c>
      <c r="Q381" s="33" t="n">
        <f>1532</f>
        <v>1532.0</v>
      </c>
      <c r="R381" s="34" t="s">
        <v>50</v>
      </c>
      <c r="S381" s="35" t="n">
        <f>1497.79</f>
        <v>1497.79</v>
      </c>
      <c r="T381" s="32" t="n">
        <f>4292903</f>
        <v>4292903.0</v>
      </c>
      <c r="U381" s="32" t="n">
        <f>2465646</f>
        <v>2465646.0</v>
      </c>
      <c r="V381" s="32" t="n">
        <f>6534872650</f>
        <v>6.53487265E9</v>
      </c>
      <c r="W381" s="32" t="n">
        <f>3774731178</f>
        <v>3.774731178E9</v>
      </c>
      <c r="X381" s="36" t="n">
        <f>19</f>
        <v>19.0</v>
      </c>
    </row>
    <row r="382">
      <c r="A382" s="27" t="s">
        <v>42</v>
      </c>
      <c r="B382" s="27" t="s">
        <v>1191</v>
      </c>
      <c r="C382" s="27" t="s">
        <v>1192</v>
      </c>
      <c r="D382" s="27" t="s">
        <v>1193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2271</f>
        <v>2271.0</v>
      </c>
      <c r="L382" s="34" t="s">
        <v>48</v>
      </c>
      <c r="M382" s="33" t="n">
        <f>2332</f>
        <v>2332.0</v>
      </c>
      <c r="N382" s="34" t="s">
        <v>74</v>
      </c>
      <c r="O382" s="33" t="n">
        <f>2167</f>
        <v>2167.0</v>
      </c>
      <c r="P382" s="34" t="s">
        <v>50</v>
      </c>
      <c r="Q382" s="33" t="n">
        <f>2174</f>
        <v>2174.0</v>
      </c>
      <c r="R382" s="34" t="s">
        <v>50</v>
      </c>
      <c r="S382" s="35" t="n">
        <f>2252</f>
        <v>2252.0</v>
      </c>
      <c r="T382" s="32" t="n">
        <f>8343689</f>
        <v>8343689.0</v>
      </c>
      <c r="U382" s="32" t="n">
        <f>80509</f>
        <v>80509.0</v>
      </c>
      <c r="V382" s="32" t="n">
        <f>18787243346</f>
        <v>1.8787243346E10</v>
      </c>
      <c r="W382" s="32" t="n">
        <f>181823710</f>
        <v>1.8182371E8</v>
      </c>
      <c r="X382" s="36" t="n">
        <f>19</f>
        <v>19.0</v>
      </c>
    </row>
    <row r="383">
      <c r="A383" s="27" t="s">
        <v>42</v>
      </c>
      <c r="B383" s="27" t="s">
        <v>1194</v>
      </c>
      <c r="C383" s="27" t="s">
        <v>1195</v>
      </c>
      <c r="D383" s="27" t="s">
        <v>1196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10.0</v>
      </c>
      <c r="K383" s="33" t="n">
        <f>520.4</f>
        <v>520.4</v>
      </c>
      <c r="L383" s="34" t="s">
        <v>48</v>
      </c>
      <c r="M383" s="33" t="n">
        <f>594.7</f>
        <v>594.7</v>
      </c>
      <c r="N383" s="34" t="s">
        <v>213</v>
      </c>
      <c r="O383" s="33" t="n">
        <f>515.3</f>
        <v>515.3</v>
      </c>
      <c r="P383" s="34" t="s">
        <v>206</v>
      </c>
      <c r="Q383" s="33" t="n">
        <f>558.5</f>
        <v>558.5</v>
      </c>
      <c r="R383" s="34" t="s">
        <v>50</v>
      </c>
      <c r="S383" s="35" t="n">
        <f>539.08</f>
        <v>539.08</v>
      </c>
      <c r="T383" s="32" t="n">
        <f>21204880</f>
        <v>2.120488E7</v>
      </c>
      <c r="U383" s="32" t="n">
        <f>14660</f>
        <v>14660.0</v>
      </c>
      <c r="V383" s="32" t="n">
        <f>11478680060</f>
        <v>1.147868006E10</v>
      </c>
      <c r="W383" s="32" t="n">
        <f>7822617</f>
        <v>7822617.0</v>
      </c>
      <c r="X383" s="36" t="n">
        <f>19</f>
        <v>19.0</v>
      </c>
    </row>
    <row r="384">
      <c r="A384" s="27" t="s">
        <v>42</v>
      </c>
      <c r="B384" s="27" t="s">
        <v>1197</v>
      </c>
      <c r="C384" s="27" t="s">
        <v>1198</v>
      </c>
      <c r="D384" s="27" t="s">
        <v>1199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136500</f>
        <v>136500.0</v>
      </c>
      <c r="L384" s="34" t="s">
        <v>48</v>
      </c>
      <c r="M384" s="33" t="n">
        <f>141700</f>
        <v>141700.0</v>
      </c>
      <c r="N384" s="34" t="s">
        <v>61</v>
      </c>
      <c r="O384" s="33" t="n">
        <f>134000</f>
        <v>134000.0</v>
      </c>
      <c r="P384" s="34" t="s">
        <v>48</v>
      </c>
      <c r="Q384" s="33" t="n">
        <f>138300</f>
        <v>138300.0</v>
      </c>
      <c r="R384" s="34" t="s">
        <v>50</v>
      </c>
      <c r="S384" s="35" t="n">
        <f>138405.26</f>
        <v>138405.26</v>
      </c>
      <c r="T384" s="32" t="n">
        <f>126486</f>
        <v>126486.0</v>
      </c>
      <c r="U384" s="32" t="n">
        <f>27698</f>
        <v>27698.0</v>
      </c>
      <c r="V384" s="32" t="n">
        <f>17504959853</f>
        <v>1.7504959853E10</v>
      </c>
      <c r="W384" s="32" t="n">
        <f>3834303953</f>
        <v>3.834303953E9</v>
      </c>
      <c r="X384" s="36" t="n">
        <f>19</f>
        <v>19.0</v>
      </c>
    </row>
    <row r="385">
      <c r="A385" s="27" t="s">
        <v>42</v>
      </c>
      <c r="B385" s="27" t="s">
        <v>1200</v>
      </c>
      <c r="C385" s="27" t="s">
        <v>1201</v>
      </c>
      <c r="D385" s="27" t="s">
        <v>1202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150000</f>
        <v>150000.0</v>
      </c>
      <c r="L385" s="34" t="s">
        <v>48</v>
      </c>
      <c r="M385" s="33" t="n">
        <f>151500</f>
        <v>151500.0</v>
      </c>
      <c r="N385" s="34" t="s">
        <v>75</v>
      </c>
      <c r="O385" s="33" t="n">
        <f>142700</f>
        <v>142700.0</v>
      </c>
      <c r="P385" s="34" t="s">
        <v>70</v>
      </c>
      <c r="Q385" s="33" t="n">
        <f>145200</f>
        <v>145200.0</v>
      </c>
      <c r="R385" s="34" t="s">
        <v>50</v>
      </c>
      <c r="S385" s="35" t="n">
        <f>148689.47</f>
        <v>148689.47</v>
      </c>
      <c r="T385" s="32" t="n">
        <f>117814</f>
        <v>117814.0</v>
      </c>
      <c r="U385" s="32" t="n">
        <f>27883</f>
        <v>27883.0</v>
      </c>
      <c r="V385" s="32" t="n">
        <f>17438442849</f>
        <v>1.7438442849E10</v>
      </c>
      <c r="W385" s="32" t="n">
        <f>4121793849</f>
        <v>4.121793849E9</v>
      </c>
      <c r="X385" s="36" t="n">
        <f>19</f>
        <v>19.0</v>
      </c>
    </row>
    <row r="386">
      <c r="A386" s="27" t="s">
        <v>42</v>
      </c>
      <c r="B386" s="27" t="s">
        <v>1203</v>
      </c>
      <c r="C386" s="27" t="s">
        <v>1204</v>
      </c>
      <c r="D386" s="27" t="s">
        <v>1205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156000</f>
        <v>156000.0</v>
      </c>
      <c r="L386" s="34" t="s">
        <v>48</v>
      </c>
      <c r="M386" s="33" t="n">
        <f>158900</f>
        <v>158900.0</v>
      </c>
      <c r="N386" s="34" t="s">
        <v>103</v>
      </c>
      <c r="O386" s="33" t="n">
        <f>147400</f>
        <v>147400.0</v>
      </c>
      <c r="P386" s="34" t="s">
        <v>70</v>
      </c>
      <c r="Q386" s="33" t="n">
        <f>149800</f>
        <v>149800.0</v>
      </c>
      <c r="R386" s="34" t="s">
        <v>50</v>
      </c>
      <c r="S386" s="35" t="n">
        <f>155200</f>
        <v>155200.0</v>
      </c>
      <c r="T386" s="32" t="n">
        <f>223021</f>
        <v>223021.0</v>
      </c>
      <c r="U386" s="32" t="n">
        <f>34194</f>
        <v>34194.0</v>
      </c>
      <c r="V386" s="32" t="n">
        <f>34494341115</f>
        <v>3.4494341115E10</v>
      </c>
      <c r="W386" s="32" t="n">
        <f>5294961115</f>
        <v>5.294961115E9</v>
      </c>
      <c r="X386" s="36" t="n">
        <f>19</f>
        <v>19.0</v>
      </c>
    </row>
    <row r="387">
      <c r="A387" s="27" t="s">
        <v>42</v>
      </c>
      <c r="B387" s="27" t="s">
        <v>1206</v>
      </c>
      <c r="C387" s="27" t="s">
        <v>1207</v>
      </c>
      <c r="D387" s="27" t="s">
        <v>1208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172900</f>
        <v>172900.0</v>
      </c>
      <c r="L387" s="34" t="s">
        <v>48</v>
      </c>
      <c r="M387" s="33" t="n">
        <f>176100</f>
        <v>176100.0</v>
      </c>
      <c r="N387" s="34" t="s">
        <v>103</v>
      </c>
      <c r="O387" s="33" t="n">
        <f>167600</f>
        <v>167600.0</v>
      </c>
      <c r="P387" s="34" t="s">
        <v>70</v>
      </c>
      <c r="Q387" s="33" t="n">
        <f>168000</f>
        <v>168000.0</v>
      </c>
      <c r="R387" s="34" t="s">
        <v>50</v>
      </c>
      <c r="S387" s="35" t="n">
        <f>172494.74</f>
        <v>172494.74</v>
      </c>
      <c r="T387" s="32" t="n">
        <f>163208</f>
        <v>163208.0</v>
      </c>
      <c r="U387" s="32" t="n">
        <f>27499</f>
        <v>27499.0</v>
      </c>
      <c r="V387" s="32" t="n">
        <f>28047552599</f>
        <v>2.8047552599E10</v>
      </c>
      <c r="W387" s="32" t="n">
        <f>4734744199</f>
        <v>4.734744199E9</v>
      </c>
      <c r="X387" s="36" t="n">
        <f>19</f>
        <v>19.0</v>
      </c>
    </row>
    <row r="388">
      <c r="A388" s="27" t="s">
        <v>42</v>
      </c>
      <c r="B388" s="27" t="s">
        <v>1209</v>
      </c>
      <c r="C388" s="27" t="s">
        <v>1210</v>
      </c>
      <c r="D388" s="27" t="s">
        <v>1211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142500</f>
        <v>142500.0</v>
      </c>
      <c r="L388" s="34" t="s">
        <v>48</v>
      </c>
      <c r="M388" s="33" t="n">
        <f>151400</f>
        <v>151400.0</v>
      </c>
      <c r="N388" s="34" t="s">
        <v>103</v>
      </c>
      <c r="O388" s="33" t="n">
        <f>140100</f>
        <v>140100.0</v>
      </c>
      <c r="P388" s="34" t="s">
        <v>48</v>
      </c>
      <c r="Q388" s="33" t="n">
        <f>144500</f>
        <v>144500.0</v>
      </c>
      <c r="R388" s="34" t="s">
        <v>50</v>
      </c>
      <c r="S388" s="35" t="n">
        <f>145489.47</f>
        <v>145489.47</v>
      </c>
      <c r="T388" s="32" t="n">
        <f>169281</f>
        <v>169281.0</v>
      </c>
      <c r="U388" s="32" t="n">
        <f>56281</f>
        <v>56281.0</v>
      </c>
      <c r="V388" s="32" t="n">
        <f>24641787795</f>
        <v>2.4641787795E10</v>
      </c>
      <c r="W388" s="32" t="n">
        <f>8196847895</f>
        <v>8.196847895E9</v>
      </c>
      <c r="X388" s="36" t="n">
        <f>19</f>
        <v>19.0</v>
      </c>
    </row>
    <row r="389">
      <c r="A389" s="27" t="s">
        <v>42</v>
      </c>
      <c r="B389" s="27" t="s">
        <v>1212</v>
      </c>
      <c r="C389" s="27" t="s">
        <v>1213</v>
      </c>
      <c r="D389" s="27" t="s">
        <v>1214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149700</f>
        <v>149700.0</v>
      </c>
      <c r="L389" s="34" t="s">
        <v>48</v>
      </c>
      <c r="M389" s="33" t="n">
        <f>152800</f>
        <v>152800.0</v>
      </c>
      <c r="N389" s="34" t="s">
        <v>103</v>
      </c>
      <c r="O389" s="33" t="n">
        <f>140400</f>
        <v>140400.0</v>
      </c>
      <c r="P389" s="34" t="s">
        <v>70</v>
      </c>
      <c r="Q389" s="33" t="n">
        <f>142200</f>
        <v>142200.0</v>
      </c>
      <c r="R389" s="34" t="s">
        <v>50</v>
      </c>
      <c r="S389" s="35" t="n">
        <f>147752.63</f>
        <v>147752.63</v>
      </c>
      <c r="T389" s="32" t="n">
        <f>278286</f>
        <v>278286.0</v>
      </c>
      <c r="U389" s="32" t="n">
        <f>53745</f>
        <v>53745.0</v>
      </c>
      <c r="V389" s="32" t="n">
        <f>40892954450</f>
        <v>4.089295445E10</v>
      </c>
      <c r="W389" s="32" t="n">
        <f>7907449550</f>
        <v>7.90744955E9</v>
      </c>
      <c r="X389" s="36" t="n">
        <f>19</f>
        <v>19.0</v>
      </c>
    </row>
    <row r="390">
      <c r="A390" s="27" t="s">
        <v>42</v>
      </c>
      <c r="B390" s="27" t="s">
        <v>1215</v>
      </c>
      <c r="C390" s="27" t="s">
        <v>1216</v>
      </c>
      <c r="D390" s="27" t="s">
        <v>1217</v>
      </c>
      <c r="E390" s="28" t="s">
        <v>1218</v>
      </c>
      <c r="F390" s="29" t="s">
        <v>1219</v>
      </c>
      <c r="G390" s="30" t="s">
        <v>46</v>
      </c>
      <c r="H390" s="31"/>
      <c r="I390" s="31" t="s">
        <v>47</v>
      </c>
      <c r="J390" s="32" t="n">
        <v>1.0</v>
      </c>
      <c r="K390" s="33" t="n">
        <f>335000</f>
        <v>335000.0</v>
      </c>
      <c r="L390" s="34" t="s">
        <v>48</v>
      </c>
      <c r="M390" s="33" t="n">
        <f>347000</f>
        <v>347000.0</v>
      </c>
      <c r="N390" s="34" t="s">
        <v>103</v>
      </c>
      <c r="O390" s="33" t="n">
        <f>330500</f>
        <v>330500.0</v>
      </c>
      <c r="P390" s="34" t="s">
        <v>48</v>
      </c>
      <c r="Q390" s="33" t="n">
        <f>341000</f>
        <v>341000.0</v>
      </c>
      <c r="R390" s="34" t="s">
        <v>61</v>
      </c>
      <c r="S390" s="35" t="n">
        <f>339117.65</f>
        <v>339117.65</v>
      </c>
      <c r="T390" s="32" t="n">
        <f>38986</f>
        <v>38986.0</v>
      </c>
      <c r="U390" s="32" t="n">
        <f>7206</f>
        <v>7206.0</v>
      </c>
      <c r="V390" s="32" t="n">
        <f>13215424645</f>
        <v>1.3215424645E10</v>
      </c>
      <c r="W390" s="32" t="n">
        <f>2445579145</f>
        <v>2.445579145E9</v>
      </c>
      <c r="X390" s="36" t="n">
        <f>17</f>
        <v>17.0</v>
      </c>
    </row>
    <row r="391">
      <c r="A391" s="27" t="s">
        <v>42</v>
      </c>
      <c r="B391" s="27" t="s">
        <v>1215</v>
      </c>
      <c r="C391" s="27" t="s">
        <v>1216</v>
      </c>
      <c r="D391" s="27" t="s">
        <v>1217</v>
      </c>
      <c r="E391" s="28" t="s">
        <v>1218</v>
      </c>
      <c r="F391" s="29" t="s">
        <v>1219</v>
      </c>
      <c r="G391" s="30" t="s">
        <v>46</v>
      </c>
      <c r="H391" s="31"/>
      <c r="I391" s="31" t="s">
        <v>47</v>
      </c>
      <c r="J391" s="32" t="n">
        <v>1.0</v>
      </c>
      <c r="K391" s="33" t="n">
        <f>110600</f>
        <v>110600.0</v>
      </c>
      <c r="L391" s="34" t="s">
        <v>70</v>
      </c>
      <c r="M391" s="33" t="n">
        <f>113100</f>
        <v>113100.0</v>
      </c>
      <c r="N391" s="34" t="s">
        <v>70</v>
      </c>
      <c r="O391" s="33" t="n">
        <f>110000</f>
        <v>110000.0</v>
      </c>
      <c r="P391" s="34" t="s">
        <v>70</v>
      </c>
      <c r="Q391" s="33" t="n">
        <f>111800</f>
        <v>111800.0</v>
      </c>
      <c r="R391" s="34" t="s">
        <v>50</v>
      </c>
      <c r="S391" s="35" t="n">
        <f>111650</f>
        <v>111650.0</v>
      </c>
      <c r="T391" s="32" t="n">
        <f>16710</f>
        <v>16710.0</v>
      </c>
      <c r="U391" s="32" t="n">
        <f>3037</f>
        <v>3037.0</v>
      </c>
      <c r="V391" s="32" t="n">
        <f>1870722127</f>
        <v>1.870722127E9</v>
      </c>
      <c r="W391" s="32" t="n">
        <f>339833527</f>
        <v>3.39833527E8</v>
      </c>
      <c r="X391" s="36" t="n">
        <f>2</f>
        <v>2.0</v>
      </c>
    </row>
    <row r="392">
      <c r="A392" s="27" t="s">
        <v>42</v>
      </c>
      <c r="B392" s="27" t="s">
        <v>1220</v>
      </c>
      <c r="C392" s="27" t="s">
        <v>1221</v>
      </c>
      <c r="D392" s="27" t="s">
        <v>1222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93800</f>
        <v>93800.0</v>
      </c>
      <c r="L392" s="34" t="s">
        <v>48</v>
      </c>
      <c r="M392" s="33" t="n">
        <f>97900</f>
        <v>97900.0</v>
      </c>
      <c r="N392" s="34" t="s">
        <v>103</v>
      </c>
      <c r="O392" s="33" t="n">
        <f>89500</f>
        <v>89500.0</v>
      </c>
      <c r="P392" s="34" t="s">
        <v>70</v>
      </c>
      <c r="Q392" s="33" t="n">
        <f>90300</f>
        <v>90300.0</v>
      </c>
      <c r="R392" s="34" t="s">
        <v>50</v>
      </c>
      <c r="S392" s="35" t="n">
        <f>93810.53</f>
        <v>93810.53</v>
      </c>
      <c r="T392" s="32" t="n">
        <f>527292</f>
        <v>527292.0</v>
      </c>
      <c r="U392" s="32" t="n">
        <f>177906</f>
        <v>177906.0</v>
      </c>
      <c r="V392" s="32" t="n">
        <f>49536068204</f>
        <v>4.9536068204E10</v>
      </c>
      <c r="W392" s="32" t="n">
        <f>16814516004</f>
        <v>1.6814516004E10</v>
      </c>
      <c r="X392" s="36" t="n">
        <f>19</f>
        <v>19.0</v>
      </c>
    </row>
    <row r="393">
      <c r="A393" s="27" t="s">
        <v>42</v>
      </c>
      <c r="B393" s="27" t="s">
        <v>1223</v>
      </c>
      <c r="C393" s="27" t="s">
        <v>1224</v>
      </c>
      <c r="D393" s="27" t="s">
        <v>1225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261600</f>
        <v>261600.0</v>
      </c>
      <c r="L393" s="34" t="s">
        <v>48</v>
      </c>
      <c r="M393" s="33" t="n">
        <f>269200</f>
        <v>269200.0</v>
      </c>
      <c r="N393" s="34" t="s">
        <v>65</v>
      </c>
      <c r="O393" s="33" t="n">
        <f>253000</f>
        <v>253000.0</v>
      </c>
      <c r="P393" s="34" t="s">
        <v>223</v>
      </c>
      <c r="Q393" s="33" t="n">
        <f>256700</f>
        <v>256700.0</v>
      </c>
      <c r="R393" s="34" t="s">
        <v>50</v>
      </c>
      <c r="S393" s="35" t="n">
        <f>259084.21</f>
        <v>259084.21</v>
      </c>
      <c r="T393" s="32" t="n">
        <f>52524</f>
        <v>52524.0</v>
      </c>
      <c r="U393" s="32" t="n">
        <f>12367</f>
        <v>12367.0</v>
      </c>
      <c r="V393" s="32" t="n">
        <f>13612993452</f>
        <v>1.3612993452E10</v>
      </c>
      <c r="W393" s="32" t="n">
        <f>3207602352</f>
        <v>3.207602352E9</v>
      </c>
      <c r="X393" s="36" t="n">
        <f>19</f>
        <v>19.0</v>
      </c>
    </row>
    <row r="394">
      <c r="A394" s="27" t="s">
        <v>42</v>
      </c>
      <c r="B394" s="27" t="s">
        <v>1226</v>
      </c>
      <c r="C394" s="27" t="s">
        <v>1227</v>
      </c>
      <c r="D394" s="27" t="s">
        <v>1228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1318</f>
        <v>1318.0</v>
      </c>
      <c r="L394" s="34" t="s">
        <v>48</v>
      </c>
      <c r="M394" s="33" t="n">
        <f>1345</f>
        <v>1345.0</v>
      </c>
      <c r="N394" s="34" t="s">
        <v>213</v>
      </c>
      <c r="O394" s="33" t="n">
        <f>1261</f>
        <v>1261.0</v>
      </c>
      <c r="P394" s="34" t="s">
        <v>70</v>
      </c>
      <c r="Q394" s="33" t="n">
        <f>1277</f>
        <v>1277.0</v>
      </c>
      <c r="R394" s="34" t="s">
        <v>50</v>
      </c>
      <c r="S394" s="35" t="n">
        <f>1298.11</f>
        <v>1298.11</v>
      </c>
      <c r="T394" s="32" t="n">
        <f>92888</f>
        <v>92888.0</v>
      </c>
      <c r="U394" s="32" t="n">
        <f>6</f>
        <v>6.0</v>
      </c>
      <c r="V394" s="32" t="n">
        <f>118801960</f>
        <v>1.1880196E8</v>
      </c>
      <c r="W394" s="32" t="n">
        <f>7707</f>
        <v>7707.0</v>
      </c>
      <c r="X394" s="36" t="n">
        <f>19</f>
        <v>19.0</v>
      </c>
    </row>
    <row r="395">
      <c r="A395" s="27" t="s">
        <v>42</v>
      </c>
      <c r="B395" s="27" t="s">
        <v>1229</v>
      </c>
      <c r="C395" s="27" t="s">
        <v>1230</v>
      </c>
      <c r="D395" s="27" t="s">
        <v>1231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90700</f>
        <v>90700.0</v>
      </c>
      <c r="L395" s="34" t="s">
        <v>48</v>
      </c>
      <c r="M395" s="33" t="n">
        <f>93400</f>
        <v>93400.0</v>
      </c>
      <c r="N395" s="34" t="s">
        <v>103</v>
      </c>
      <c r="O395" s="33" t="n">
        <f>89200</f>
        <v>89200.0</v>
      </c>
      <c r="P395" s="34" t="s">
        <v>70</v>
      </c>
      <c r="Q395" s="33" t="n">
        <f>90900</f>
        <v>90900.0</v>
      </c>
      <c r="R395" s="34" t="s">
        <v>50</v>
      </c>
      <c r="S395" s="35" t="n">
        <f>91452.63</f>
        <v>91452.63</v>
      </c>
      <c r="T395" s="32" t="n">
        <f>32725</f>
        <v>32725.0</v>
      </c>
      <c r="U395" s="32" t="n">
        <f>5401</f>
        <v>5401.0</v>
      </c>
      <c r="V395" s="32" t="n">
        <f>2990050628</f>
        <v>2.990050628E9</v>
      </c>
      <c r="W395" s="32" t="n">
        <f>493499028</f>
        <v>4.93499028E8</v>
      </c>
      <c r="X395" s="36" t="n">
        <f>19</f>
        <v>19.0</v>
      </c>
    </row>
    <row r="396">
      <c r="A396" s="27" t="s">
        <v>42</v>
      </c>
      <c r="B396" s="27" t="s">
        <v>1232</v>
      </c>
      <c r="C396" s="27" t="s">
        <v>1233</v>
      </c>
      <c r="D396" s="27" t="s">
        <v>1234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139500</f>
        <v>139500.0</v>
      </c>
      <c r="L396" s="34" t="s">
        <v>48</v>
      </c>
      <c r="M396" s="33" t="n">
        <f>140700</f>
        <v>140700.0</v>
      </c>
      <c r="N396" s="34" t="s">
        <v>103</v>
      </c>
      <c r="O396" s="33" t="n">
        <f>131700</f>
        <v>131700.0</v>
      </c>
      <c r="P396" s="34" t="s">
        <v>70</v>
      </c>
      <c r="Q396" s="33" t="n">
        <f>133800</f>
        <v>133800.0</v>
      </c>
      <c r="R396" s="34" t="s">
        <v>50</v>
      </c>
      <c r="S396" s="35" t="n">
        <f>137857.89</f>
        <v>137857.89</v>
      </c>
      <c r="T396" s="32" t="n">
        <f>143060</f>
        <v>143060.0</v>
      </c>
      <c r="U396" s="32" t="n">
        <f>37920</f>
        <v>37920.0</v>
      </c>
      <c r="V396" s="32" t="n">
        <f>19694862697</f>
        <v>1.9694862697E10</v>
      </c>
      <c r="W396" s="32" t="n">
        <f>5241352797</f>
        <v>5.241352797E9</v>
      </c>
      <c r="X396" s="36" t="n">
        <f>19</f>
        <v>19.0</v>
      </c>
    </row>
    <row r="397">
      <c r="A397" s="27" t="s">
        <v>42</v>
      </c>
      <c r="B397" s="27" t="s">
        <v>1235</v>
      </c>
      <c r="C397" s="27" t="s">
        <v>1236</v>
      </c>
      <c r="D397" s="27" t="s">
        <v>1237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178500</f>
        <v>178500.0</v>
      </c>
      <c r="L397" s="34" t="s">
        <v>48</v>
      </c>
      <c r="M397" s="33" t="n">
        <f>181900</f>
        <v>181900.0</v>
      </c>
      <c r="N397" s="34" t="s">
        <v>103</v>
      </c>
      <c r="O397" s="33" t="n">
        <f>170600</f>
        <v>170600.0</v>
      </c>
      <c r="P397" s="34" t="s">
        <v>70</v>
      </c>
      <c r="Q397" s="33" t="n">
        <f>172200</f>
        <v>172200.0</v>
      </c>
      <c r="R397" s="34" t="s">
        <v>50</v>
      </c>
      <c r="S397" s="35" t="n">
        <f>176857.89</f>
        <v>176857.89</v>
      </c>
      <c r="T397" s="32" t="n">
        <f>67970</f>
        <v>67970.0</v>
      </c>
      <c r="U397" s="32" t="n">
        <f>14042</f>
        <v>14042.0</v>
      </c>
      <c r="V397" s="32" t="n">
        <f>11969229719</f>
        <v>1.1969229719E10</v>
      </c>
      <c r="W397" s="32" t="n">
        <f>2476288019</f>
        <v>2.476288019E9</v>
      </c>
      <c r="X397" s="36" t="n">
        <f>19</f>
        <v>19.0</v>
      </c>
    </row>
    <row r="398">
      <c r="A398" s="27" t="s">
        <v>42</v>
      </c>
      <c r="B398" s="27" t="s">
        <v>1238</v>
      </c>
      <c r="C398" s="27" t="s">
        <v>1239</v>
      </c>
      <c r="D398" s="27" t="s">
        <v>1240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99100</f>
        <v>99100.0</v>
      </c>
      <c r="L398" s="34" t="s">
        <v>48</v>
      </c>
      <c r="M398" s="33" t="n">
        <f>100300</f>
        <v>100300.0</v>
      </c>
      <c r="N398" s="34" t="s">
        <v>103</v>
      </c>
      <c r="O398" s="33" t="n">
        <f>95400</f>
        <v>95400.0</v>
      </c>
      <c r="P398" s="34" t="s">
        <v>70</v>
      </c>
      <c r="Q398" s="33" t="n">
        <f>96100</f>
        <v>96100.0</v>
      </c>
      <c r="R398" s="34" t="s">
        <v>50</v>
      </c>
      <c r="S398" s="35" t="n">
        <f>98047.37</f>
        <v>98047.37</v>
      </c>
      <c r="T398" s="32" t="n">
        <f>117074</f>
        <v>117074.0</v>
      </c>
      <c r="U398" s="32" t="n">
        <f>31923</f>
        <v>31923.0</v>
      </c>
      <c r="V398" s="32" t="n">
        <f>11482111016</f>
        <v>1.1482111016E10</v>
      </c>
      <c r="W398" s="32" t="n">
        <f>3134275516</f>
        <v>3.134275516E9</v>
      </c>
      <c r="X398" s="36" t="n">
        <f>19</f>
        <v>19.0</v>
      </c>
    </row>
    <row r="399">
      <c r="A399" s="27" t="s">
        <v>42</v>
      </c>
      <c r="B399" s="27" t="s">
        <v>1241</v>
      </c>
      <c r="C399" s="27" t="s">
        <v>1242</v>
      </c>
      <c r="D399" s="27" t="s">
        <v>1243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90600</f>
        <v>90600.0</v>
      </c>
      <c r="L399" s="34" t="s">
        <v>48</v>
      </c>
      <c r="M399" s="33" t="n">
        <f>92900</f>
        <v>92900.0</v>
      </c>
      <c r="N399" s="34" t="s">
        <v>103</v>
      </c>
      <c r="O399" s="33" t="n">
        <f>88900</f>
        <v>88900.0</v>
      </c>
      <c r="P399" s="34" t="s">
        <v>48</v>
      </c>
      <c r="Q399" s="33" t="n">
        <f>90800</f>
        <v>90800.0</v>
      </c>
      <c r="R399" s="34" t="s">
        <v>50</v>
      </c>
      <c r="S399" s="35" t="n">
        <f>90894.74</f>
        <v>90894.74</v>
      </c>
      <c r="T399" s="32" t="n">
        <f>313593</f>
        <v>313593.0</v>
      </c>
      <c r="U399" s="32" t="n">
        <f>73272</f>
        <v>73272.0</v>
      </c>
      <c r="V399" s="32" t="n">
        <f>28466172730</f>
        <v>2.846617273E10</v>
      </c>
      <c r="W399" s="32" t="n">
        <f>6645444930</f>
        <v>6.64544493E9</v>
      </c>
      <c r="X399" s="36" t="n">
        <f>19</f>
        <v>19.0</v>
      </c>
    </row>
    <row r="400">
      <c r="A400" s="27" t="s">
        <v>42</v>
      </c>
      <c r="B400" s="27" t="s">
        <v>1244</v>
      </c>
      <c r="C400" s="27" t="s">
        <v>1245</v>
      </c>
      <c r="D400" s="27" t="s">
        <v>1246</v>
      </c>
      <c r="E400" s="28" t="s">
        <v>46</v>
      </c>
      <c r="F400" s="29" t="s">
        <v>46</v>
      </c>
      <c r="G400" s="30" t="s">
        <v>46</v>
      </c>
      <c r="H400" s="31"/>
      <c r="I400" s="31" t="s">
        <v>415</v>
      </c>
      <c r="J400" s="32" t="n">
        <v>1.0</v>
      </c>
      <c r="K400" s="33" t="n">
        <f>146100</f>
        <v>146100.0</v>
      </c>
      <c r="L400" s="34" t="s">
        <v>48</v>
      </c>
      <c r="M400" s="33" t="n">
        <f>150500</f>
        <v>150500.0</v>
      </c>
      <c r="N400" s="34" t="s">
        <v>103</v>
      </c>
      <c r="O400" s="33" t="n">
        <f>143800</f>
        <v>143800.0</v>
      </c>
      <c r="P400" s="34" t="s">
        <v>48</v>
      </c>
      <c r="Q400" s="33" t="n">
        <f>146100</f>
        <v>146100.0</v>
      </c>
      <c r="R400" s="34" t="s">
        <v>50</v>
      </c>
      <c r="S400" s="35" t="n">
        <f>146921.05</f>
        <v>146921.05</v>
      </c>
      <c r="T400" s="32" t="n">
        <f>19882</f>
        <v>19882.0</v>
      </c>
      <c r="U400" s="32" t="n">
        <f>2917</f>
        <v>2917.0</v>
      </c>
      <c r="V400" s="32" t="n">
        <f>2917525221</f>
        <v>2.917525221E9</v>
      </c>
      <c r="W400" s="32" t="n">
        <f>428172621</f>
        <v>4.28172621E8</v>
      </c>
      <c r="X400" s="36" t="n">
        <f>19</f>
        <v>19.0</v>
      </c>
    </row>
    <row r="401">
      <c r="A401" s="27" t="s">
        <v>42</v>
      </c>
      <c r="B401" s="27" t="s">
        <v>1247</v>
      </c>
      <c r="C401" s="27" t="s">
        <v>1248</v>
      </c>
      <c r="D401" s="27" t="s">
        <v>1249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118700</f>
        <v>118700.0</v>
      </c>
      <c r="L401" s="34" t="s">
        <v>48</v>
      </c>
      <c r="M401" s="33" t="n">
        <f>125300</f>
        <v>125300.0</v>
      </c>
      <c r="N401" s="34" t="s">
        <v>103</v>
      </c>
      <c r="O401" s="33" t="n">
        <f>118000</f>
        <v>118000.0</v>
      </c>
      <c r="P401" s="34" t="s">
        <v>48</v>
      </c>
      <c r="Q401" s="33" t="n">
        <f>121000</f>
        <v>121000.0</v>
      </c>
      <c r="R401" s="34" t="s">
        <v>50</v>
      </c>
      <c r="S401" s="35" t="n">
        <f>122378.95</f>
        <v>122378.95</v>
      </c>
      <c r="T401" s="32" t="n">
        <f>36313</f>
        <v>36313.0</v>
      </c>
      <c r="U401" s="32" t="n">
        <f>3516</f>
        <v>3516.0</v>
      </c>
      <c r="V401" s="32" t="n">
        <f>4435296365</f>
        <v>4.435296365E9</v>
      </c>
      <c r="W401" s="32" t="n">
        <f>429844365</f>
        <v>4.29844365E8</v>
      </c>
      <c r="X401" s="36" t="n">
        <f>19</f>
        <v>19.0</v>
      </c>
    </row>
    <row r="402">
      <c r="A402" s="27" t="s">
        <v>42</v>
      </c>
      <c r="B402" s="27" t="s">
        <v>1250</v>
      </c>
      <c r="C402" s="27" t="s">
        <v>1251</v>
      </c>
      <c r="D402" s="27" t="s">
        <v>1252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116500</f>
        <v>116500.0</v>
      </c>
      <c r="L402" s="34" t="s">
        <v>48</v>
      </c>
      <c r="M402" s="33" t="n">
        <f>122200</f>
        <v>122200.0</v>
      </c>
      <c r="N402" s="34" t="s">
        <v>103</v>
      </c>
      <c r="O402" s="33" t="n">
        <f>113100</f>
        <v>113100.0</v>
      </c>
      <c r="P402" s="34" t="s">
        <v>70</v>
      </c>
      <c r="Q402" s="33" t="n">
        <f>113900</f>
        <v>113900.0</v>
      </c>
      <c r="R402" s="34" t="s">
        <v>50</v>
      </c>
      <c r="S402" s="35" t="n">
        <f>118852.63</f>
        <v>118852.63</v>
      </c>
      <c r="T402" s="32" t="n">
        <f>36466</f>
        <v>36466.0</v>
      </c>
      <c r="U402" s="32" t="n">
        <f>3850</f>
        <v>3850.0</v>
      </c>
      <c r="V402" s="32" t="n">
        <f>4317340932</f>
        <v>4.317340932E9</v>
      </c>
      <c r="W402" s="32" t="n">
        <f>455310432</f>
        <v>4.55310432E8</v>
      </c>
      <c r="X402" s="36" t="n">
        <f>19</f>
        <v>19.0</v>
      </c>
    </row>
    <row r="403">
      <c r="A403" s="27" t="s">
        <v>42</v>
      </c>
      <c r="B403" s="27" t="s">
        <v>1253</v>
      </c>
      <c r="C403" s="27" t="s">
        <v>1254</v>
      </c>
      <c r="D403" s="27" t="s">
        <v>1255</v>
      </c>
      <c r="E403" s="28" t="s">
        <v>46</v>
      </c>
      <c r="F403" s="29" t="s">
        <v>46</v>
      </c>
      <c r="G403" s="30" t="s">
        <v>46</v>
      </c>
      <c r="H403" s="31"/>
      <c r="I403" s="31" t="s">
        <v>415</v>
      </c>
      <c r="J403" s="32" t="n">
        <v>1.0</v>
      </c>
      <c r="K403" s="33" t="n">
        <f>13330</f>
        <v>13330.0</v>
      </c>
      <c r="L403" s="34" t="s">
        <v>48</v>
      </c>
      <c r="M403" s="33" t="n">
        <f>14230</f>
        <v>14230.0</v>
      </c>
      <c r="N403" s="34" t="s">
        <v>103</v>
      </c>
      <c r="O403" s="33" t="n">
        <f>13270</f>
        <v>13270.0</v>
      </c>
      <c r="P403" s="34" t="s">
        <v>48</v>
      </c>
      <c r="Q403" s="33" t="n">
        <f>13940</f>
        <v>13940.0</v>
      </c>
      <c r="R403" s="34" t="s">
        <v>50</v>
      </c>
      <c r="S403" s="35" t="n">
        <f>13891.84</f>
        <v>13891.84</v>
      </c>
      <c r="T403" s="32" t="n">
        <f>35426</f>
        <v>35426.0</v>
      </c>
      <c r="U403" s="32" t="str">
        <f>"－"</f>
        <v>－</v>
      </c>
      <c r="V403" s="32" t="n">
        <f>489981930</f>
        <v>4.8998193E8</v>
      </c>
      <c r="W403" s="32" t="str">
        <f>"－"</f>
        <v>－</v>
      </c>
      <c r="X403" s="36" t="n">
        <f>19</f>
        <v>19.0</v>
      </c>
    </row>
    <row r="404">
      <c r="A404" s="27" t="s">
        <v>42</v>
      </c>
      <c r="B404" s="27" t="s">
        <v>1256</v>
      </c>
      <c r="C404" s="27" t="s">
        <v>1257</v>
      </c>
      <c r="D404" s="27" t="s">
        <v>1258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175400</f>
        <v>175400.0</v>
      </c>
      <c r="L404" s="34" t="s">
        <v>48</v>
      </c>
      <c r="M404" s="33" t="n">
        <f>176400</f>
        <v>176400.0</v>
      </c>
      <c r="N404" s="34" t="s">
        <v>103</v>
      </c>
      <c r="O404" s="33" t="n">
        <f>165700</f>
        <v>165700.0</v>
      </c>
      <c r="P404" s="34" t="s">
        <v>70</v>
      </c>
      <c r="Q404" s="33" t="n">
        <f>167100</f>
        <v>167100.0</v>
      </c>
      <c r="R404" s="34" t="s">
        <v>50</v>
      </c>
      <c r="S404" s="35" t="n">
        <f>172021.05</f>
        <v>172021.05</v>
      </c>
      <c r="T404" s="32" t="n">
        <f>233264</f>
        <v>233264.0</v>
      </c>
      <c r="U404" s="32" t="n">
        <f>52314</f>
        <v>52314.0</v>
      </c>
      <c r="V404" s="32" t="n">
        <f>39969061286</f>
        <v>3.9969061286E10</v>
      </c>
      <c r="W404" s="32" t="n">
        <f>8968430486</f>
        <v>8.968430486E9</v>
      </c>
      <c r="X404" s="36" t="n">
        <f>19</f>
        <v>19.0</v>
      </c>
    </row>
    <row r="405">
      <c r="A405" s="27" t="s">
        <v>42</v>
      </c>
      <c r="B405" s="27" t="s">
        <v>1259</v>
      </c>
      <c r="C405" s="27" t="s">
        <v>1260</v>
      </c>
      <c r="D405" s="27" t="s">
        <v>1261</v>
      </c>
      <c r="E405" s="28" t="s">
        <v>46</v>
      </c>
      <c r="F405" s="29" t="s">
        <v>46</v>
      </c>
      <c r="G405" s="30" t="s">
        <v>46</v>
      </c>
      <c r="H405" s="31"/>
      <c r="I405" s="31" t="s">
        <v>415</v>
      </c>
      <c r="J405" s="32" t="n">
        <v>1.0</v>
      </c>
      <c r="K405" s="33" t="n">
        <f>127600</f>
        <v>127600.0</v>
      </c>
      <c r="L405" s="34" t="s">
        <v>48</v>
      </c>
      <c r="M405" s="33" t="n">
        <f>130400</f>
        <v>130400.0</v>
      </c>
      <c r="N405" s="34" t="s">
        <v>65</v>
      </c>
      <c r="O405" s="33" t="n">
        <f>122500</f>
        <v>122500.0</v>
      </c>
      <c r="P405" s="34" t="s">
        <v>70</v>
      </c>
      <c r="Q405" s="33" t="n">
        <f>122800</f>
        <v>122800.0</v>
      </c>
      <c r="R405" s="34" t="s">
        <v>50</v>
      </c>
      <c r="S405" s="35" t="n">
        <f>127726.32</f>
        <v>127726.32</v>
      </c>
      <c r="T405" s="32" t="n">
        <f>57216</f>
        <v>57216.0</v>
      </c>
      <c r="U405" s="32" t="n">
        <f>2823</f>
        <v>2823.0</v>
      </c>
      <c r="V405" s="32" t="n">
        <f>7283486629</f>
        <v>7.283486629E9</v>
      </c>
      <c r="W405" s="32" t="n">
        <f>360092729</f>
        <v>3.60092729E8</v>
      </c>
      <c r="X405" s="36" t="n">
        <f>19</f>
        <v>19.0</v>
      </c>
    </row>
    <row r="406">
      <c r="A406" s="27" t="s">
        <v>42</v>
      </c>
      <c r="B406" s="27" t="s">
        <v>1262</v>
      </c>
      <c r="C406" s="27" t="s">
        <v>1263</v>
      </c>
      <c r="D406" s="27" t="s">
        <v>1264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159600</f>
        <v>159600.0</v>
      </c>
      <c r="L406" s="34" t="s">
        <v>48</v>
      </c>
      <c r="M406" s="33" t="n">
        <f>163800</f>
        <v>163800.0</v>
      </c>
      <c r="N406" s="34" t="s">
        <v>103</v>
      </c>
      <c r="O406" s="33" t="n">
        <f>154300</f>
        <v>154300.0</v>
      </c>
      <c r="P406" s="34" t="s">
        <v>70</v>
      </c>
      <c r="Q406" s="33" t="n">
        <f>157000</f>
        <v>157000.0</v>
      </c>
      <c r="R406" s="34" t="s">
        <v>50</v>
      </c>
      <c r="S406" s="35" t="n">
        <f>158942.11</f>
        <v>158942.11</v>
      </c>
      <c r="T406" s="32" t="n">
        <f>117394</f>
        <v>117394.0</v>
      </c>
      <c r="U406" s="32" t="n">
        <f>21234</f>
        <v>21234.0</v>
      </c>
      <c r="V406" s="32" t="n">
        <f>18603773404</f>
        <v>1.8603773404E10</v>
      </c>
      <c r="W406" s="32" t="n">
        <f>3375918604</f>
        <v>3.375918604E9</v>
      </c>
      <c r="X406" s="36" t="n">
        <f>19</f>
        <v>19.0</v>
      </c>
    </row>
    <row r="407">
      <c r="A407" s="27" t="s">
        <v>42</v>
      </c>
      <c r="B407" s="27" t="s">
        <v>1265</v>
      </c>
      <c r="C407" s="27" t="s">
        <v>1266</v>
      </c>
      <c r="D407" s="27" t="s">
        <v>1267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62300</f>
        <v>62300.0</v>
      </c>
      <c r="L407" s="34" t="s">
        <v>48</v>
      </c>
      <c r="M407" s="33" t="n">
        <f>64000</f>
        <v>64000.0</v>
      </c>
      <c r="N407" s="34" t="s">
        <v>65</v>
      </c>
      <c r="O407" s="33" t="n">
        <f>59100</f>
        <v>59100.0</v>
      </c>
      <c r="P407" s="34" t="s">
        <v>70</v>
      </c>
      <c r="Q407" s="33" t="n">
        <f>60000</f>
        <v>60000.0</v>
      </c>
      <c r="R407" s="34" t="s">
        <v>50</v>
      </c>
      <c r="S407" s="35" t="n">
        <f>62284.21</f>
        <v>62284.21</v>
      </c>
      <c r="T407" s="32" t="n">
        <f>210455</f>
        <v>210455.0</v>
      </c>
      <c r="U407" s="32" t="n">
        <f>38564</f>
        <v>38564.0</v>
      </c>
      <c r="V407" s="32" t="n">
        <f>13060981279</f>
        <v>1.3060981279E10</v>
      </c>
      <c r="W407" s="32" t="n">
        <f>2398181179</f>
        <v>2.398181179E9</v>
      </c>
      <c r="X407" s="36" t="n">
        <f>19</f>
        <v>19.0</v>
      </c>
    </row>
    <row r="408">
      <c r="A408" s="27" t="s">
        <v>42</v>
      </c>
      <c r="B408" s="27" t="s">
        <v>1268</v>
      </c>
      <c r="C408" s="27" t="s">
        <v>1269</v>
      </c>
      <c r="D408" s="27" t="s">
        <v>1270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3515</f>
        <v>3515.0</v>
      </c>
      <c r="L408" s="34" t="s">
        <v>48</v>
      </c>
      <c r="M408" s="33" t="n">
        <f>3652</f>
        <v>3652.0</v>
      </c>
      <c r="N408" s="34" t="s">
        <v>206</v>
      </c>
      <c r="O408" s="33" t="n">
        <f>3432</f>
        <v>3432.0</v>
      </c>
      <c r="P408" s="34" t="s">
        <v>257</v>
      </c>
      <c r="Q408" s="33" t="n">
        <f>3605</f>
        <v>3605.0</v>
      </c>
      <c r="R408" s="34" t="s">
        <v>50</v>
      </c>
      <c r="S408" s="35" t="n">
        <f>3568.53</f>
        <v>3568.53</v>
      </c>
      <c r="T408" s="32" t="n">
        <f>405622</f>
        <v>405622.0</v>
      </c>
      <c r="U408" s="32" t="n">
        <f>152</f>
        <v>152.0</v>
      </c>
      <c r="V408" s="32" t="n">
        <f>1443719439</f>
        <v>1.443719439E9</v>
      </c>
      <c r="W408" s="32" t="n">
        <f>548116</f>
        <v>548116.0</v>
      </c>
      <c r="X408" s="36" t="n">
        <f>19</f>
        <v>19.0</v>
      </c>
    </row>
    <row r="409">
      <c r="A409" s="27" t="s">
        <v>42</v>
      </c>
      <c r="B409" s="27" t="s">
        <v>1271</v>
      </c>
      <c r="C409" s="27" t="s">
        <v>1272</v>
      </c>
      <c r="D409" s="27" t="s">
        <v>1273</v>
      </c>
      <c r="E409" s="28" t="s">
        <v>46</v>
      </c>
      <c r="F409" s="29" t="s">
        <v>46</v>
      </c>
      <c r="G409" s="30" t="s">
        <v>46</v>
      </c>
      <c r="H409" s="31"/>
      <c r="I409" s="31" t="s">
        <v>415</v>
      </c>
      <c r="J409" s="32" t="n">
        <v>1.0</v>
      </c>
      <c r="K409" s="33" t="n">
        <f>109400</f>
        <v>109400.0</v>
      </c>
      <c r="L409" s="34" t="s">
        <v>48</v>
      </c>
      <c r="M409" s="33" t="n">
        <f>110800</f>
        <v>110800.0</v>
      </c>
      <c r="N409" s="34" t="s">
        <v>103</v>
      </c>
      <c r="O409" s="33" t="n">
        <f>105900</f>
        <v>105900.0</v>
      </c>
      <c r="P409" s="34" t="s">
        <v>70</v>
      </c>
      <c r="Q409" s="33" t="n">
        <f>107700</f>
        <v>107700.0</v>
      </c>
      <c r="R409" s="34" t="s">
        <v>50</v>
      </c>
      <c r="S409" s="35" t="n">
        <f>108736.84</f>
        <v>108736.84</v>
      </c>
      <c r="T409" s="32" t="n">
        <f>25747</f>
        <v>25747.0</v>
      </c>
      <c r="U409" s="32" t="n">
        <f>2412</f>
        <v>2412.0</v>
      </c>
      <c r="V409" s="32" t="n">
        <f>2794772988</f>
        <v>2.794772988E9</v>
      </c>
      <c r="W409" s="32" t="n">
        <f>262066888</f>
        <v>2.62066888E8</v>
      </c>
      <c r="X409" s="36" t="n">
        <f>19</f>
        <v>19.0</v>
      </c>
    </row>
    <row r="410">
      <c r="A410" s="27" t="s">
        <v>42</v>
      </c>
      <c r="B410" s="27" t="s">
        <v>1274</v>
      </c>
      <c r="C410" s="27" t="s">
        <v>1275</v>
      </c>
      <c r="D410" s="27" t="s">
        <v>1276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124400</f>
        <v>124400.0</v>
      </c>
      <c r="L410" s="34" t="s">
        <v>48</v>
      </c>
      <c r="M410" s="33" t="n">
        <f>125400</f>
        <v>125400.0</v>
      </c>
      <c r="N410" s="34" t="s">
        <v>75</v>
      </c>
      <c r="O410" s="33" t="n">
        <f>113000</f>
        <v>113000.0</v>
      </c>
      <c r="P410" s="34" t="s">
        <v>70</v>
      </c>
      <c r="Q410" s="33" t="n">
        <f>115400</f>
        <v>115400.0</v>
      </c>
      <c r="R410" s="34" t="s">
        <v>50</v>
      </c>
      <c r="S410" s="35" t="n">
        <f>121473.68</f>
        <v>121473.68</v>
      </c>
      <c r="T410" s="32" t="n">
        <f>304668</f>
        <v>304668.0</v>
      </c>
      <c r="U410" s="32" t="n">
        <f>50768</f>
        <v>50768.0</v>
      </c>
      <c r="V410" s="32" t="n">
        <f>36818068869</f>
        <v>3.6818068869E10</v>
      </c>
      <c r="W410" s="32" t="n">
        <f>6147734169</f>
        <v>6.147734169E9</v>
      </c>
      <c r="X410" s="36" t="n">
        <f>19</f>
        <v>19.0</v>
      </c>
    </row>
    <row r="411">
      <c r="A411" s="27" t="s">
        <v>42</v>
      </c>
      <c r="B411" s="27" t="s">
        <v>1277</v>
      </c>
      <c r="C411" s="27" t="s">
        <v>1278</v>
      </c>
      <c r="D411" s="27" t="s">
        <v>1279</v>
      </c>
      <c r="E411" s="28" t="s">
        <v>46</v>
      </c>
      <c r="F411" s="29" t="s">
        <v>46</v>
      </c>
      <c r="G411" s="30" t="s">
        <v>46</v>
      </c>
      <c r="H411" s="31"/>
      <c r="I411" s="31" t="s">
        <v>415</v>
      </c>
      <c r="J411" s="32" t="n">
        <v>1.0</v>
      </c>
      <c r="K411" s="33" t="n">
        <f>76600</f>
        <v>76600.0</v>
      </c>
      <c r="L411" s="34" t="s">
        <v>48</v>
      </c>
      <c r="M411" s="33" t="n">
        <f>78300</f>
        <v>78300.0</v>
      </c>
      <c r="N411" s="34" t="s">
        <v>65</v>
      </c>
      <c r="O411" s="33" t="n">
        <f>74700</f>
        <v>74700.0</v>
      </c>
      <c r="P411" s="34" t="s">
        <v>70</v>
      </c>
      <c r="Q411" s="33" t="n">
        <f>74900</f>
        <v>74900.0</v>
      </c>
      <c r="R411" s="34" t="s">
        <v>50</v>
      </c>
      <c r="S411" s="35" t="n">
        <f>76457.89</f>
        <v>76457.89</v>
      </c>
      <c r="T411" s="32" t="n">
        <f>41225</f>
        <v>41225.0</v>
      </c>
      <c r="U411" s="32" t="n">
        <f>3337</f>
        <v>3337.0</v>
      </c>
      <c r="V411" s="32" t="n">
        <f>3154746903</f>
        <v>3.154746903E9</v>
      </c>
      <c r="W411" s="32" t="n">
        <f>255051503</f>
        <v>2.55051503E8</v>
      </c>
      <c r="X411" s="36" t="n">
        <f>19</f>
        <v>19.0</v>
      </c>
    </row>
    <row r="412">
      <c r="A412" s="27" t="s">
        <v>42</v>
      </c>
      <c r="B412" s="27" t="s">
        <v>1280</v>
      </c>
      <c r="C412" s="27" t="s">
        <v>1281</v>
      </c>
      <c r="D412" s="27" t="s">
        <v>1282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50800</f>
        <v>50800.0</v>
      </c>
      <c r="L412" s="34" t="s">
        <v>48</v>
      </c>
      <c r="M412" s="33" t="n">
        <f>51900</f>
        <v>51900.0</v>
      </c>
      <c r="N412" s="34" t="s">
        <v>103</v>
      </c>
      <c r="O412" s="33" t="n">
        <f>49300</f>
        <v>49300.0</v>
      </c>
      <c r="P412" s="34" t="s">
        <v>155</v>
      </c>
      <c r="Q412" s="33" t="n">
        <f>49950</f>
        <v>49950.0</v>
      </c>
      <c r="R412" s="34" t="s">
        <v>50</v>
      </c>
      <c r="S412" s="35" t="n">
        <f>50760.53</f>
        <v>50760.53</v>
      </c>
      <c r="T412" s="32" t="n">
        <f>92323</f>
        <v>92323.0</v>
      </c>
      <c r="U412" s="32" t="n">
        <f>16962</f>
        <v>16962.0</v>
      </c>
      <c r="V412" s="32" t="n">
        <f>4677962503</f>
        <v>4.677962503E9</v>
      </c>
      <c r="W412" s="32" t="n">
        <f>860952953</f>
        <v>8.60952953E8</v>
      </c>
      <c r="X412" s="36" t="n">
        <f>19</f>
        <v>19.0</v>
      </c>
    </row>
    <row r="413">
      <c r="A413" s="27" t="s">
        <v>42</v>
      </c>
      <c r="B413" s="27" t="s">
        <v>1283</v>
      </c>
      <c r="C413" s="27" t="s">
        <v>1284</v>
      </c>
      <c r="D413" s="27" t="s">
        <v>1285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133500</f>
        <v>133500.0</v>
      </c>
      <c r="L413" s="34" t="s">
        <v>48</v>
      </c>
      <c r="M413" s="33" t="n">
        <f>138400</f>
        <v>138400.0</v>
      </c>
      <c r="N413" s="34" t="s">
        <v>103</v>
      </c>
      <c r="O413" s="33" t="n">
        <f>129600</f>
        <v>129600.0</v>
      </c>
      <c r="P413" s="34" t="s">
        <v>70</v>
      </c>
      <c r="Q413" s="33" t="n">
        <f>131500</f>
        <v>131500.0</v>
      </c>
      <c r="R413" s="34" t="s">
        <v>50</v>
      </c>
      <c r="S413" s="35" t="n">
        <f>134452.63</f>
        <v>134452.63</v>
      </c>
      <c r="T413" s="32" t="n">
        <f>83768</f>
        <v>83768.0</v>
      </c>
      <c r="U413" s="32" t="n">
        <f>16748</f>
        <v>16748.0</v>
      </c>
      <c r="V413" s="32" t="n">
        <f>11237241031</f>
        <v>1.1237241031E10</v>
      </c>
      <c r="W413" s="32" t="n">
        <f>2246526331</f>
        <v>2.246526331E9</v>
      </c>
      <c r="X413" s="36" t="n">
        <f>19</f>
        <v>19.0</v>
      </c>
    </row>
    <row r="414">
      <c r="A414" s="27" t="s">
        <v>42</v>
      </c>
      <c r="B414" s="27" t="s">
        <v>1286</v>
      </c>
      <c r="C414" s="27" t="s">
        <v>1287</v>
      </c>
      <c r="D414" s="27" t="s">
        <v>1288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169000</f>
        <v>169000.0</v>
      </c>
      <c r="L414" s="34" t="s">
        <v>48</v>
      </c>
      <c r="M414" s="33" t="n">
        <f>175400</f>
        <v>175400.0</v>
      </c>
      <c r="N414" s="34" t="s">
        <v>103</v>
      </c>
      <c r="O414" s="33" t="n">
        <f>164400</f>
        <v>164400.0</v>
      </c>
      <c r="P414" s="34" t="s">
        <v>50</v>
      </c>
      <c r="Q414" s="33" t="n">
        <f>166600</f>
        <v>166600.0</v>
      </c>
      <c r="R414" s="34" t="s">
        <v>50</v>
      </c>
      <c r="S414" s="35" t="n">
        <f>170642.11</f>
        <v>170642.11</v>
      </c>
      <c r="T414" s="32" t="n">
        <f>36855</f>
        <v>36855.0</v>
      </c>
      <c r="U414" s="32" t="n">
        <f>6346</f>
        <v>6346.0</v>
      </c>
      <c r="V414" s="32" t="n">
        <f>6270837513</f>
        <v>6.270837513E9</v>
      </c>
      <c r="W414" s="32" t="n">
        <f>1080834613</f>
        <v>1.080834613E9</v>
      </c>
      <c r="X414" s="36" t="n">
        <f>19</f>
        <v>19.0</v>
      </c>
    </row>
    <row r="415">
      <c r="A415" s="27" t="s">
        <v>42</v>
      </c>
      <c r="B415" s="27" t="s">
        <v>1289</v>
      </c>
      <c r="C415" s="27" t="s">
        <v>1290</v>
      </c>
      <c r="D415" s="27" t="s">
        <v>1291</v>
      </c>
      <c r="E415" s="28" t="s">
        <v>46</v>
      </c>
      <c r="F415" s="29" t="s">
        <v>46</v>
      </c>
      <c r="G415" s="30" t="s">
        <v>46</v>
      </c>
      <c r="H415" s="31"/>
      <c r="I415" s="31" t="s">
        <v>415</v>
      </c>
      <c r="J415" s="32" t="n">
        <v>1.0</v>
      </c>
      <c r="K415" s="33" t="n">
        <f>116300</f>
        <v>116300.0</v>
      </c>
      <c r="L415" s="34" t="s">
        <v>48</v>
      </c>
      <c r="M415" s="33" t="n">
        <f>121100</f>
        <v>121100.0</v>
      </c>
      <c r="N415" s="34" t="s">
        <v>103</v>
      </c>
      <c r="O415" s="33" t="n">
        <f>115400</f>
        <v>115400.0</v>
      </c>
      <c r="P415" s="34" t="s">
        <v>48</v>
      </c>
      <c r="Q415" s="33" t="n">
        <f>115900</f>
        <v>115900.0</v>
      </c>
      <c r="R415" s="34" t="s">
        <v>50</v>
      </c>
      <c r="S415" s="35" t="n">
        <f>118310.53</f>
        <v>118310.53</v>
      </c>
      <c r="T415" s="32" t="n">
        <f>20211</f>
        <v>20211.0</v>
      </c>
      <c r="U415" s="32" t="n">
        <f>2079</f>
        <v>2079.0</v>
      </c>
      <c r="V415" s="32" t="n">
        <f>2384198038</f>
        <v>2.384198038E9</v>
      </c>
      <c r="W415" s="32" t="n">
        <f>245479738</f>
        <v>2.45479738E8</v>
      </c>
      <c r="X415" s="36" t="n">
        <f>19</f>
        <v>19.0</v>
      </c>
    </row>
    <row r="416">
      <c r="A416" s="27" t="s">
        <v>42</v>
      </c>
      <c r="B416" s="27" t="s">
        <v>1292</v>
      </c>
      <c r="C416" s="27" t="s">
        <v>1293</v>
      </c>
      <c r="D416" s="27" t="s">
        <v>1294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10.0</v>
      </c>
      <c r="K416" s="33" t="n">
        <f>252.5</f>
        <v>252.5</v>
      </c>
      <c r="L416" s="34" t="s">
        <v>48</v>
      </c>
      <c r="M416" s="33" t="n">
        <f>268</f>
        <v>268.0</v>
      </c>
      <c r="N416" s="34" t="s">
        <v>155</v>
      </c>
      <c r="O416" s="33" t="n">
        <f>250</f>
        <v>250.0</v>
      </c>
      <c r="P416" s="34" t="s">
        <v>48</v>
      </c>
      <c r="Q416" s="33" t="n">
        <f>262.2</f>
        <v>262.2</v>
      </c>
      <c r="R416" s="34" t="s">
        <v>50</v>
      </c>
      <c r="S416" s="35" t="n">
        <f>259.64</f>
        <v>259.64</v>
      </c>
      <c r="T416" s="32" t="n">
        <f>1127350</f>
        <v>1127350.0</v>
      </c>
      <c r="U416" s="32" t="n">
        <f>320</f>
        <v>320.0</v>
      </c>
      <c r="V416" s="32" t="n">
        <f>291788616</f>
        <v>2.91788616E8</v>
      </c>
      <c r="W416" s="32" t="n">
        <f>79370</f>
        <v>79370.0</v>
      </c>
      <c r="X416" s="36" t="n">
        <f>19</f>
        <v>19.0</v>
      </c>
    </row>
    <row r="417">
      <c r="A417" s="27" t="s">
        <v>42</v>
      </c>
      <c r="B417" s="27" t="s">
        <v>1295</v>
      </c>
      <c r="C417" s="27" t="s">
        <v>1296</v>
      </c>
      <c r="D417" s="27" t="s">
        <v>1297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1.0</v>
      </c>
      <c r="K417" s="33" t="n">
        <f>94000</f>
        <v>94000.0</v>
      </c>
      <c r="L417" s="34" t="s">
        <v>48</v>
      </c>
      <c r="M417" s="33" t="n">
        <f>96800</f>
        <v>96800.0</v>
      </c>
      <c r="N417" s="34" t="s">
        <v>103</v>
      </c>
      <c r="O417" s="33" t="n">
        <f>92700</f>
        <v>92700.0</v>
      </c>
      <c r="P417" s="34" t="s">
        <v>48</v>
      </c>
      <c r="Q417" s="33" t="n">
        <f>93500</f>
        <v>93500.0</v>
      </c>
      <c r="R417" s="34" t="s">
        <v>50</v>
      </c>
      <c r="S417" s="35" t="n">
        <f>94836.84</f>
        <v>94836.84</v>
      </c>
      <c r="T417" s="32" t="n">
        <f>76447</f>
        <v>76447.0</v>
      </c>
      <c r="U417" s="32" t="n">
        <f>11737</f>
        <v>11737.0</v>
      </c>
      <c r="V417" s="32" t="n">
        <f>7240577004</f>
        <v>7.240577004E9</v>
      </c>
      <c r="W417" s="32" t="n">
        <f>1110473204</f>
        <v>1.110473204E9</v>
      </c>
      <c r="X417" s="36" t="n">
        <f>19</f>
        <v>19.0</v>
      </c>
    </row>
    <row r="418">
      <c r="A418" s="27" t="s">
        <v>42</v>
      </c>
      <c r="B418" s="27" t="s">
        <v>1298</v>
      </c>
      <c r="C418" s="27" t="s">
        <v>1299</v>
      </c>
      <c r="D418" s="27" t="s">
        <v>1300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10.0</v>
      </c>
      <c r="K418" s="33" t="n">
        <f>662</f>
        <v>662.0</v>
      </c>
      <c r="L418" s="34" t="s">
        <v>48</v>
      </c>
      <c r="M418" s="33" t="n">
        <f>702.4</f>
        <v>702.4</v>
      </c>
      <c r="N418" s="34" t="s">
        <v>60</v>
      </c>
      <c r="O418" s="33" t="n">
        <f>643</f>
        <v>643.0</v>
      </c>
      <c r="P418" s="34" t="s">
        <v>75</v>
      </c>
      <c r="Q418" s="33" t="n">
        <f>687</f>
        <v>687.0</v>
      </c>
      <c r="R418" s="34" t="s">
        <v>50</v>
      </c>
      <c r="S418" s="35" t="n">
        <f>678.81</f>
        <v>678.81</v>
      </c>
      <c r="T418" s="32" t="n">
        <f>276840</f>
        <v>276840.0</v>
      </c>
      <c r="U418" s="32" t="str">
        <f>"－"</f>
        <v>－</v>
      </c>
      <c r="V418" s="32" t="n">
        <f>189290326</f>
        <v>1.89290326E8</v>
      </c>
      <c r="W418" s="32" t="str">
        <f>"－"</f>
        <v>－</v>
      </c>
      <c r="X418" s="36" t="n">
        <f>19</f>
        <v>19.0</v>
      </c>
    </row>
    <row r="419">
      <c r="A419" s="27" t="s">
        <v>42</v>
      </c>
      <c r="B419" s="27" t="s">
        <v>1301</v>
      </c>
      <c r="C419" s="27" t="s">
        <v>1302</v>
      </c>
      <c r="D419" s="27" t="s">
        <v>1303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2780</f>
        <v>2780.0</v>
      </c>
      <c r="L419" s="34" t="s">
        <v>48</v>
      </c>
      <c r="M419" s="33" t="n">
        <f>2940</f>
        <v>2940.0</v>
      </c>
      <c r="N419" s="34" t="s">
        <v>65</v>
      </c>
      <c r="O419" s="33" t="n">
        <f>2746</f>
        <v>2746.0</v>
      </c>
      <c r="P419" s="34" t="s">
        <v>48</v>
      </c>
      <c r="Q419" s="33" t="n">
        <f>2845</f>
        <v>2845.0</v>
      </c>
      <c r="R419" s="34" t="s">
        <v>50</v>
      </c>
      <c r="S419" s="35" t="n">
        <f>2850.58</f>
        <v>2850.58</v>
      </c>
      <c r="T419" s="32" t="n">
        <f>1155440</f>
        <v>1155440.0</v>
      </c>
      <c r="U419" s="32" t="n">
        <f>453714</f>
        <v>453714.0</v>
      </c>
      <c r="V419" s="32" t="n">
        <f>3268895770</f>
        <v>3.26889577E9</v>
      </c>
      <c r="W419" s="32" t="n">
        <f>1285921278</f>
        <v>1.285921278E9</v>
      </c>
      <c r="X419" s="36" t="n">
        <f>19</f>
        <v>19.0</v>
      </c>
    </row>
    <row r="420">
      <c r="A420" s="27" t="s">
        <v>42</v>
      </c>
      <c r="B420" s="27" t="s">
        <v>1304</v>
      </c>
      <c r="C420" s="27" t="s">
        <v>1305</v>
      </c>
      <c r="D420" s="27" t="s">
        <v>1306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1409</f>
        <v>1409.0</v>
      </c>
      <c r="L420" s="34" t="s">
        <v>48</v>
      </c>
      <c r="M420" s="33" t="n">
        <f>1434</f>
        <v>1434.0</v>
      </c>
      <c r="N420" s="34" t="s">
        <v>65</v>
      </c>
      <c r="O420" s="33" t="n">
        <f>1365</f>
        <v>1365.0</v>
      </c>
      <c r="P420" s="34" t="s">
        <v>273</v>
      </c>
      <c r="Q420" s="33" t="n">
        <f>1380</f>
        <v>1380.0</v>
      </c>
      <c r="R420" s="34" t="s">
        <v>50</v>
      </c>
      <c r="S420" s="35" t="n">
        <f>1402.79</f>
        <v>1402.79</v>
      </c>
      <c r="T420" s="32" t="n">
        <f>177234</f>
        <v>177234.0</v>
      </c>
      <c r="U420" s="32" t="str">
        <f>"－"</f>
        <v>－</v>
      </c>
      <c r="V420" s="32" t="n">
        <f>247552832</f>
        <v>2.47552832E8</v>
      </c>
      <c r="W420" s="32" t="str">
        <f>"－"</f>
        <v>－</v>
      </c>
      <c r="X420" s="36" t="n">
        <f>19</f>
        <v>19.0</v>
      </c>
    </row>
    <row r="421">
      <c r="A421" s="27" t="s">
        <v>42</v>
      </c>
      <c r="B421" s="27" t="s">
        <v>1307</v>
      </c>
      <c r="C421" s="27" t="s">
        <v>1308</v>
      </c>
      <c r="D421" s="27" t="s">
        <v>1309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10.0</v>
      </c>
      <c r="K421" s="33" t="n">
        <f>1280</f>
        <v>1280.0</v>
      </c>
      <c r="L421" s="34" t="s">
        <v>48</v>
      </c>
      <c r="M421" s="33" t="n">
        <f>1280</f>
        <v>1280.0</v>
      </c>
      <c r="N421" s="34" t="s">
        <v>48</v>
      </c>
      <c r="O421" s="33" t="n">
        <f>1187</f>
        <v>1187.0</v>
      </c>
      <c r="P421" s="34" t="s">
        <v>70</v>
      </c>
      <c r="Q421" s="33" t="n">
        <f>1207</f>
        <v>1207.0</v>
      </c>
      <c r="R421" s="34" t="s">
        <v>50</v>
      </c>
      <c r="S421" s="35" t="n">
        <f>1220.83</f>
        <v>1220.83</v>
      </c>
      <c r="T421" s="32" t="n">
        <f>806230</f>
        <v>806230.0</v>
      </c>
      <c r="U421" s="32" t="n">
        <f>350000</f>
        <v>350000.0</v>
      </c>
      <c r="V421" s="32" t="n">
        <f>962706495</f>
        <v>9.62706495E8</v>
      </c>
      <c r="W421" s="32" t="n">
        <f>418215000</f>
        <v>4.18215E8</v>
      </c>
      <c r="X421" s="36" t="n">
        <f>18</f>
        <v>18.0</v>
      </c>
    </row>
    <row r="422">
      <c r="A422" s="27" t="s">
        <v>42</v>
      </c>
      <c r="B422" s="27" t="s">
        <v>1310</v>
      </c>
      <c r="C422" s="27" t="s">
        <v>1311</v>
      </c>
      <c r="D422" s="27" t="s">
        <v>1312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2494</f>
        <v>2494.0</v>
      </c>
      <c r="L422" s="34" t="s">
        <v>48</v>
      </c>
      <c r="M422" s="33" t="n">
        <f>2608</f>
        <v>2608.0</v>
      </c>
      <c r="N422" s="34" t="s">
        <v>49</v>
      </c>
      <c r="O422" s="33" t="n">
        <f>2490</f>
        <v>2490.0</v>
      </c>
      <c r="P422" s="34" t="s">
        <v>75</v>
      </c>
      <c r="Q422" s="33" t="n">
        <f>2542</f>
        <v>2542.0</v>
      </c>
      <c r="R422" s="34" t="s">
        <v>50</v>
      </c>
      <c r="S422" s="35" t="n">
        <f>2540.26</f>
        <v>2540.26</v>
      </c>
      <c r="T422" s="32" t="n">
        <f>40137</f>
        <v>40137.0</v>
      </c>
      <c r="U422" s="32" t="n">
        <f>7829</f>
        <v>7829.0</v>
      </c>
      <c r="V422" s="32" t="n">
        <f>101827093</f>
        <v>1.01827093E8</v>
      </c>
      <c r="W422" s="32" t="n">
        <f>19999180</f>
        <v>1.999918E7</v>
      </c>
      <c r="X422" s="36" t="n">
        <f>19</f>
        <v>19.0</v>
      </c>
    </row>
    <row r="423">
      <c r="A423" s="27" t="s">
        <v>42</v>
      </c>
      <c r="B423" s="27" t="s">
        <v>1313</v>
      </c>
      <c r="C423" s="27" t="s">
        <v>1314</v>
      </c>
      <c r="D423" s="27" t="s">
        <v>1315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2264</f>
        <v>2264.0</v>
      </c>
      <c r="L423" s="34" t="s">
        <v>48</v>
      </c>
      <c r="M423" s="33" t="n">
        <f>2414</f>
        <v>2414.0</v>
      </c>
      <c r="N423" s="34" t="s">
        <v>65</v>
      </c>
      <c r="O423" s="33" t="n">
        <f>2259</f>
        <v>2259.0</v>
      </c>
      <c r="P423" s="34" t="s">
        <v>48</v>
      </c>
      <c r="Q423" s="33" t="n">
        <f>2309</f>
        <v>2309.0</v>
      </c>
      <c r="R423" s="34" t="s">
        <v>50</v>
      </c>
      <c r="S423" s="35" t="n">
        <f>2342.26</f>
        <v>2342.26</v>
      </c>
      <c r="T423" s="32" t="n">
        <f>173509</f>
        <v>173509.0</v>
      </c>
      <c r="U423" s="32" t="str">
        <f>"－"</f>
        <v>－</v>
      </c>
      <c r="V423" s="32" t="n">
        <f>403265498</f>
        <v>4.03265498E8</v>
      </c>
      <c r="W423" s="32" t="str">
        <f>"－"</f>
        <v>－</v>
      </c>
      <c r="X423" s="36" t="n">
        <f>19</f>
        <v>19.0</v>
      </c>
    </row>
    <row r="424">
      <c r="A424" s="27" t="s">
        <v>42</v>
      </c>
      <c r="B424" s="27" t="s">
        <v>1316</v>
      </c>
      <c r="C424" s="27" t="s">
        <v>1317</v>
      </c>
      <c r="D424" s="27" t="s">
        <v>1318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5717</f>
        <v>5717.0</v>
      </c>
      <c r="L424" s="34" t="s">
        <v>48</v>
      </c>
      <c r="M424" s="33" t="n">
        <f>5817</f>
        <v>5817.0</v>
      </c>
      <c r="N424" s="34" t="s">
        <v>48</v>
      </c>
      <c r="O424" s="33" t="n">
        <f>5050</f>
        <v>5050.0</v>
      </c>
      <c r="P424" s="34" t="s">
        <v>50</v>
      </c>
      <c r="Q424" s="33" t="n">
        <f>5051</f>
        <v>5051.0</v>
      </c>
      <c r="R424" s="34" t="s">
        <v>50</v>
      </c>
      <c r="S424" s="35" t="n">
        <f>5092.55</f>
        <v>5092.55</v>
      </c>
      <c r="T424" s="32" t="n">
        <f>5112</f>
        <v>5112.0</v>
      </c>
      <c r="U424" s="32" t="str">
        <f>"－"</f>
        <v>－</v>
      </c>
      <c r="V424" s="32" t="n">
        <f>25937261</f>
        <v>2.5937261E7</v>
      </c>
      <c r="W424" s="32" t="str">
        <f>"－"</f>
        <v>－</v>
      </c>
      <c r="X424" s="36" t="n">
        <f>11</f>
        <v>11.0</v>
      </c>
    </row>
    <row r="425">
      <c r="A425" s="27" t="s">
        <v>42</v>
      </c>
      <c r="B425" s="27" t="s">
        <v>1319</v>
      </c>
      <c r="C425" s="27" t="s">
        <v>1320</v>
      </c>
      <c r="D425" s="27" t="s">
        <v>1321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1243</f>
        <v>1243.0</v>
      </c>
      <c r="L425" s="34" t="s">
        <v>48</v>
      </c>
      <c r="M425" s="33" t="n">
        <f>1300</f>
        <v>1300.0</v>
      </c>
      <c r="N425" s="34" t="s">
        <v>60</v>
      </c>
      <c r="O425" s="33" t="n">
        <f>1205</f>
        <v>1205.0</v>
      </c>
      <c r="P425" s="34" t="s">
        <v>50</v>
      </c>
      <c r="Q425" s="33" t="n">
        <f>1205</f>
        <v>1205.0</v>
      </c>
      <c r="R425" s="34" t="s">
        <v>50</v>
      </c>
      <c r="S425" s="35" t="n">
        <f>1244.21</f>
        <v>1244.21</v>
      </c>
      <c r="T425" s="32" t="n">
        <f>25376</f>
        <v>25376.0</v>
      </c>
      <c r="U425" s="32" t="str">
        <f>"－"</f>
        <v>－</v>
      </c>
      <c r="V425" s="32" t="n">
        <f>31432808</f>
        <v>3.1432808E7</v>
      </c>
      <c r="W425" s="32" t="str">
        <f>"－"</f>
        <v>－</v>
      </c>
      <c r="X425" s="36" t="n">
        <f>19</f>
        <v>19.0</v>
      </c>
    </row>
    <row r="426">
      <c r="A426" s="27" t="s">
        <v>42</v>
      </c>
      <c r="B426" s="27" t="s">
        <v>1322</v>
      </c>
      <c r="C426" s="27" t="s">
        <v>1323</v>
      </c>
      <c r="D426" s="27" t="s">
        <v>1324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1180</f>
        <v>1180.0</v>
      </c>
      <c r="L426" s="34" t="s">
        <v>48</v>
      </c>
      <c r="M426" s="33" t="n">
        <f>1265</f>
        <v>1265.0</v>
      </c>
      <c r="N426" s="34" t="s">
        <v>74</v>
      </c>
      <c r="O426" s="33" t="n">
        <f>1167</f>
        <v>1167.0</v>
      </c>
      <c r="P426" s="34" t="s">
        <v>273</v>
      </c>
      <c r="Q426" s="33" t="n">
        <f>1184</f>
        <v>1184.0</v>
      </c>
      <c r="R426" s="34" t="s">
        <v>50</v>
      </c>
      <c r="S426" s="35" t="n">
        <f>1208</f>
        <v>1208.0</v>
      </c>
      <c r="T426" s="32" t="n">
        <f>2318021</f>
        <v>2318021.0</v>
      </c>
      <c r="U426" s="32" t="str">
        <f>"－"</f>
        <v>－</v>
      </c>
      <c r="V426" s="32" t="n">
        <f>2822948961</f>
        <v>2.822948961E9</v>
      </c>
      <c r="W426" s="32" t="str">
        <f>"－"</f>
        <v>－</v>
      </c>
      <c r="X426" s="36" t="n">
        <f>19</f>
        <v>19.0</v>
      </c>
    </row>
    <row r="427">
      <c r="A427" s="27" t="s">
        <v>42</v>
      </c>
      <c r="B427" s="27" t="s">
        <v>1325</v>
      </c>
      <c r="C427" s="27" t="s">
        <v>1326</v>
      </c>
      <c r="D427" s="27" t="s">
        <v>1327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2214</f>
        <v>2214.0</v>
      </c>
      <c r="L427" s="34" t="s">
        <v>48</v>
      </c>
      <c r="M427" s="33" t="n">
        <f>2250</f>
        <v>2250.0</v>
      </c>
      <c r="N427" s="34" t="s">
        <v>74</v>
      </c>
      <c r="O427" s="33" t="n">
        <f>2152</f>
        <v>2152.0</v>
      </c>
      <c r="P427" s="34" t="s">
        <v>61</v>
      </c>
      <c r="Q427" s="33" t="n">
        <f>2169</f>
        <v>2169.0</v>
      </c>
      <c r="R427" s="34" t="s">
        <v>50</v>
      </c>
      <c r="S427" s="35" t="n">
        <f>2208.56</f>
        <v>2208.56</v>
      </c>
      <c r="T427" s="32" t="n">
        <f>515124</f>
        <v>515124.0</v>
      </c>
      <c r="U427" s="32" t="str">
        <f>"－"</f>
        <v>－</v>
      </c>
      <c r="V427" s="32" t="n">
        <f>1131063829</f>
        <v>1.131063829E9</v>
      </c>
      <c r="W427" s="32" t="str">
        <f>"－"</f>
        <v>－</v>
      </c>
      <c r="X427" s="36" t="n">
        <f>18</f>
        <v>18.0</v>
      </c>
    </row>
    <row r="428">
      <c r="A428" s="27" t="s">
        <v>42</v>
      </c>
      <c r="B428" s="27" t="s">
        <v>1328</v>
      </c>
      <c r="C428" s="27" t="s">
        <v>1329</v>
      </c>
      <c r="D428" s="27" t="s">
        <v>1330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2108</f>
        <v>2108.0</v>
      </c>
      <c r="L428" s="34" t="s">
        <v>48</v>
      </c>
      <c r="M428" s="33" t="n">
        <f>2108</f>
        <v>2108.0</v>
      </c>
      <c r="N428" s="34" t="s">
        <v>48</v>
      </c>
      <c r="O428" s="33" t="n">
        <f>1996</f>
        <v>1996.0</v>
      </c>
      <c r="P428" s="34" t="s">
        <v>213</v>
      </c>
      <c r="Q428" s="33" t="n">
        <f>1998</f>
        <v>1998.0</v>
      </c>
      <c r="R428" s="34" t="s">
        <v>50</v>
      </c>
      <c r="S428" s="35" t="n">
        <f>2001.21</f>
        <v>2001.21</v>
      </c>
      <c r="T428" s="32" t="n">
        <f>18161</f>
        <v>18161.0</v>
      </c>
      <c r="U428" s="32" t="str">
        <f>"－"</f>
        <v>－</v>
      </c>
      <c r="V428" s="32" t="n">
        <f>36350553</f>
        <v>3.6350553E7</v>
      </c>
      <c r="W428" s="32" t="str">
        <f>"－"</f>
        <v>－</v>
      </c>
      <c r="X428" s="36" t="n">
        <f>19</f>
        <v>19.0</v>
      </c>
    </row>
    <row r="429">
      <c r="A429" s="27" t="s">
        <v>42</v>
      </c>
      <c r="B429" s="27" t="s">
        <v>1331</v>
      </c>
      <c r="C429" s="27" t="s">
        <v>1332</v>
      </c>
      <c r="D429" s="27" t="s">
        <v>1333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2308</f>
        <v>2308.0</v>
      </c>
      <c r="L429" s="34" t="s">
        <v>48</v>
      </c>
      <c r="M429" s="33" t="n">
        <f>2423</f>
        <v>2423.0</v>
      </c>
      <c r="N429" s="34" t="s">
        <v>65</v>
      </c>
      <c r="O429" s="33" t="n">
        <f>2308</f>
        <v>2308.0</v>
      </c>
      <c r="P429" s="34" t="s">
        <v>48</v>
      </c>
      <c r="Q429" s="33" t="n">
        <f>2325</f>
        <v>2325.0</v>
      </c>
      <c r="R429" s="34" t="s">
        <v>50</v>
      </c>
      <c r="S429" s="35" t="n">
        <f>2373.32</f>
        <v>2373.32</v>
      </c>
      <c r="T429" s="32" t="n">
        <f>294428</f>
        <v>294428.0</v>
      </c>
      <c r="U429" s="32" t="str">
        <f>"－"</f>
        <v>－</v>
      </c>
      <c r="V429" s="32" t="n">
        <f>687642763</f>
        <v>6.87642763E8</v>
      </c>
      <c r="W429" s="32" t="str">
        <f>"－"</f>
        <v>－</v>
      </c>
      <c r="X429" s="36" t="n">
        <f>19</f>
        <v>19.0</v>
      </c>
    </row>
    <row r="430">
      <c r="A430" s="27" t="s">
        <v>42</v>
      </c>
      <c r="B430" s="27" t="s">
        <v>1334</v>
      </c>
      <c r="C430" s="27" t="s">
        <v>1335</v>
      </c>
      <c r="D430" s="27" t="s">
        <v>1336</v>
      </c>
      <c r="E430" s="28" t="s">
        <v>46</v>
      </c>
      <c r="F430" s="29" t="s">
        <v>46</v>
      </c>
      <c r="G430" s="30" t="s">
        <v>46</v>
      </c>
      <c r="H430" s="31"/>
      <c r="I430" s="31" t="s">
        <v>415</v>
      </c>
      <c r="J430" s="32" t="n">
        <v>10.0</v>
      </c>
      <c r="K430" s="33" t="n">
        <f>233.7</f>
        <v>233.7</v>
      </c>
      <c r="L430" s="34" t="s">
        <v>48</v>
      </c>
      <c r="M430" s="33" t="n">
        <f>243</f>
        <v>243.0</v>
      </c>
      <c r="N430" s="34" t="s">
        <v>74</v>
      </c>
      <c r="O430" s="33" t="n">
        <f>230.3</f>
        <v>230.3</v>
      </c>
      <c r="P430" s="34" t="s">
        <v>273</v>
      </c>
      <c r="Q430" s="33" t="n">
        <f>233.5</f>
        <v>233.5</v>
      </c>
      <c r="R430" s="34" t="s">
        <v>50</v>
      </c>
      <c r="S430" s="35" t="n">
        <f>235.78</f>
        <v>235.78</v>
      </c>
      <c r="T430" s="32" t="n">
        <f>3027710</f>
        <v>3027710.0</v>
      </c>
      <c r="U430" s="32" t="n">
        <f>1270</f>
        <v>1270.0</v>
      </c>
      <c r="V430" s="32" t="n">
        <f>712141132</f>
        <v>7.12141132E8</v>
      </c>
      <c r="W430" s="32" t="n">
        <f>296013</f>
        <v>296013.0</v>
      </c>
      <c r="X430" s="36" t="n">
        <f>19</f>
        <v>19.0</v>
      </c>
    </row>
    <row r="431">
      <c r="A431" s="27" t="s">
        <v>42</v>
      </c>
      <c r="B431" s="27" t="s">
        <v>1337</v>
      </c>
      <c r="C431" s="27" t="s">
        <v>1338</v>
      </c>
      <c r="D431" s="27" t="s">
        <v>1339</v>
      </c>
      <c r="E431" s="28" t="s">
        <v>46</v>
      </c>
      <c r="F431" s="29" t="s">
        <v>46</v>
      </c>
      <c r="G431" s="30" t="s">
        <v>46</v>
      </c>
      <c r="H431" s="31"/>
      <c r="I431" s="31" t="s">
        <v>415</v>
      </c>
      <c r="J431" s="32" t="n">
        <v>10.0</v>
      </c>
      <c r="K431" s="33" t="n">
        <f>558.1</f>
        <v>558.1</v>
      </c>
      <c r="L431" s="34" t="s">
        <v>48</v>
      </c>
      <c r="M431" s="33" t="n">
        <f>600.7</f>
        <v>600.7</v>
      </c>
      <c r="N431" s="34" t="s">
        <v>69</v>
      </c>
      <c r="O431" s="33" t="n">
        <f>558.1</f>
        <v>558.1</v>
      </c>
      <c r="P431" s="34" t="s">
        <v>48</v>
      </c>
      <c r="Q431" s="33" t="n">
        <f>568.3</f>
        <v>568.3</v>
      </c>
      <c r="R431" s="34" t="s">
        <v>50</v>
      </c>
      <c r="S431" s="35" t="n">
        <f>573.93</f>
        <v>573.93</v>
      </c>
      <c r="T431" s="32" t="n">
        <f>6130</f>
        <v>6130.0</v>
      </c>
      <c r="U431" s="32" t="str">
        <f>"－"</f>
        <v>－</v>
      </c>
      <c r="V431" s="32" t="n">
        <f>3514532</f>
        <v>3514532.0</v>
      </c>
      <c r="W431" s="32" t="str">
        <f>"－"</f>
        <v>－</v>
      </c>
      <c r="X431" s="36" t="n">
        <f>19</f>
        <v>19.0</v>
      </c>
    </row>
    <row r="432">
      <c r="A432" s="27" t="s">
        <v>42</v>
      </c>
      <c r="B432" s="27" t="s">
        <v>1340</v>
      </c>
      <c r="C432" s="27" t="s">
        <v>1341</v>
      </c>
      <c r="D432" s="27" t="s">
        <v>1342</v>
      </c>
      <c r="E432" s="28" t="s">
        <v>46</v>
      </c>
      <c r="F432" s="29" t="s">
        <v>46</v>
      </c>
      <c r="G432" s="30" t="s">
        <v>46</v>
      </c>
      <c r="H432" s="31"/>
      <c r="I432" s="31" t="s">
        <v>415</v>
      </c>
      <c r="J432" s="32" t="n">
        <v>10.0</v>
      </c>
      <c r="K432" s="33" t="n">
        <f>697.2</f>
        <v>697.2</v>
      </c>
      <c r="L432" s="34" t="s">
        <v>48</v>
      </c>
      <c r="M432" s="33" t="n">
        <f>779.3</f>
        <v>779.3</v>
      </c>
      <c r="N432" s="34" t="s">
        <v>155</v>
      </c>
      <c r="O432" s="33" t="n">
        <f>693.3</f>
        <v>693.3</v>
      </c>
      <c r="P432" s="34" t="s">
        <v>48</v>
      </c>
      <c r="Q432" s="33" t="n">
        <f>771</f>
        <v>771.0</v>
      </c>
      <c r="R432" s="34" t="s">
        <v>50</v>
      </c>
      <c r="S432" s="35" t="n">
        <f>751.6</f>
        <v>751.6</v>
      </c>
      <c r="T432" s="32" t="n">
        <f>1739980</f>
        <v>1739980.0</v>
      </c>
      <c r="U432" s="32" t="n">
        <f>823190</f>
        <v>823190.0</v>
      </c>
      <c r="V432" s="32" t="n">
        <f>1309521090</f>
        <v>1.30952109E9</v>
      </c>
      <c r="W432" s="32" t="n">
        <f>621691599</f>
        <v>6.21691599E8</v>
      </c>
      <c r="X432" s="36" t="n">
        <f>19</f>
        <v>19.0</v>
      </c>
    </row>
    <row r="433">
      <c r="A433" s="27" t="s">
        <v>42</v>
      </c>
      <c r="B433" s="27" t="s">
        <v>1343</v>
      </c>
      <c r="C433" s="27" t="s">
        <v>1344</v>
      </c>
      <c r="D433" s="27" t="s">
        <v>1345</v>
      </c>
      <c r="E433" s="28" t="s">
        <v>46</v>
      </c>
      <c r="F433" s="29" t="s">
        <v>46</v>
      </c>
      <c r="G433" s="30" t="s">
        <v>46</v>
      </c>
      <c r="H433" s="31"/>
      <c r="I433" s="31" t="s">
        <v>415</v>
      </c>
      <c r="J433" s="32" t="n">
        <v>10.0</v>
      </c>
      <c r="K433" s="33" t="n">
        <f>540</f>
        <v>540.0</v>
      </c>
      <c r="L433" s="34" t="s">
        <v>48</v>
      </c>
      <c r="M433" s="33" t="n">
        <f>565</f>
        <v>565.0</v>
      </c>
      <c r="N433" s="34" t="s">
        <v>213</v>
      </c>
      <c r="O433" s="33" t="n">
        <f>540</f>
        <v>540.0</v>
      </c>
      <c r="P433" s="34" t="s">
        <v>48</v>
      </c>
      <c r="Q433" s="33" t="n">
        <f>545</f>
        <v>545.0</v>
      </c>
      <c r="R433" s="34" t="s">
        <v>50</v>
      </c>
      <c r="S433" s="35" t="n">
        <f>549.5</f>
        <v>549.5</v>
      </c>
      <c r="T433" s="32" t="n">
        <f>10460</f>
        <v>10460.0</v>
      </c>
      <c r="U433" s="32" t="str">
        <f>"－"</f>
        <v>－</v>
      </c>
      <c r="V433" s="32" t="n">
        <f>5769481</f>
        <v>5769481.0</v>
      </c>
      <c r="W433" s="32" t="str">
        <f>"－"</f>
        <v>－</v>
      </c>
      <c r="X433" s="36" t="n">
        <f>19</f>
        <v>19.0</v>
      </c>
    </row>
    <row r="434">
      <c r="A434" s="27" t="s">
        <v>42</v>
      </c>
      <c r="B434" s="27" t="s">
        <v>1346</v>
      </c>
      <c r="C434" s="27" t="s">
        <v>1347</v>
      </c>
      <c r="D434" s="27" t="s">
        <v>1348</v>
      </c>
      <c r="E434" s="28" t="s">
        <v>46</v>
      </c>
      <c r="F434" s="29" t="s">
        <v>46</v>
      </c>
      <c r="G434" s="30" t="s">
        <v>46</v>
      </c>
      <c r="H434" s="31"/>
      <c r="I434" s="31" t="s">
        <v>415</v>
      </c>
      <c r="J434" s="32" t="n">
        <v>1.0</v>
      </c>
      <c r="K434" s="33" t="n">
        <f>1901</f>
        <v>1901.0</v>
      </c>
      <c r="L434" s="34" t="s">
        <v>48</v>
      </c>
      <c r="M434" s="33" t="n">
        <f>2080</f>
        <v>2080.0</v>
      </c>
      <c r="N434" s="34" t="s">
        <v>65</v>
      </c>
      <c r="O434" s="33" t="n">
        <f>1900</f>
        <v>1900.0</v>
      </c>
      <c r="P434" s="34" t="s">
        <v>48</v>
      </c>
      <c r="Q434" s="33" t="n">
        <f>2010</f>
        <v>2010.0</v>
      </c>
      <c r="R434" s="34" t="s">
        <v>50</v>
      </c>
      <c r="S434" s="35" t="n">
        <f>1996.68</f>
        <v>1996.68</v>
      </c>
      <c r="T434" s="32" t="n">
        <f>2275323</f>
        <v>2275323.0</v>
      </c>
      <c r="U434" s="32" t="n">
        <f>194654</f>
        <v>194654.0</v>
      </c>
      <c r="V434" s="32" t="n">
        <f>4528597261</f>
        <v>4.528597261E9</v>
      </c>
      <c r="W434" s="32" t="n">
        <f>385899806</f>
        <v>3.85899806E8</v>
      </c>
      <c r="X434" s="36" t="n">
        <f>19</f>
        <v>19.0</v>
      </c>
    </row>
    <row r="435">
      <c r="A435" s="27" t="s">
        <v>42</v>
      </c>
      <c r="B435" s="27" t="s">
        <v>1349</v>
      </c>
      <c r="C435" s="27" t="s">
        <v>1350</v>
      </c>
      <c r="D435" s="27" t="s">
        <v>1351</v>
      </c>
      <c r="E435" s="28" t="s">
        <v>46</v>
      </c>
      <c r="F435" s="29" t="s">
        <v>46</v>
      </c>
      <c r="G435" s="30" t="s">
        <v>46</v>
      </c>
      <c r="H435" s="31"/>
      <c r="I435" s="31" t="s">
        <v>415</v>
      </c>
      <c r="J435" s="32" t="n">
        <v>1.0</v>
      </c>
      <c r="K435" s="33" t="n">
        <f>107400</f>
        <v>107400.0</v>
      </c>
      <c r="L435" s="34" t="s">
        <v>48</v>
      </c>
      <c r="M435" s="33" t="n">
        <f>109100</f>
        <v>109100.0</v>
      </c>
      <c r="N435" s="34" t="s">
        <v>65</v>
      </c>
      <c r="O435" s="33" t="n">
        <f>103400</f>
        <v>103400.0</v>
      </c>
      <c r="P435" s="34" t="s">
        <v>50</v>
      </c>
      <c r="Q435" s="33" t="n">
        <f>104200</f>
        <v>104200.0</v>
      </c>
      <c r="R435" s="34" t="s">
        <v>50</v>
      </c>
      <c r="S435" s="35" t="n">
        <f>106752.63</f>
        <v>106752.63</v>
      </c>
      <c r="T435" s="32" t="n">
        <f>39054</f>
        <v>39054.0</v>
      </c>
      <c r="U435" s="32" t="n">
        <f>2431</f>
        <v>2431.0</v>
      </c>
      <c r="V435" s="32" t="n">
        <f>4168008757</f>
        <v>4.168008757E9</v>
      </c>
      <c r="W435" s="32" t="n">
        <f>259350157</f>
        <v>2.59350157E8</v>
      </c>
      <c r="X435" s="36" t="n">
        <f>19</f>
        <v>19.0</v>
      </c>
    </row>
    <row r="436">
      <c r="A436" s="27" t="s">
        <v>42</v>
      </c>
      <c r="B436" s="27" t="s">
        <v>1352</v>
      </c>
      <c r="C436" s="27" t="s">
        <v>1353</v>
      </c>
      <c r="D436" s="27" t="s">
        <v>1354</v>
      </c>
      <c r="E436" s="28" t="s">
        <v>46</v>
      </c>
      <c r="F436" s="29" t="s">
        <v>46</v>
      </c>
      <c r="G436" s="30" t="s">
        <v>46</v>
      </c>
      <c r="H436" s="31"/>
      <c r="I436" s="31" t="s">
        <v>415</v>
      </c>
      <c r="J436" s="32" t="n">
        <v>1.0</v>
      </c>
      <c r="K436" s="33" t="n">
        <f>1159</f>
        <v>1159.0</v>
      </c>
      <c r="L436" s="34" t="s">
        <v>48</v>
      </c>
      <c r="M436" s="33" t="n">
        <f>1221</f>
        <v>1221.0</v>
      </c>
      <c r="N436" s="34" t="s">
        <v>60</v>
      </c>
      <c r="O436" s="33" t="n">
        <f>1100</f>
        <v>1100.0</v>
      </c>
      <c r="P436" s="34" t="s">
        <v>223</v>
      </c>
      <c r="Q436" s="33" t="n">
        <f>1131</f>
        <v>1131.0</v>
      </c>
      <c r="R436" s="34" t="s">
        <v>50</v>
      </c>
      <c r="S436" s="35" t="n">
        <f>1167.42</f>
        <v>1167.42</v>
      </c>
      <c r="T436" s="32" t="n">
        <f>649884</f>
        <v>649884.0</v>
      </c>
      <c r="U436" s="32" t="str">
        <f>"－"</f>
        <v>－</v>
      </c>
      <c r="V436" s="32" t="n">
        <f>765379864</f>
        <v>7.65379864E8</v>
      </c>
      <c r="W436" s="32" t="str">
        <f>"－"</f>
        <v>－</v>
      </c>
      <c r="X436" s="36" t="n">
        <f>19</f>
        <v>19.0</v>
      </c>
    </row>
    <row r="437">
      <c r="A437" s="27" t="s">
        <v>42</v>
      </c>
      <c r="B437" s="27" t="s">
        <v>1355</v>
      </c>
      <c r="C437" s="27" t="s">
        <v>1356</v>
      </c>
      <c r="D437" s="27" t="s">
        <v>1357</v>
      </c>
      <c r="E437" s="28" t="s">
        <v>46</v>
      </c>
      <c r="F437" s="29" t="s">
        <v>46</v>
      </c>
      <c r="G437" s="30" t="s">
        <v>46</v>
      </c>
      <c r="H437" s="31"/>
      <c r="I437" s="31" t="s">
        <v>415</v>
      </c>
      <c r="J437" s="32" t="n">
        <v>10.0</v>
      </c>
      <c r="K437" s="33" t="n">
        <f>222</f>
        <v>222.0</v>
      </c>
      <c r="L437" s="34" t="s">
        <v>48</v>
      </c>
      <c r="M437" s="33" t="n">
        <f>233.5</f>
        <v>233.5</v>
      </c>
      <c r="N437" s="34" t="s">
        <v>74</v>
      </c>
      <c r="O437" s="33" t="n">
        <f>219.4</f>
        <v>219.4</v>
      </c>
      <c r="P437" s="34" t="s">
        <v>257</v>
      </c>
      <c r="Q437" s="33" t="n">
        <f>224.9</f>
        <v>224.9</v>
      </c>
      <c r="R437" s="34" t="s">
        <v>50</v>
      </c>
      <c r="S437" s="35" t="n">
        <f>225.86</f>
        <v>225.86</v>
      </c>
      <c r="T437" s="32" t="n">
        <f>5076930</f>
        <v>5076930.0</v>
      </c>
      <c r="U437" s="32" t="n">
        <f>86190</f>
        <v>86190.0</v>
      </c>
      <c r="V437" s="32" t="n">
        <f>1145360536</f>
        <v>1.145360536E9</v>
      </c>
      <c r="W437" s="32" t="n">
        <f>19586112</f>
        <v>1.9586112E7</v>
      </c>
      <c r="X437" s="36" t="n">
        <f>19</f>
        <v>19.0</v>
      </c>
    </row>
    <row r="438">
      <c r="A438" s="27" t="s">
        <v>42</v>
      </c>
      <c r="B438" s="27" t="s">
        <v>1358</v>
      </c>
      <c r="C438" s="27" t="s">
        <v>1359</v>
      </c>
      <c r="D438" s="27" t="s">
        <v>1360</v>
      </c>
      <c r="E438" s="28" t="s">
        <v>46</v>
      </c>
      <c r="F438" s="29" t="s">
        <v>46</v>
      </c>
      <c r="G438" s="30" t="s">
        <v>46</v>
      </c>
      <c r="H438" s="31"/>
      <c r="I438" s="31" t="s">
        <v>415</v>
      </c>
      <c r="J438" s="32" t="n">
        <v>1.0</v>
      </c>
      <c r="K438" s="33" t="n">
        <f>2450</f>
        <v>2450.0</v>
      </c>
      <c r="L438" s="34" t="s">
        <v>48</v>
      </c>
      <c r="M438" s="33" t="n">
        <f>2850</f>
        <v>2850.0</v>
      </c>
      <c r="N438" s="34" t="s">
        <v>70</v>
      </c>
      <c r="O438" s="33" t="n">
        <f>2403</f>
        <v>2403.0</v>
      </c>
      <c r="P438" s="34" t="s">
        <v>48</v>
      </c>
      <c r="Q438" s="33" t="n">
        <f>2730</f>
        <v>2730.0</v>
      </c>
      <c r="R438" s="34" t="s">
        <v>50</v>
      </c>
      <c r="S438" s="35" t="n">
        <f>2657.11</f>
        <v>2657.11</v>
      </c>
      <c r="T438" s="32" t="n">
        <f>109101</f>
        <v>109101.0</v>
      </c>
      <c r="U438" s="32" t="str">
        <f>"－"</f>
        <v>－</v>
      </c>
      <c r="V438" s="32" t="n">
        <f>289044326</f>
        <v>2.89044326E8</v>
      </c>
      <c r="W438" s="32" t="str">
        <f>"－"</f>
        <v>－</v>
      </c>
      <c r="X438" s="36" t="n">
        <f>19</f>
        <v>19.0</v>
      </c>
    </row>
    <row r="439">
      <c r="A439" s="27" t="s">
        <v>42</v>
      </c>
      <c r="B439" s="27" t="s">
        <v>1361</v>
      </c>
      <c r="C439" s="27" t="s">
        <v>1362</v>
      </c>
      <c r="D439" s="27" t="s">
        <v>1363</v>
      </c>
      <c r="E439" s="28" t="s">
        <v>46</v>
      </c>
      <c r="F439" s="29" t="s">
        <v>46</v>
      </c>
      <c r="G439" s="30" t="s">
        <v>46</v>
      </c>
      <c r="H439" s="31"/>
      <c r="I439" s="31" t="s">
        <v>415</v>
      </c>
      <c r="J439" s="32" t="n">
        <v>1.0</v>
      </c>
      <c r="K439" s="33" t="n">
        <f>2367</f>
        <v>2367.0</v>
      </c>
      <c r="L439" s="34" t="s">
        <v>48</v>
      </c>
      <c r="M439" s="33" t="n">
        <f>2639</f>
        <v>2639.0</v>
      </c>
      <c r="N439" s="34" t="s">
        <v>61</v>
      </c>
      <c r="O439" s="33" t="n">
        <f>2331</f>
        <v>2331.0</v>
      </c>
      <c r="P439" s="34" t="s">
        <v>48</v>
      </c>
      <c r="Q439" s="33" t="n">
        <f>2545</f>
        <v>2545.0</v>
      </c>
      <c r="R439" s="34" t="s">
        <v>50</v>
      </c>
      <c r="S439" s="35" t="n">
        <f>2542.95</f>
        <v>2542.95</v>
      </c>
      <c r="T439" s="32" t="n">
        <f>75877</f>
        <v>75877.0</v>
      </c>
      <c r="U439" s="32" t="n">
        <f>20</f>
        <v>20.0</v>
      </c>
      <c r="V439" s="32" t="n">
        <f>192687243</f>
        <v>1.92687243E8</v>
      </c>
      <c r="W439" s="32" t="n">
        <f>50600</f>
        <v>50600.0</v>
      </c>
      <c r="X439" s="36" t="n">
        <f>19</f>
        <v>19.0</v>
      </c>
    </row>
    <row r="440">
      <c r="A440" s="27" t="s">
        <v>42</v>
      </c>
      <c r="B440" s="27" t="s">
        <v>1364</v>
      </c>
      <c r="C440" s="27" t="s">
        <v>1365</v>
      </c>
      <c r="D440" s="27" t="s">
        <v>1366</v>
      </c>
      <c r="E440" s="28" t="s">
        <v>46</v>
      </c>
      <c r="F440" s="29" t="s">
        <v>46</v>
      </c>
      <c r="G440" s="30" t="s">
        <v>46</v>
      </c>
      <c r="H440" s="31"/>
      <c r="I440" s="31" t="s">
        <v>415</v>
      </c>
      <c r="J440" s="32" t="n">
        <v>10.0</v>
      </c>
      <c r="K440" s="33" t="n">
        <f>344.7</f>
        <v>344.7</v>
      </c>
      <c r="L440" s="34" t="s">
        <v>48</v>
      </c>
      <c r="M440" s="33" t="n">
        <f>446.8</f>
        <v>446.8</v>
      </c>
      <c r="N440" s="34" t="s">
        <v>70</v>
      </c>
      <c r="O440" s="33" t="n">
        <f>344</f>
        <v>344.0</v>
      </c>
      <c r="P440" s="34" t="s">
        <v>48</v>
      </c>
      <c r="Q440" s="33" t="n">
        <f>408</f>
        <v>408.0</v>
      </c>
      <c r="R440" s="34" t="s">
        <v>50</v>
      </c>
      <c r="S440" s="35" t="n">
        <f>376.49</f>
        <v>376.49</v>
      </c>
      <c r="T440" s="32" t="n">
        <f>10120600</f>
        <v>1.01206E7</v>
      </c>
      <c r="U440" s="32" t="n">
        <f>530</f>
        <v>530.0</v>
      </c>
      <c r="V440" s="32" t="n">
        <f>3964649764</f>
        <v>3.964649764E9</v>
      </c>
      <c r="W440" s="32" t="n">
        <f>232639</f>
        <v>232639.0</v>
      </c>
      <c r="X440" s="36" t="n">
        <f>19</f>
        <v>19.0</v>
      </c>
    </row>
    <row r="441">
      <c r="A441" s="27" t="s">
        <v>42</v>
      </c>
      <c r="B441" s="27" t="s">
        <v>1367</v>
      </c>
      <c r="C441" s="27" t="s">
        <v>1368</v>
      </c>
      <c r="D441" s="27" t="s">
        <v>1369</v>
      </c>
      <c r="E441" s="28" t="s">
        <v>46</v>
      </c>
      <c r="F441" s="29" t="s">
        <v>46</v>
      </c>
      <c r="G441" s="30" t="s">
        <v>46</v>
      </c>
      <c r="H441" s="31"/>
      <c r="I441" s="31" t="s">
        <v>415</v>
      </c>
      <c r="J441" s="32" t="n">
        <v>10.0</v>
      </c>
      <c r="K441" s="33" t="n">
        <f>368</f>
        <v>368.0</v>
      </c>
      <c r="L441" s="34" t="s">
        <v>48</v>
      </c>
      <c r="M441" s="33" t="n">
        <f>458.4</f>
        <v>458.4</v>
      </c>
      <c r="N441" s="34" t="s">
        <v>70</v>
      </c>
      <c r="O441" s="33" t="n">
        <f>366.5</f>
        <v>366.5</v>
      </c>
      <c r="P441" s="34" t="s">
        <v>48</v>
      </c>
      <c r="Q441" s="33" t="n">
        <f>428.7</f>
        <v>428.7</v>
      </c>
      <c r="R441" s="34" t="s">
        <v>50</v>
      </c>
      <c r="S441" s="35" t="n">
        <f>401.84</f>
        <v>401.84</v>
      </c>
      <c r="T441" s="32" t="n">
        <f>23930350</f>
        <v>2.393035E7</v>
      </c>
      <c r="U441" s="32" t="n">
        <f>1637210</f>
        <v>1637210.0</v>
      </c>
      <c r="V441" s="32" t="n">
        <f>9787560349</f>
        <v>9.787560349E9</v>
      </c>
      <c r="W441" s="32" t="n">
        <f>696663025</f>
        <v>6.96663025E8</v>
      </c>
      <c r="X441" s="36" t="n">
        <f>19</f>
        <v>19.0</v>
      </c>
    </row>
    <row r="442">
      <c r="A442" s="27" t="s">
        <v>42</v>
      </c>
      <c r="B442" s="27" t="s">
        <v>1370</v>
      </c>
      <c r="C442" s="27" t="s">
        <v>1371</v>
      </c>
      <c r="D442" s="27" t="s">
        <v>1372</v>
      </c>
      <c r="E442" s="28" t="s">
        <v>46</v>
      </c>
      <c r="F442" s="29" t="s">
        <v>46</v>
      </c>
      <c r="G442" s="30" t="s">
        <v>46</v>
      </c>
      <c r="H442" s="31"/>
      <c r="I442" s="31" t="s">
        <v>415</v>
      </c>
      <c r="J442" s="32" t="n">
        <v>1.0</v>
      </c>
      <c r="K442" s="33" t="n">
        <f>1078</f>
        <v>1078.0</v>
      </c>
      <c r="L442" s="34" t="s">
        <v>48</v>
      </c>
      <c r="M442" s="33" t="n">
        <f>1148</f>
        <v>1148.0</v>
      </c>
      <c r="N442" s="34" t="s">
        <v>206</v>
      </c>
      <c r="O442" s="33" t="n">
        <f>1077</f>
        <v>1077.0</v>
      </c>
      <c r="P442" s="34" t="s">
        <v>70</v>
      </c>
      <c r="Q442" s="33" t="n">
        <f>1091</f>
        <v>1091.0</v>
      </c>
      <c r="R442" s="34" t="s">
        <v>50</v>
      </c>
      <c r="S442" s="35" t="n">
        <f>1108.16</f>
        <v>1108.16</v>
      </c>
      <c r="T442" s="32" t="n">
        <f>203273</f>
        <v>203273.0</v>
      </c>
      <c r="U442" s="32" t="n">
        <f>24</f>
        <v>24.0</v>
      </c>
      <c r="V442" s="32" t="n">
        <f>223689515</f>
        <v>2.23689515E8</v>
      </c>
      <c r="W442" s="32" t="n">
        <f>26921</f>
        <v>26921.0</v>
      </c>
      <c r="X442" s="36" t="n">
        <f>19</f>
        <v>19.0</v>
      </c>
    </row>
    <row r="443">
      <c r="A443" s="27" t="s">
        <v>42</v>
      </c>
      <c r="B443" s="27" t="s">
        <v>1373</v>
      </c>
      <c r="C443" s="27" t="s">
        <v>1374</v>
      </c>
      <c r="D443" s="27" t="s">
        <v>1375</v>
      </c>
      <c r="E443" s="28" t="s">
        <v>46</v>
      </c>
      <c r="F443" s="29" t="s">
        <v>46</v>
      </c>
      <c r="G443" s="30" t="s">
        <v>46</v>
      </c>
      <c r="H443" s="31"/>
      <c r="I443" s="31" t="s">
        <v>415</v>
      </c>
      <c r="J443" s="32" t="n">
        <v>1.0</v>
      </c>
      <c r="K443" s="33" t="n">
        <f>2514</f>
        <v>2514.0</v>
      </c>
      <c r="L443" s="34" t="s">
        <v>48</v>
      </c>
      <c r="M443" s="33" t="n">
        <f>2530</f>
        <v>2530.0</v>
      </c>
      <c r="N443" s="34" t="s">
        <v>48</v>
      </c>
      <c r="O443" s="33" t="n">
        <f>2209</f>
        <v>2209.0</v>
      </c>
      <c r="P443" s="34" t="s">
        <v>70</v>
      </c>
      <c r="Q443" s="33" t="n">
        <f>2272</f>
        <v>2272.0</v>
      </c>
      <c r="R443" s="34" t="s">
        <v>50</v>
      </c>
      <c r="S443" s="35" t="n">
        <f>2281.74</f>
        <v>2281.74</v>
      </c>
      <c r="T443" s="32" t="n">
        <f>8121780</f>
        <v>8121780.0</v>
      </c>
      <c r="U443" s="32" t="n">
        <f>496814</f>
        <v>496814.0</v>
      </c>
      <c r="V443" s="32" t="n">
        <f>18490027522</f>
        <v>1.8490027522E10</v>
      </c>
      <c r="W443" s="32" t="n">
        <f>1126262537</f>
        <v>1.126262537E9</v>
      </c>
      <c r="X443" s="36" t="n">
        <f>19</f>
        <v>19.0</v>
      </c>
    </row>
    <row r="444">
      <c r="A444" s="27" t="s">
        <v>42</v>
      </c>
      <c r="B444" s="27" t="s">
        <v>1376</v>
      </c>
      <c r="C444" s="27" t="s">
        <v>1377</v>
      </c>
      <c r="D444" s="27" t="s">
        <v>1378</v>
      </c>
      <c r="E444" s="28" t="s">
        <v>46</v>
      </c>
      <c r="F444" s="29" t="s">
        <v>46</v>
      </c>
      <c r="G444" s="30" t="s">
        <v>46</v>
      </c>
      <c r="H444" s="31"/>
      <c r="I444" s="31" t="s">
        <v>415</v>
      </c>
      <c r="J444" s="32" t="n">
        <v>1.0</v>
      </c>
      <c r="K444" s="33" t="n">
        <f>2046</f>
        <v>2046.0</v>
      </c>
      <c r="L444" s="34" t="s">
        <v>48</v>
      </c>
      <c r="M444" s="33" t="n">
        <f>2130</f>
        <v>2130.0</v>
      </c>
      <c r="N444" s="34" t="s">
        <v>65</v>
      </c>
      <c r="O444" s="33" t="n">
        <f>2020</f>
        <v>2020.0</v>
      </c>
      <c r="P444" s="34" t="s">
        <v>70</v>
      </c>
      <c r="Q444" s="33" t="n">
        <f>2045</f>
        <v>2045.0</v>
      </c>
      <c r="R444" s="34" t="s">
        <v>50</v>
      </c>
      <c r="S444" s="35" t="n">
        <f>2076.05</f>
        <v>2076.05</v>
      </c>
      <c r="T444" s="32" t="n">
        <f>763530</f>
        <v>763530.0</v>
      </c>
      <c r="U444" s="32" t="n">
        <f>448782</f>
        <v>448782.0</v>
      </c>
      <c r="V444" s="32" t="n">
        <f>1577951665</f>
        <v>1.577951665E9</v>
      </c>
      <c r="W444" s="32" t="n">
        <f>928719523</f>
        <v>9.28719523E8</v>
      </c>
      <c r="X444" s="36" t="n">
        <f>19</f>
        <v>19.0</v>
      </c>
    </row>
    <row r="445">
      <c r="A445" s="27" t="s">
        <v>42</v>
      </c>
      <c r="B445" s="27" t="s">
        <v>1379</v>
      </c>
      <c r="C445" s="27" t="s">
        <v>1380</v>
      </c>
      <c r="D445" s="27" t="s">
        <v>1381</v>
      </c>
      <c r="E445" s="28" t="s">
        <v>46</v>
      </c>
      <c r="F445" s="29" t="s">
        <v>46</v>
      </c>
      <c r="G445" s="30" t="s">
        <v>46</v>
      </c>
      <c r="H445" s="31"/>
      <c r="I445" s="31" t="s">
        <v>415</v>
      </c>
      <c r="J445" s="32" t="n">
        <v>10.0</v>
      </c>
      <c r="K445" s="33" t="n">
        <f>277</f>
        <v>277.0</v>
      </c>
      <c r="L445" s="34" t="s">
        <v>48</v>
      </c>
      <c r="M445" s="33" t="n">
        <f>345.6</f>
        <v>345.6</v>
      </c>
      <c r="N445" s="34" t="s">
        <v>273</v>
      </c>
      <c r="O445" s="33" t="n">
        <f>273.3</f>
        <v>273.3</v>
      </c>
      <c r="P445" s="34" t="s">
        <v>48</v>
      </c>
      <c r="Q445" s="33" t="n">
        <f>330</f>
        <v>330.0</v>
      </c>
      <c r="R445" s="34" t="s">
        <v>50</v>
      </c>
      <c r="S445" s="35" t="n">
        <f>299.72</f>
        <v>299.72</v>
      </c>
      <c r="T445" s="32" t="n">
        <f>8091890</f>
        <v>8091890.0</v>
      </c>
      <c r="U445" s="32" t="n">
        <f>210</f>
        <v>210.0</v>
      </c>
      <c r="V445" s="32" t="n">
        <f>2485902757</f>
        <v>2.485902757E9</v>
      </c>
      <c r="W445" s="32" t="n">
        <f>66820</f>
        <v>66820.0</v>
      </c>
      <c r="X445" s="36" t="n">
        <f>19</f>
        <v>19.0</v>
      </c>
    </row>
    <row r="446">
      <c r="A446" s="27" t="s">
        <v>42</v>
      </c>
      <c r="B446" s="27" t="s">
        <v>1382</v>
      </c>
      <c r="C446" s="27" t="s">
        <v>1383</v>
      </c>
      <c r="D446" s="27" t="s">
        <v>1384</v>
      </c>
      <c r="E446" s="28" t="s">
        <v>46</v>
      </c>
      <c r="F446" s="29" t="s">
        <v>46</v>
      </c>
      <c r="G446" s="30" t="s">
        <v>46</v>
      </c>
      <c r="H446" s="31"/>
      <c r="I446" s="31" t="s">
        <v>415</v>
      </c>
      <c r="J446" s="32" t="n">
        <v>10.0</v>
      </c>
      <c r="K446" s="33" t="n">
        <f>270</f>
        <v>270.0</v>
      </c>
      <c r="L446" s="34" t="s">
        <v>48</v>
      </c>
      <c r="M446" s="33" t="n">
        <f>343</f>
        <v>343.0</v>
      </c>
      <c r="N446" s="34" t="s">
        <v>70</v>
      </c>
      <c r="O446" s="33" t="n">
        <f>270</f>
        <v>270.0</v>
      </c>
      <c r="P446" s="34" t="s">
        <v>48</v>
      </c>
      <c r="Q446" s="33" t="n">
        <f>318.6</f>
        <v>318.6</v>
      </c>
      <c r="R446" s="34" t="s">
        <v>50</v>
      </c>
      <c r="S446" s="35" t="n">
        <f>294.63</f>
        <v>294.63</v>
      </c>
      <c r="T446" s="32" t="n">
        <f>3700260</f>
        <v>3700260.0</v>
      </c>
      <c r="U446" s="32" t="str">
        <f>"－"</f>
        <v>－</v>
      </c>
      <c r="V446" s="32" t="n">
        <f>1162984223</f>
        <v>1.162984223E9</v>
      </c>
      <c r="W446" s="32" t="str">
        <f>"－"</f>
        <v>－</v>
      </c>
      <c r="X446" s="36" t="n">
        <f>19</f>
        <v>19.0</v>
      </c>
    </row>
    <row r="447">
      <c r="A447" s="27" t="s">
        <v>42</v>
      </c>
      <c r="B447" s="27" t="s">
        <v>1385</v>
      </c>
      <c r="C447" s="27" t="s">
        <v>1386</v>
      </c>
      <c r="D447" s="27" t="s">
        <v>1387</v>
      </c>
      <c r="E447" s="28" t="s">
        <v>46</v>
      </c>
      <c r="F447" s="29" t="s">
        <v>46</v>
      </c>
      <c r="G447" s="30" t="s">
        <v>46</v>
      </c>
      <c r="H447" s="31"/>
      <c r="I447" s="31" t="s">
        <v>415</v>
      </c>
      <c r="J447" s="32" t="n">
        <v>10.0</v>
      </c>
      <c r="K447" s="33" t="n">
        <f>732</f>
        <v>732.0</v>
      </c>
      <c r="L447" s="34" t="s">
        <v>48</v>
      </c>
      <c r="M447" s="33" t="n">
        <f>756</f>
        <v>756.0</v>
      </c>
      <c r="N447" s="34" t="s">
        <v>74</v>
      </c>
      <c r="O447" s="33" t="n">
        <f>718</f>
        <v>718.0</v>
      </c>
      <c r="P447" s="34" t="s">
        <v>273</v>
      </c>
      <c r="Q447" s="33" t="n">
        <f>720.7</f>
        <v>720.7</v>
      </c>
      <c r="R447" s="34" t="s">
        <v>50</v>
      </c>
      <c r="S447" s="35" t="n">
        <f>734.58</f>
        <v>734.58</v>
      </c>
      <c r="T447" s="32" t="n">
        <f>771520</f>
        <v>771520.0</v>
      </c>
      <c r="U447" s="32" t="str">
        <f>"－"</f>
        <v>－</v>
      </c>
      <c r="V447" s="32" t="n">
        <f>564400572</f>
        <v>5.64400572E8</v>
      </c>
      <c r="W447" s="32" t="str">
        <f>"－"</f>
        <v>－</v>
      </c>
      <c r="X447" s="36" t="n">
        <f>19</f>
        <v>19.0</v>
      </c>
    </row>
    <row r="448">
      <c r="A448" s="27" t="s">
        <v>42</v>
      </c>
      <c r="B448" s="27" t="s">
        <v>1388</v>
      </c>
      <c r="C448" s="27" t="s">
        <v>1389</v>
      </c>
      <c r="D448" s="27" t="s">
        <v>1390</v>
      </c>
      <c r="E448" s="28" t="s">
        <v>46</v>
      </c>
      <c r="F448" s="29" t="s">
        <v>46</v>
      </c>
      <c r="G448" s="30" t="s">
        <v>46</v>
      </c>
      <c r="H448" s="31"/>
      <c r="I448" s="31" t="s">
        <v>415</v>
      </c>
      <c r="J448" s="32" t="n">
        <v>10.0</v>
      </c>
      <c r="K448" s="33" t="n">
        <f>718.3</f>
        <v>718.3</v>
      </c>
      <c r="L448" s="34" t="s">
        <v>48</v>
      </c>
      <c r="M448" s="33" t="n">
        <f>732</f>
        <v>732.0</v>
      </c>
      <c r="N448" s="34" t="s">
        <v>70</v>
      </c>
      <c r="O448" s="33" t="n">
        <f>710.1</f>
        <v>710.1</v>
      </c>
      <c r="P448" s="34" t="s">
        <v>213</v>
      </c>
      <c r="Q448" s="33" t="n">
        <f>723.7</f>
        <v>723.7</v>
      </c>
      <c r="R448" s="34" t="s">
        <v>50</v>
      </c>
      <c r="S448" s="35" t="n">
        <f>723.17</f>
        <v>723.17</v>
      </c>
      <c r="T448" s="32" t="n">
        <f>2805710</f>
        <v>2805710.0</v>
      </c>
      <c r="U448" s="32" t="n">
        <f>278500</f>
        <v>278500.0</v>
      </c>
      <c r="V448" s="32" t="n">
        <f>2014416521</f>
        <v>2.014416521E9</v>
      </c>
      <c r="W448" s="32" t="n">
        <f>200569740</f>
        <v>2.0056974E8</v>
      </c>
      <c r="X448" s="36" t="n">
        <f>19</f>
        <v>19.0</v>
      </c>
    </row>
    <row r="449">
      <c r="A449" s="27" t="s">
        <v>42</v>
      </c>
      <c r="B449" s="27" t="s">
        <v>1391</v>
      </c>
      <c r="C449" s="27" t="s">
        <v>1392</v>
      </c>
      <c r="D449" s="27" t="s">
        <v>1393</v>
      </c>
      <c r="E449" s="28" t="s">
        <v>46</v>
      </c>
      <c r="F449" s="29" t="s">
        <v>46</v>
      </c>
      <c r="G449" s="30" t="s">
        <v>46</v>
      </c>
      <c r="H449" s="31"/>
      <c r="I449" s="31" t="s">
        <v>415</v>
      </c>
      <c r="J449" s="32" t="n">
        <v>10.0</v>
      </c>
      <c r="K449" s="33" t="n">
        <f>262</f>
        <v>262.0</v>
      </c>
      <c r="L449" s="34" t="s">
        <v>48</v>
      </c>
      <c r="M449" s="33" t="n">
        <f>286.9</f>
        <v>286.9</v>
      </c>
      <c r="N449" s="34" t="s">
        <v>74</v>
      </c>
      <c r="O449" s="33" t="n">
        <f>259</f>
        <v>259.0</v>
      </c>
      <c r="P449" s="34" t="s">
        <v>70</v>
      </c>
      <c r="Q449" s="33" t="n">
        <f>261.4</f>
        <v>261.4</v>
      </c>
      <c r="R449" s="34" t="s">
        <v>50</v>
      </c>
      <c r="S449" s="35" t="n">
        <f>267.3</f>
        <v>267.3</v>
      </c>
      <c r="T449" s="32" t="n">
        <f>754610</f>
        <v>754610.0</v>
      </c>
      <c r="U449" s="32" t="n">
        <f>60</f>
        <v>60.0</v>
      </c>
      <c r="V449" s="32" t="n">
        <f>201087199</f>
        <v>2.01087199E8</v>
      </c>
      <c r="W449" s="32" t="n">
        <f>15437</f>
        <v>15437.0</v>
      </c>
      <c r="X449" s="36" t="n">
        <f>19</f>
        <v>19.0</v>
      </c>
    </row>
    <row r="450">
      <c r="A450" s="27" t="s">
        <v>42</v>
      </c>
      <c r="B450" s="27" t="s">
        <v>1394</v>
      </c>
      <c r="C450" s="27" t="s">
        <v>1395</v>
      </c>
      <c r="D450" s="27" t="s">
        <v>1396</v>
      </c>
      <c r="E450" s="28" t="s">
        <v>46</v>
      </c>
      <c r="F450" s="29" t="s">
        <v>46</v>
      </c>
      <c r="G450" s="30" t="s">
        <v>46</v>
      </c>
      <c r="H450" s="31"/>
      <c r="I450" s="31" t="s">
        <v>415</v>
      </c>
      <c r="J450" s="32" t="n">
        <v>10.0</v>
      </c>
      <c r="K450" s="33" t="n">
        <f>826.1</f>
        <v>826.1</v>
      </c>
      <c r="L450" s="34" t="s">
        <v>48</v>
      </c>
      <c r="M450" s="33" t="n">
        <f>832.5</f>
        <v>832.5</v>
      </c>
      <c r="N450" s="34" t="s">
        <v>60</v>
      </c>
      <c r="O450" s="33" t="n">
        <f>790</f>
        <v>790.0</v>
      </c>
      <c r="P450" s="34" t="s">
        <v>273</v>
      </c>
      <c r="Q450" s="33" t="n">
        <f>798.5</f>
        <v>798.5</v>
      </c>
      <c r="R450" s="34" t="s">
        <v>50</v>
      </c>
      <c r="S450" s="35" t="n">
        <f>813.39</f>
        <v>813.39</v>
      </c>
      <c r="T450" s="32" t="n">
        <f>1603460</f>
        <v>1603460.0</v>
      </c>
      <c r="U450" s="32" t="n">
        <f>280</f>
        <v>280.0</v>
      </c>
      <c r="V450" s="32" t="n">
        <f>1302687888</f>
        <v>1.302687888E9</v>
      </c>
      <c r="W450" s="32" t="n">
        <f>208320</f>
        <v>208320.0</v>
      </c>
      <c r="X450" s="36" t="n">
        <f>19</f>
        <v>19.0</v>
      </c>
    </row>
    <row r="451">
      <c r="A451" s="27" t="s">
        <v>42</v>
      </c>
      <c r="B451" s="27" t="s">
        <v>1397</v>
      </c>
      <c r="C451" s="27" t="s">
        <v>1398</v>
      </c>
      <c r="D451" s="27" t="s">
        <v>1399</v>
      </c>
      <c r="E451" s="28" t="s">
        <v>46</v>
      </c>
      <c r="F451" s="29" t="s">
        <v>46</v>
      </c>
      <c r="G451" s="30" t="s">
        <v>46</v>
      </c>
      <c r="H451" s="31"/>
      <c r="I451" s="31" t="s">
        <v>415</v>
      </c>
      <c r="J451" s="32" t="n">
        <v>10.0</v>
      </c>
      <c r="K451" s="33" t="n">
        <f>806</f>
        <v>806.0</v>
      </c>
      <c r="L451" s="34" t="s">
        <v>48</v>
      </c>
      <c r="M451" s="33" t="n">
        <f>819</f>
        <v>819.0</v>
      </c>
      <c r="N451" s="34" t="s">
        <v>74</v>
      </c>
      <c r="O451" s="33" t="n">
        <f>776.6</f>
        <v>776.6</v>
      </c>
      <c r="P451" s="34" t="s">
        <v>70</v>
      </c>
      <c r="Q451" s="33" t="n">
        <f>780.9</f>
        <v>780.9</v>
      </c>
      <c r="R451" s="34" t="s">
        <v>50</v>
      </c>
      <c r="S451" s="35" t="n">
        <f>801.12</f>
        <v>801.12</v>
      </c>
      <c r="T451" s="32" t="n">
        <f>2051300</f>
        <v>2051300.0</v>
      </c>
      <c r="U451" s="32" t="n">
        <f>10</f>
        <v>10.0</v>
      </c>
      <c r="V451" s="32" t="n">
        <f>1628998008</f>
        <v>1.628998008E9</v>
      </c>
      <c r="W451" s="32" t="n">
        <f>8129</f>
        <v>8129.0</v>
      </c>
      <c r="X451" s="36" t="n">
        <f>19</f>
        <v>19.0</v>
      </c>
    </row>
    <row r="452">
      <c r="A452" s="27" t="s">
        <v>42</v>
      </c>
      <c r="B452" s="27" t="s">
        <v>1400</v>
      </c>
      <c r="C452" s="27" t="s">
        <v>1401</v>
      </c>
      <c r="D452" s="27" t="s">
        <v>1402</v>
      </c>
      <c r="E452" s="28" t="s">
        <v>46</v>
      </c>
      <c r="F452" s="29" t="s">
        <v>46</v>
      </c>
      <c r="G452" s="30" t="s">
        <v>46</v>
      </c>
      <c r="H452" s="31"/>
      <c r="I452" s="31" t="s">
        <v>415</v>
      </c>
      <c r="J452" s="32" t="n">
        <v>1.0</v>
      </c>
      <c r="K452" s="33" t="n">
        <f>11300</f>
        <v>11300.0</v>
      </c>
      <c r="L452" s="34" t="s">
        <v>48</v>
      </c>
      <c r="M452" s="33" t="n">
        <f>12000</f>
        <v>12000.0</v>
      </c>
      <c r="N452" s="34" t="s">
        <v>213</v>
      </c>
      <c r="O452" s="33" t="n">
        <f>11230</f>
        <v>11230.0</v>
      </c>
      <c r="P452" s="34" t="s">
        <v>195</v>
      </c>
      <c r="Q452" s="33" t="n">
        <f>11535</f>
        <v>11535.0</v>
      </c>
      <c r="R452" s="34" t="s">
        <v>50</v>
      </c>
      <c r="S452" s="35" t="n">
        <f>11631.05</f>
        <v>11631.05</v>
      </c>
      <c r="T452" s="32" t="n">
        <f>3633</f>
        <v>3633.0</v>
      </c>
      <c r="U452" s="32" t="str">
        <f>"－"</f>
        <v>－</v>
      </c>
      <c r="V452" s="32" t="n">
        <f>42082780</f>
        <v>4.208278E7</v>
      </c>
      <c r="W452" s="32" t="str">
        <f>"－"</f>
        <v>－</v>
      </c>
      <c r="X452" s="36" t="n">
        <f>19</f>
        <v>19.0</v>
      </c>
    </row>
    <row r="453">
      <c r="A453" s="27" t="s">
        <v>42</v>
      </c>
      <c r="B453" s="27" t="s">
        <v>1403</v>
      </c>
      <c r="C453" s="27" t="s">
        <v>1404</v>
      </c>
      <c r="D453" s="27" t="s">
        <v>1405</v>
      </c>
      <c r="E453" s="28" t="s">
        <v>46</v>
      </c>
      <c r="F453" s="29" t="s">
        <v>46</v>
      </c>
      <c r="G453" s="30" t="s">
        <v>46</v>
      </c>
      <c r="H453" s="31"/>
      <c r="I453" s="31" t="s">
        <v>415</v>
      </c>
      <c r="J453" s="32" t="n">
        <v>1.0</v>
      </c>
      <c r="K453" s="33" t="n">
        <f>2167</f>
        <v>2167.0</v>
      </c>
      <c r="L453" s="34" t="s">
        <v>48</v>
      </c>
      <c r="M453" s="33" t="n">
        <f>2379</f>
        <v>2379.0</v>
      </c>
      <c r="N453" s="34" t="s">
        <v>74</v>
      </c>
      <c r="O453" s="33" t="n">
        <f>2161</f>
        <v>2161.0</v>
      </c>
      <c r="P453" s="34" t="s">
        <v>48</v>
      </c>
      <c r="Q453" s="33" t="n">
        <f>2274</f>
        <v>2274.0</v>
      </c>
      <c r="R453" s="34" t="s">
        <v>50</v>
      </c>
      <c r="S453" s="35" t="n">
        <f>2262.05</f>
        <v>2262.05</v>
      </c>
      <c r="T453" s="32" t="n">
        <f>197373</f>
        <v>197373.0</v>
      </c>
      <c r="U453" s="32" t="n">
        <f>1772</f>
        <v>1772.0</v>
      </c>
      <c r="V453" s="32" t="n">
        <f>444275183</f>
        <v>4.44275183E8</v>
      </c>
      <c r="W453" s="32" t="n">
        <f>3999912</f>
        <v>3999912.0</v>
      </c>
      <c r="X453" s="36" t="n">
        <f>19</f>
        <v>19.0</v>
      </c>
    </row>
    <row r="454">
      <c r="A454" s="27" t="s">
        <v>42</v>
      </c>
      <c r="B454" s="27" t="s">
        <v>1406</v>
      </c>
      <c r="C454" s="27" t="s">
        <v>1407</v>
      </c>
      <c r="D454" s="27" t="s">
        <v>1408</v>
      </c>
      <c r="E454" s="28" t="s">
        <v>46</v>
      </c>
      <c r="F454" s="29" t="s">
        <v>46</v>
      </c>
      <c r="G454" s="30" t="s">
        <v>46</v>
      </c>
      <c r="H454" s="31"/>
      <c r="I454" s="31" t="s">
        <v>415</v>
      </c>
      <c r="J454" s="32" t="n">
        <v>1.0</v>
      </c>
      <c r="K454" s="33" t="n">
        <f>1093</f>
        <v>1093.0</v>
      </c>
      <c r="L454" s="34" t="s">
        <v>48</v>
      </c>
      <c r="M454" s="33" t="n">
        <f>1194</f>
        <v>1194.0</v>
      </c>
      <c r="N454" s="34" t="s">
        <v>65</v>
      </c>
      <c r="O454" s="33" t="n">
        <f>1075</f>
        <v>1075.0</v>
      </c>
      <c r="P454" s="34" t="s">
        <v>48</v>
      </c>
      <c r="Q454" s="33" t="n">
        <f>1147</f>
        <v>1147.0</v>
      </c>
      <c r="R454" s="34" t="s">
        <v>50</v>
      </c>
      <c r="S454" s="35" t="n">
        <f>1126.95</f>
        <v>1126.95</v>
      </c>
      <c r="T454" s="32" t="n">
        <f>1686597</f>
        <v>1686597.0</v>
      </c>
      <c r="U454" s="32" t="n">
        <f>656051</f>
        <v>656051.0</v>
      </c>
      <c r="V454" s="32" t="n">
        <f>1891459949</f>
        <v>1.891459949E9</v>
      </c>
      <c r="W454" s="32" t="n">
        <f>739379632</f>
        <v>7.39379632E8</v>
      </c>
      <c r="X454" s="36" t="n">
        <f>19</f>
        <v>19.0</v>
      </c>
    </row>
    <row r="455">
      <c r="A455" s="27" t="s">
        <v>42</v>
      </c>
      <c r="B455" s="27" t="s">
        <v>1409</v>
      </c>
      <c r="C455" s="27" t="s">
        <v>1410</v>
      </c>
      <c r="D455" s="27" t="s">
        <v>1411</v>
      </c>
      <c r="E455" s="28" t="s">
        <v>46</v>
      </c>
      <c r="F455" s="29" t="s">
        <v>46</v>
      </c>
      <c r="G455" s="30" t="s">
        <v>46</v>
      </c>
      <c r="H455" s="31"/>
      <c r="I455" s="31" t="s">
        <v>415</v>
      </c>
      <c r="J455" s="32" t="n">
        <v>1.0</v>
      </c>
      <c r="K455" s="33" t="n">
        <f>1098</f>
        <v>1098.0</v>
      </c>
      <c r="L455" s="34" t="s">
        <v>48</v>
      </c>
      <c r="M455" s="33" t="n">
        <f>1341</f>
        <v>1341.0</v>
      </c>
      <c r="N455" s="34" t="s">
        <v>103</v>
      </c>
      <c r="O455" s="33" t="n">
        <f>1085</f>
        <v>1085.0</v>
      </c>
      <c r="P455" s="34" t="s">
        <v>48</v>
      </c>
      <c r="Q455" s="33" t="n">
        <f>1223</f>
        <v>1223.0</v>
      </c>
      <c r="R455" s="34" t="s">
        <v>50</v>
      </c>
      <c r="S455" s="35" t="n">
        <f>1250.84</f>
        <v>1250.84</v>
      </c>
      <c r="T455" s="32" t="n">
        <f>10082681</f>
        <v>1.0082681E7</v>
      </c>
      <c r="U455" s="32" t="n">
        <f>37842</f>
        <v>37842.0</v>
      </c>
      <c r="V455" s="32" t="n">
        <f>12711973731</f>
        <v>1.2711973731E10</v>
      </c>
      <c r="W455" s="32" t="n">
        <f>46297488</f>
        <v>4.6297488E7</v>
      </c>
      <c r="X455" s="36" t="n">
        <f>19</f>
        <v>19.0</v>
      </c>
    </row>
    <row r="456">
      <c r="A456" s="27" t="s">
        <v>42</v>
      </c>
      <c r="B456" s="27" t="s">
        <v>1412</v>
      </c>
      <c r="C456" s="27" t="s">
        <v>1413</v>
      </c>
      <c r="D456" s="27" t="s">
        <v>1414</v>
      </c>
      <c r="E456" s="28" t="s">
        <v>46</v>
      </c>
      <c r="F456" s="29" t="s">
        <v>46</v>
      </c>
      <c r="G456" s="30" t="s">
        <v>46</v>
      </c>
      <c r="H456" s="31"/>
      <c r="I456" s="31" t="s">
        <v>415</v>
      </c>
      <c r="J456" s="32" t="n">
        <v>10.0</v>
      </c>
      <c r="K456" s="33" t="n">
        <f>307.8</f>
        <v>307.8</v>
      </c>
      <c r="L456" s="34" t="s">
        <v>48</v>
      </c>
      <c r="M456" s="33" t="n">
        <f>307.8</f>
        <v>307.8</v>
      </c>
      <c r="N456" s="34" t="s">
        <v>48</v>
      </c>
      <c r="O456" s="33" t="n">
        <f>293.9</f>
        <v>293.9</v>
      </c>
      <c r="P456" s="34" t="s">
        <v>48</v>
      </c>
      <c r="Q456" s="33" t="n">
        <f>298</f>
        <v>298.0</v>
      </c>
      <c r="R456" s="34" t="s">
        <v>50</v>
      </c>
      <c r="S456" s="35" t="n">
        <f>298.74</f>
        <v>298.74</v>
      </c>
      <c r="T456" s="32" t="n">
        <f>910240</f>
        <v>910240.0</v>
      </c>
      <c r="U456" s="32" t="str">
        <f>"－"</f>
        <v>－</v>
      </c>
      <c r="V456" s="32" t="n">
        <f>269973174</f>
        <v>2.69973174E8</v>
      </c>
      <c r="W456" s="32" t="str">
        <f>"－"</f>
        <v>－</v>
      </c>
      <c r="X456" s="36" t="n">
        <f>19</f>
        <v>19.0</v>
      </c>
    </row>
    <row r="457">
      <c r="A457" s="27" t="s">
        <v>42</v>
      </c>
      <c r="B457" s="27" t="s">
        <v>1415</v>
      </c>
      <c r="C457" s="27" t="s">
        <v>1416</v>
      </c>
      <c r="D457" s="27" t="s">
        <v>1417</v>
      </c>
      <c r="E457" s="28" t="s">
        <v>46</v>
      </c>
      <c r="F457" s="29" t="s">
        <v>46</v>
      </c>
      <c r="G457" s="30" t="s">
        <v>46</v>
      </c>
      <c r="H457" s="31"/>
      <c r="I457" s="31" t="s">
        <v>415</v>
      </c>
      <c r="J457" s="32" t="n">
        <v>10.0</v>
      </c>
      <c r="K457" s="33" t="n">
        <f>300.5</f>
        <v>300.5</v>
      </c>
      <c r="L457" s="34" t="s">
        <v>48</v>
      </c>
      <c r="M457" s="33" t="n">
        <f>305.2</f>
        <v>305.2</v>
      </c>
      <c r="N457" s="34" t="s">
        <v>65</v>
      </c>
      <c r="O457" s="33" t="n">
        <f>291.3</f>
        <v>291.3</v>
      </c>
      <c r="P457" s="34" t="s">
        <v>61</v>
      </c>
      <c r="Q457" s="33" t="n">
        <f>293.3</f>
        <v>293.3</v>
      </c>
      <c r="R457" s="34" t="s">
        <v>50</v>
      </c>
      <c r="S457" s="35" t="n">
        <f>299.78</f>
        <v>299.78</v>
      </c>
      <c r="T457" s="32" t="n">
        <f>1430600</f>
        <v>1430600.0</v>
      </c>
      <c r="U457" s="32" t="str">
        <f>"－"</f>
        <v>－</v>
      </c>
      <c r="V457" s="32" t="n">
        <f>424858672</f>
        <v>4.24858672E8</v>
      </c>
      <c r="W457" s="32" t="str">
        <f>"－"</f>
        <v>－</v>
      </c>
      <c r="X457" s="36" t="n">
        <f>19</f>
        <v>19.0</v>
      </c>
    </row>
    <row r="458">
      <c r="A458" s="27" t="s">
        <v>42</v>
      </c>
      <c r="B458" s="27" t="s">
        <v>1418</v>
      </c>
      <c r="C458" s="27" t="s">
        <v>1419</v>
      </c>
      <c r="D458" s="27" t="s">
        <v>1420</v>
      </c>
      <c r="E458" s="28" t="s">
        <v>46</v>
      </c>
      <c r="F458" s="29" t="s">
        <v>46</v>
      </c>
      <c r="G458" s="30" t="s">
        <v>46</v>
      </c>
      <c r="H458" s="31"/>
      <c r="I458" s="31" t="s">
        <v>415</v>
      </c>
      <c r="J458" s="32" t="n">
        <v>1.0</v>
      </c>
      <c r="K458" s="33" t="n">
        <f>1019</f>
        <v>1019.0</v>
      </c>
      <c r="L458" s="34" t="s">
        <v>48</v>
      </c>
      <c r="M458" s="33" t="n">
        <f>1093</f>
        <v>1093.0</v>
      </c>
      <c r="N458" s="34" t="s">
        <v>74</v>
      </c>
      <c r="O458" s="33" t="n">
        <f>1019</f>
        <v>1019.0</v>
      </c>
      <c r="P458" s="34" t="s">
        <v>48</v>
      </c>
      <c r="Q458" s="33" t="n">
        <f>1071</f>
        <v>1071.0</v>
      </c>
      <c r="R458" s="34" t="s">
        <v>50</v>
      </c>
      <c r="S458" s="35" t="n">
        <f>1065.37</f>
        <v>1065.37</v>
      </c>
      <c r="T458" s="32" t="n">
        <f>230138</f>
        <v>230138.0</v>
      </c>
      <c r="U458" s="32" t="n">
        <f>10</f>
        <v>10.0</v>
      </c>
      <c r="V458" s="32" t="n">
        <f>244733271</f>
        <v>2.44733271E8</v>
      </c>
      <c r="W458" s="32" t="n">
        <f>10630</f>
        <v>10630.0</v>
      </c>
      <c r="X458" s="36" t="n">
        <f>19</f>
        <v>19.0</v>
      </c>
    </row>
    <row r="459">
      <c r="A459" s="27" t="s">
        <v>42</v>
      </c>
      <c r="B459" s="27" t="s">
        <v>1421</v>
      </c>
      <c r="C459" s="27" t="s">
        <v>1422</v>
      </c>
      <c r="D459" s="27" t="s">
        <v>1423</v>
      </c>
      <c r="E459" s="28" t="s">
        <v>46</v>
      </c>
      <c r="F459" s="29" t="s">
        <v>46</v>
      </c>
      <c r="G459" s="30" t="s">
        <v>46</v>
      </c>
      <c r="H459" s="31"/>
      <c r="I459" s="31" t="s">
        <v>415</v>
      </c>
      <c r="J459" s="32" t="n">
        <v>1.0</v>
      </c>
      <c r="K459" s="33" t="n">
        <f>2088</f>
        <v>2088.0</v>
      </c>
      <c r="L459" s="34" t="s">
        <v>48</v>
      </c>
      <c r="M459" s="33" t="n">
        <f>2168</f>
        <v>2168.0</v>
      </c>
      <c r="N459" s="34" t="s">
        <v>74</v>
      </c>
      <c r="O459" s="33" t="n">
        <f>2048</f>
        <v>2048.0</v>
      </c>
      <c r="P459" s="34" t="s">
        <v>48</v>
      </c>
      <c r="Q459" s="33" t="n">
        <f>2061</f>
        <v>2061.0</v>
      </c>
      <c r="R459" s="34" t="s">
        <v>50</v>
      </c>
      <c r="S459" s="35" t="n">
        <f>2087.79</f>
        <v>2087.79</v>
      </c>
      <c r="T459" s="32" t="n">
        <f>202128</f>
        <v>202128.0</v>
      </c>
      <c r="U459" s="32" t="n">
        <f>49</f>
        <v>49.0</v>
      </c>
      <c r="V459" s="32" t="n">
        <f>420089001</f>
        <v>4.20089001E8</v>
      </c>
      <c r="W459" s="32" t="n">
        <f>95269</f>
        <v>95269.0</v>
      </c>
      <c r="X459" s="36" t="n">
        <f>19</f>
        <v>19.0</v>
      </c>
    </row>
    <row r="460">
      <c r="A460" s="27" t="s">
        <v>42</v>
      </c>
      <c r="B460" s="27" t="s">
        <v>1424</v>
      </c>
      <c r="C460" s="27" t="s">
        <v>1425</v>
      </c>
      <c r="D460" s="27" t="s">
        <v>1426</v>
      </c>
      <c r="E460" s="28" t="s">
        <v>46</v>
      </c>
      <c r="F460" s="29" t="s">
        <v>46</v>
      </c>
      <c r="G460" s="30" t="s">
        <v>46</v>
      </c>
      <c r="H460" s="31"/>
      <c r="I460" s="31" t="s">
        <v>415</v>
      </c>
      <c r="J460" s="32" t="n">
        <v>1.0</v>
      </c>
      <c r="K460" s="33" t="n">
        <f>2070</f>
        <v>2070.0</v>
      </c>
      <c r="L460" s="34" t="s">
        <v>48</v>
      </c>
      <c r="M460" s="33" t="n">
        <f>2179</f>
        <v>2179.0</v>
      </c>
      <c r="N460" s="34" t="s">
        <v>74</v>
      </c>
      <c r="O460" s="33" t="n">
        <f>2006</f>
        <v>2006.0</v>
      </c>
      <c r="P460" s="34" t="s">
        <v>50</v>
      </c>
      <c r="Q460" s="33" t="n">
        <f>2046</f>
        <v>2046.0</v>
      </c>
      <c r="R460" s="34" t="s">
        <v>50</v>
      </c>
      <c r="S460" s="35" t="n">
        <f>2076.84</f>
        <v>2076.84</v>
      </c>
      <c r="T460" s="32" t="n">
        <f>271764</f>
        <v>271764.0</v>
      </c>
      <c r="U460" s="32" t="n">
        <f>115000</f>
        <v>115000.0</v>
      </c>
      <c r="V460" s="32" t="n">
        <f>559909437</f>
        <v>5.59909437E8</v>
      </c>
      <c r="W460" s="32" t="n">
        <f>235570500</f>
        <v>2.355705E8</v>
      </c>
      <c r="X460" s="36" t="n">
        <f>19</f>
        <v>19.0</v>
      </c>
    </row>
    <row r="461">
      <c r="A461" s="27" t="s">
        <v>42</v>
      </c>
      <c r="B461" s="27" t="s">
        <v>1427</v>
      </c>
      <c r="C461" s="27" t="s">
        <v>1428</v>
      </c>
      <c r="D461" s="27" t="s">
        <v>1429</v>
      </c>
      <c r="E461" s="28" t="s">
        <v>46</v>
      </c>
      <c r="F461" s="29" t="s">
        <v>46</v>
      </c>
      <c r="G461" s="30" t="s">
        <v>46</v>
      </c>
      <c r="H461" s="31"/>
      <c r="I461" s="31" t="s">
        <v>415</v>
      </c>
      <c r="J461" s="32" t="n">
        <v>10.0</v>
      </c>
      <c r="K461" s="33" t="n">
        <f>795.1</f>
        <v>795.1</v>
      </c>
      <c r="L461" s="34" t="s">
        <v>48</v>
      </c>
      <c r="M461" s="33" t="n">
        <f>815</f>
        <v>815.0</v>
      </c>
      <c r="N461" s="34" t="s">
        <v>61</v>
      </c>
      <c r="O461" s="33" t="n">
        <f>780.4</f>
        <v>780.4</v>
      </c>
      <c r="P461" s="34" t="s">
        <v>74</v>
      </c>
      <c r="Q461" s="33" t="n">
        <f>806.1</f>
        <v>806.1</v>
      </c>
      <c r="R461" s="34" t="s">
        <v>50</v>
      </c>
      <c r="S461" s="35" t="n">
        <f>793.56</f>
        <v>793.56</v>
      </c>
      <c r="T461" s="32" t="n">
        <f>2029450</f>
        <v>2029450.0</v>
      </c>
      <c r="U461" s="32" t="n">
        <f>1235000</f>
        <v>1235000.0</v>
      </c>
      <c r="V461" s="32" t="n">
        <f>1637655858</f>
        <v>1.637655858E9</v>
      </c>
      <c r="W461" s="32" t="n">
        <f>1004236000</f>
        <v>1.004236E9</v>
      </c>
      <c r="X461" s="36" t="n">
        <f>19</f>
        <v>19.0</v>
      </c>
    </row>
    <row r="462">
      <c r="A462" s="27" t="s">
        <v>42</v>
      </c>
      <c r="B462" s="27" t="s">
        <v>1430</v>
      </c>
      <c r="C462" s="27" t="s">
        <v>1431</v>
      </c>
      <c r="D462" s="27" t="s">
        <v>1432</v>
      </c>
      <c r="E462" s="28" t="s">
        <v>46</v>
      </c>
      <c r="F462" s="29" t="s">
        <v>46</v>
      </c>
      <c r="G462" s="30" t="s">
        <v>46</v>
      </c>
      <c r="H462" s="31"/>
      <c r="I462" s="31" t="s">
        <v>415</v>
      </c>
      <c r="J462" s="32" t="n">
        <v>1.0</v>
      </c>
      <c r="K462" s="33" t="n">
        <f>1010</f>
        <v>1010.0</v>
      </c>
      <c r="L462" s="34" t="s">
        <v>48</v>
      </c>
      <c r="M462" s="33" t="n">
        <f>1019</f>
        <v>1019.0</v>
      </c>
      <c r="N462" s="34" t="s">
        <v>49</v>
      </c>
      <c r="O462" s="33" t="n">
        <f>949</f>
        <v>949.0</v>
      </c>
      <c r="P462" s="34" t="s">
        <v>61</v>
      </c>
      <c r="Q462" s="33" t="n">
        <f>958</f>
        <v>958.0</v>
      </c>
      <c r="R462" s="34" t="s">
        <v>50</v>
      </c>
      <c r="S462" s="35" t="n">
        <f>987.21</f>
        <v>987.21</v>
      </c>
      <c r="T462" s="32" t="n">
        <f>22338</f>
        <v>22338.0</v>
      </c>
      <c r="U462" s="32" t="str">
        <f>"－"</f>
        <v>－</v>
      </c>
      <c r="V462" s="32" t="n">
        <f>22201914</f>
        <v>2.2201914E7</v>
      </c>
      <c r="W462" s="32" t="str">
        <f>"－"</f>
        <v>－</v>
      </c>
      <c r="X462" s="36" t="n">
        <f>19</f>
        <v>19.0</v>
      </c>
    </row>
    <row r="463">
      <c r="A463" s="27" t="s">
        <v>42</v>
      </c>
      <c r="B463" s="27" t="s">
        <v>1433</v>
      </c>
      <c r="C463" s="27" t="s">
        <v>1434</v>
      </c>
      <c r="D463" s="27" t="s">
        <v>1435</v>
      </c>
      <c r="E463" s="28" t="s">
        <v>1436</v>
      </c>
      <c r="F463" s="29" t="s">
        <v>1437</v>
      </c>
      <c r="G463" s="30" t="s">
        <v>1438</v>
      </c>
      <c r="H463" s="31"/>
      <c r="I463" s="31" t="s">
        <v>415</v>
      </c>
      <c r="J463" s="32" t="n">
        <v>10.0</v>
      </c>
      <c r="K463" s="33" t="n">
        <f>511</f>
        <v>511.0</v>
      </c>
      <c r="L463" s="34" t="s">
        <v>61</v>
      </c>
      <c r="M463" s="33" t="n">
        <f>525</f>
        <v>525.0</v>
      </c>
      <c r="N463" s="34" t="s">
        <v>70</v>
      </c>
      <c r="O463" s="33" t="n">
        <f>505.2</f>
        <v>505.2</v>
      </c>
      <c r="P463" s="34" t="s">
        <v>50</v>
      </c>
      <c r="Q463" s="33" t="n">
        <f>505.7</f>
        <v>505.7</v>
      </c>
      <c r="R463" s="34" t="s">
        <v>50</v>
      </c>
      <c r="S463" s="35" t="n">
        <f>510.17</f>
        <v>510.17</v>
      </c>
      <c r="T463" s="32" t="n">
        <f>21350</f>
        <v>21350.0</v>
      </c>
      <c r="U463" s="32" t="str">
        <f>"－"</f>
        <v>－</v>
      </c>
      <c r="V463" s="32" t="n">
        <f>10898879</f>
        <v>1.0898879E7</v>
      </c>
      <c r="W463" s="32" t="str">
        <f>"－"</f>
        <v>－</v>
      </c>
      <c r="X463" s="36" t="n">
        <f>3</f>
        <v>3.0</v>
      </c>
    </row>
    <row r="464">
      <c r="A464" s="27" t="s">
        <v>42</v>
      </c>
      <c r="B464" s="27" t="s">
        <v>1439</v>
      </c>
      <c r="C464" s="27" t="s">
        <v>1440</v>
      </c>
      <c r="D464" s="27" t="s">
        <v>1441</v>
      </c>
      <c r="E464" s="28" t="s">
        <v>1436</v>
      </c>
      <c r="F464" s="29" t="s">
        <v>1437</v>
      </c>
      <c r="G464" s="30" t="s">
        <v>1442</v>
      </c>
      <c r="H464" s="31"/>
      <c r="I464" s="31" t="s">
        <v>415</v>
      </c>
      <c r="J464" s="32" t="n">
        <v>10.0</v>
      </c>
      <c r="K464" s="33" t="n">
        <f>1003</f>
        <v>1003.0</v>
      </c>
      <c r="L464" s="34" t="s">
        <v>202</v>
      </c>
      <c r="M464" s="33" t="n">
        <f>1015</f>
        <v>1015.0</v>
      </c>
      <c r="N464" s="34" t="s">
        <v>202</v>
      </c>
      <c r="O464" s="33" t="n">
        <f>989.4</f>
        <v>989.4</v>
      </c>
      <c r="P464" s="34" t="s">
        <v>213</v>
      </c>
      <c r="Q464" s="33" t="n">
        <f>999.5</f>
        <v>999.5</v>
      </c>
      <c r="R464" s="34" t="s">
        <v>50</v>
      </c>
      <c r="S464" s="35" t="n">
        <f>999.53</f>
        <v>999.53</v>
      </c>
      <c r="T464" s="32" t="n">
        <f>432770</f>
        <v>432770.0</v>
      </c>
      <c r="U464" s="32" t="n">
        <f>100000</f>
        <v>100000.0</v>
      </c>
      <c r="V464" s="32" t="n">
        <f>431452407</f>
        <v>4.31452407E8</v>
      </c>
      <c r="W464" s="32" t="n">
        <f>100000000</f>
        <v>1.0E8</v>
      </c>
      <c r="X464" s="36" t="n">
        <f>9</f>
        <v>9.0</v>
      </c>
    </row>
    <row r="465">
      <c r="A465" s="27" t="s">
        <v>42</v>
      </c>
      <c r="B465" s="27" t="s">
        <v>1443</v>
      </c>
      <c r="C465" s="27" t="s">
        <v>1444</v>
      </c>
      <c r="D465" s="27" t="s">
        <v>1445</v>
      </c>
      <c r="E465" s="28" t="s">
        <v>1436</v>
      </c>
      <c r="F465" s="29" t="s">
        <v>1437</v>
      </c>
      <c r="G465" s="30" t="s">
        <v>1442</v>
      </c>
      <c r="H465" s="31"/>
      <c r="I465" s="31" t="s">
        <v>415</v>
      </c>
      <c r="J465" s="32" t="n">
        <v>10.0</v>
      </c>
      <c r="K465" s="33" t="n">
        <f>1003</f>
        <v>1003.0</v>
      </c>
      <c r="L465" s="34" t="s">
        <v>202</v>
      </c>
      <c r="M465" s="33" t="n">
        <f>1090.5</f>
        <v>1090.5</v>
      </c>
      <c r="N465" s="34" t="s">
        <v>273</v>
      </c>
      <c r="O465" s="33" t="n">
        <f>998</f>
        <v>998.0</v>
      </c>
      <c r="P465" s="34" t="s">
        <v>273</v>
      </c>
      <c r="Q465" s="33" t="n">
        <f>1000</f>
        <v>1000.0</v>
      </c>
      <c r="R465" s="34" t="s">
        <v>50</v>
      </c>
      <c r="S465" s="35" t="n">
        <f>1000.97</f>
        <v>1000.97</v>
      </c>
      <c r="T465" s="32" t="n">
        <f>138240</f>
        <v>138240.0</v>
      </c>
      <c r="U465" s="32" t="n">
        <f>100000</f>
        <v>100000.0</v>
      </c>
      <c r="V465" s="32" t="n">
        <f>138301646</f>
        <v>1.38301646E8</v>
      </c>
      <c r="W465" s="32" t="n">
        <f>100000000</f>
        <v>1.0E8</v>
      </c>
      <c r="X465" s="36" t="n">
        <f>9</f>
        <v>9.0</v>
      </c>
    </row>
    <row r="466">
      <c r="A466" s="27" t="s">
        <v>42</v>
      </c>
      <c r="B466" s="27" t="s">
        <v>1446</v>
      </c>
      <c r="C466" s="27" t="s">
        <v>1447</v>
      </c>
      <c r="D466" s="27" t="s">
        <v>1448</v>
      </c>
      <c r="E466" s="28" t="s">
        <v>1436</v>
      </c>
      <c r="F466" s="29" t="s">
        <v>1437</v>
      </c>
      <c r="G466" s="30" t="s">
        <v>1442</v>
      </c>
      <c r="H466" s="31"/>
      <c r="I466" s="31" t="s">
        <v>415</v>
      </c>
      <c r="J466" s="32" t="n">
        <v>10.0</v>
      </c>
      <c r="K466" s="33" t="n">
        <f>1003</f>
        <v>1003.0</v>
      </c>
      <c r="L466" s="34" t="s">
        <v>202</v>
      </c>
      <c r="M466" s="33" t="n">
        <f>1003</f>
        <v>1003.0</v>
      </c>
      <c r="N466" s="34" t="s">
        <v>202</v>
      </c>
      <c r="O466" s="33" t="n">
        <f>997.8</f>
        <v>997.8</v>
      </c>
      <c r="P466" s="34" t="s">
        <v>155</v>
      </c>
      <c r="Q466" s="33" t="n">
        <f>1000</f>
        <v>1000.0</v>
      </c>
      <c r="R466" s="34" t="s">
        <v>273</v>
      </c>
      <c r="S466" s="35" t="n">
        <f>999.94</f>
        <v>999.94</v>
      </c>
      <c r="T466" s="32" t="n">
        <f>100950</f>
        <v>100950.0</v>
      </c>
      <c r="U466" s="32" t="n">
        <f>100000</f>
        <v>100000.0</v>
      </c>
      <c r="V466" s="32" t="n">
        <f>100950732</f>
        <v>1.00950732E8</v>
      </c>
      <c r="W466" s="32" t="n">
        <f>100000000</f>
        <v>1.0E8</v>
      </c>
      <c r="X466" s="36" t="n">
        <f>5</f>
        <v>5.0</v>
      </c>
    </row>
    <row r="467">
      <c r="A467" s="27" t="s">
        <v>42</v>
      </c>
      <c r="B467" s="27" t="s">
        <v>1449</v>
      </c>
      <c r="C467" s="27" t="s">
        <v>1450</v>
      </c>
      <c r="D467" s="27" t="s">
        <v>1451</v>
      </c>
      <c r="E467" s="28" t="s">
        <v>1436</v>
      </c>
      <c r="F467" s="29" t="s">
        <v>1437</v>
      </c>
      <c r="G467" s="30" t="s">
        <v>1442</v>
      </c>
      <c r="H467" s="31"/>
      <c r="I467" s="31" t="s">
        <v>415</v>
      </c>
      <c r="J467" s="32" t="n">
        <v>10.0</v>
      </c>
      <c r="K467" s="33" t="n">
        <f>1003</f>
        <v>1003.0</v>
      </c>
      <c r="L467" s="34" t="s">
        <v>202</v>
      </c>
      <c r="M467" s="33" t="n">
        <f>1219.5</f>
        <v>1219.5</v>
      </c>
      <c r="N467" s="34" t="s">
        <v>273</v>
      </c>
      <c r="O467" s="33" t="n">
        <f>992.5</f>
        <v>992.5</v>
      </c>
      <c r="P467" s="34" t="s">
        <v>223</v>
      </c>
      <c r="Q467" s="33" t="n">
        <f>1000.5</f>
        <v>1000.5</v>
      </c>
      <c r="R467" s="34" t="s">
        <v>50</v>
      </c>
      <c r="S467" s="35" t="n">
        <f>998.88</f>
        <v>998.88</v>
      </c>
      <c r="T467" s="32" t="n">
        <f>125590</f>
        <v>125590.0</v>
      </c>
      <c r="U467" s="32" t="n">
        <f>100000</f>
        <v>100000.0</v>
      </c>
      <c r="V467" s="32" t="n">
        <f>125877254</f>
        <v>1.25877254E8</v>
      </c>
      <c r="W467" s="32" t="n">
        <f>100000000</f>
        <v>1.0E8</v>
      </c>
      <c r="X467" s="36" t="n">
        <f>8</f>
        <v>8.0</v>
      </c>
    </row>
    <row r="468">
      <c r="A468" s="27" t="s">
        <v>42</v>
      </c>
      <c r="B468" s="27" t="s">
        <v>1452</v>
      </c>
      <c r="C468" s="27" t="s">
        <v>1453</v>
      </c>
      <c r="D468" s="27" t="s">
        <v>1454</v>
      </c>
      <c r="E468" s="28" t="s">
        <v>1436</v>
      </c>
      <c r="F468" s="29" t="s">
        <v>1437</v>
      </c>
      <c r="G468" s="30" t="s">
        <v>1442</v>
      </c>
      <c r="H468" s="31"/>
      <c r="I468" s="31" t="s">
        <v>415</v>
      </c>
      <c r="J468" s="32" t="n">
        <v>10.0</v>
      </c>
      <c r="K468" s="33" t="n">
        <f>1003</f>
        <v>1003.0</v>
      </c>
      <c r="L468" s="34" t="s">
        <v>202</v>
      </c>
      <c r="M468" s="33" t="n">
        <f>1012</f>
        <v>1012.0</v>
      </c>
      <c r="N468" s="34" t="s">
        <v>155</v>
      </c>
      <c r="O468" s="33" t="n">
        <f>980</f>
        <v>980.0</v>
      </c>
      <c r="P468" s="34" t="s">
        <v>213</v>
      </c>
      <c r="Q468" s="33" t="n">
        <f>1006</f>
        <v>1006.0</v>
      </c>
      <c r="R468" s="34" t="s">
        <v>50</v>
      </c>
      <c r="S468" s="35" t="n">
        <f>997.56</f>
        <v>997.56</v>
      </c>
      <c r="T468" s="32" t="n">
        <f>1768860</f>
        <v>1768860.0</v>
      </c>
      <c r="U468" s="32" t="n">
        <f>100000</f>
        <v>100000.0</v>
      </c>
      <c r="V468" s="32" t="n">
        <f>1764737909</f>
        <v>1.764737909E9</v>
      </c>
      <c r="W468" s="32" t="n">
        <f>100000000</f>
        <v>1.0E8</v>
      </c>
      <c r="X468" s="36" t="n">
        <f>9</f>
        <v>9.0</v>
      </c>
    </row>
    <row r="469">
      <c r="A469" s="27" t="s">
        <v>42</v>
      </c>
      <c r="B469" s="27" t="s">
        <v>1455</v>
      </c>
      <c r="C469" s="27" t="s">
        <v>1456</v>
      </c>
      <c r="D469" s="27" t="s">
        <v>1457</v>
      </c>
      <c r="E469" s="28" t="s">
        <v>1436</v>
      </c>
      <c r="F469" s="29" t="s">
        <v>1437</v>
      </c>
      <c r="G469" s="30" t="s">
        <v>1458</v>
      </c>
      <c r="H469" s="31"/>
      <c r="I469" s="31" t="s">
        <v>415</v>
      </c>
      <c r="J469" s="32" t="n">
        <v>1.0</v>
      </c>
      <c r="K469" s="33" t="n">
        <f>10140</f>
        <v>10140.0</v>
      </c>
      <c r="L469" s="34" t="s">
        <v>273</v>
      </c>
      <c r="M469" s="33" t="n">
        <f>10140</f>
        <v>10140.0</v>
      </c>
      <c r="N469" s="34" t="s">
        <v>273</v>
      </c>
      <c r="O469" s="33" t="n">
        <f>9660</f>
        <v>9660.0</v>
      </c>
      <c r="P469" s="34" t="s">
        <v>70</v>
      </c>
      <c r="Q469" s="33" t="n">
        <f>9808</f>
        <v>9808.0</v>
      </c>
      <c r="R469" s="34" t="s">
        <v>50</v>
      </c>
      <c r="S469" s="35" t="n">
        <f>9854.6</f>
        <v>9854.6</v>
      </c>
      <c r="T469" s="32" t="n">
        <f>11845</f>
        <v>11845.0</v>
      </c>
      <c r="U469" s="32" t="str">
        <f>"－"</f>
        <v>－</v>
      </c>
      <c r="V469" s="32" t="n">
        <f>116972158</f>
        <v>1.16972158E8</v>
      </c>
      <c r="W469" s="32" t="str">
        <f>"－"</f>
        <v>－</v>
      </c>
      <c r="X469" s="36" t="n">
        <f>5</f>
        <v>5.0</v>
      </c>
    </row>
    <row r="470">
      <c r="A470" s="27" t="s">
        <v>42</v>
      </c>
      <c r="B470" s="27" t="s">
        <v>1459</v>
      </c>
      <c r="C470" s="27" t="s">
        <v>1460</v>
      </c>
      <c r="D470" s="27" t="s">
        <v>1461</v>
      </c>
      <c r="E470" s="28" t="s">
        <v>1436</v>
      </c>
      <c r="F470" s="29" t="s">
        <v>1437</v>
      </c>
      <c r="G470" s="30" t="s">
        <v>1458</v>
      </c>
      <c r="H470" s="31"/>
      <c r="I470" s="31" t="s">
        <v>415</v>
      </c>
      <c r="J470" s="32" t="n">
        <v>1.0</v>
      </c>
      <c r="K470" s="33" t="n">
        <f>10300</f>
        <v>10300.0</v>
      </c>
      <c r="L470" s="34" t="s">
        <v>273</v>
      </c>
      <c r="M470" s="33" t="n">
        <f>10300</f>
        <v>10300.0</v>
      </c>
      <c r="N470" s="34" t="s">
        <v>273</v>
      </c>
      <c r="O470" s="33" t="n">
        <f>9843</f>
        <v>9843.0</v>
      </c>
      <c r="P470" s="34" t="s">
        <v>223</v>
      </c>
      <c r="Q470" s="33" t="n">
        <f>9900</f>
        <v>9900.0</v>
      </c>
      <c r="R470" s="34" t="s">
        <v>50</v>
      </c>
      <c r="S470" s="35" t="n">
        <f>10055.8</f>
        <v>10055.8</v>
      </c>
      <c r="T470" s="32" t="n">
        <f>33707</f>
        <v>33707.0</v>
      </c>
      <c r="U470" s="32" t="str">
        <f>"－"</f>
        <v>－</v>
      </c>
      <c r="V470" s="32" t="n">
        <f>339862692</f>
        <v>3.39862692E8</v>
      </c>
      <c r="W470" s="32" t="str">
        <f>"－"</f>
        <v>－</v>
      </c>
      <c r="X470" s="36" t="n">
        <f>5</f>
        <v>5.0</v>
      </c>
    </row>
    <row r="471">
      <c r="A471" s="27" t="s">
        <v>42</v>
      </c>
      <c r="B471" s="27" t="s">
        <v>1462</v>
      </c>
      <c r="C471" s="27" t="s">
        <v>1463</v>
      </c>
      <c r="D471" s="27" t="s">
        <v>1464</v>
      </c>
      <c r="E471" s="28" t="s">
        <v>1436</v>
      </c>
      <c r="F471" s="29" t="s">
        <v>1437</v>
      </c>
      <c r="G471" s="30" t="s">
        <v>1458</v>
      </c>
      <c r="H471" s="31"/>
      <c r="I471" s="31" t="s">
        <v>415</v>
      </c>
      <c r="J471" s="32" t="n">
        <v>1.0</v>
      </c>
      <c r="K471" s="33" t="n">
        <f>9886</f>
        <v>9886.0</v>
      </c>
      <c r="L471" s="34" t="s">
        <v>273</v>
      </c>
      <c r="M471" s="33" t="n">
        <f>9886</f>
        <v>9886.0</v>
      </c>
      <c r="N471" s="34" t="s">
        <v>273</v>
      </c>
      <c r="O471" s="33" t="n">
        <f>9341</f>
        <v>9341.0</v>
      </c>
      <c r="P471" s="34" t="s">
        <v>70</v>
      </c>
      <c r="Q471" s="33" t="n">
        <f>9394</f>
        <v>9394.0</v>
      </c>
      <c r="R471" s="34" t="s">
        <v>50</v>
      </c>
      <c r="S471" s="35" t="n">
        <f>9626</f>
        <v>9626.0</v>
      </c>
      <c r="T471" s="32" t="n">
        <f>2425</f>
        <v>2425.0</v>
      </c>
      <c r="U471" s="32" t="str">
        <f>"－"</f>
        <v>－</v>
      </c>
      <c r="V471" s="32" t="n">
        <f>23704555</f>
        <v>2.3704555E7</v>
      </c>
      <c r="W471" s="32" t="str">
        <f>"－"</f>
        <v>－</v>
      </c>
      <c r="X471" s="36" t="n">
        <f>5</f>
        <v>5.0</v>
      </c>
    </row>
    <row r="472">
      <c r="A472" s="27" t="s">
        <v>42</v>
      </c>
      <c r="B472" s="27" t="s">
        <v>1465</v>
      </c>
      <c r="C472" s="27" t="s">
        <v>1466</v>
      </c>
      <c r="D472" s="27" t="s">
        <v>1467</v>
      </c>
      <c r="E472" s="28" t="s">
        <v>1436</v>
      </c>
      <c r="F472" s="29" t="s">
        <v>1437</v>
      </c>
      <c r="G472" s="30" t="s">
        <v>1468</v>
      </c>
      <c r="H472" s="31"/>
      <c r="I472" s="31" t="s">
        <v>415</v>
      </c>
      <c r="J472" s="32" t="n">
        <v>10.0</v>
      </c>
      <c r="K472" s="33" t="n">
        <f>900</f>
        <v>900.0</v>
      </c>
      <c r="L472" s="34" t="s">
        <v>70</v>
      </c>
      <c r="M472" s="33" t="n">
        <f>900</f>
        <v>900.0</v>
      </c>
      <c r="N472" s="34" t="s">
        <v>70</v>
      </c>
      <c r="O472" s="33" t="n">
        <f>899.9</f>
        <v>899.9</v>
      </c>
      <c r="P472" s="34" t="s">
        <v>70</v>
      </c>
      <c r="Q472" s="33" t="n">
        <f>900</f>
        <v>900.0</v>
      </c>
      <c r="R472" s="34" t="s">
        <v>50</v>
      </c>
      <c r="S472" s="35" t="n">
        <f>900</f>
        <v>900.0</v>
      </c>
      <c r="T472" s="32" t="n">
        <f>42850</f>
        <v>42850.0</v>
      </c>
      <c r="U472" s="32" t="str">
        <f>"－"</f>
        <v>－</v>
      </c>
      <c r="V472" s="32" t="n">
        <f>38564532</f>
        <v>3.8564532E7</v>
      </c>
      <c r="W472" s="32" t="str">
        <f>"－"</f>
        <v>－</v>
      </c>
      <c r="X472" s="36" t="n">
        <f>2</f>
        <v>2.0</v>
      </c>
    </row>
    <row r="473">
      <c r="A473" s="27" t="s">
        <v>42</v>
      </c>
      <c r="B473" s="27" t="s">
        <v>1469</v>
      </c>
      <c r="C473" s="27" t="s">
        <v>1470</v>
      </c>
      <c r="D473" s="27" t="s">
        <v>1471</v>
      </c>
      <c r="E473" s="28" t="s">
        <v>46</v>
      </c>
      <c r="F473" s="29" t="s">
        <v>46</v>
      </c>
      <c r="G473" s="30" t="s">
        <v>46</v>
      </c>
      <c r="H473" s="31"/>
      <c r="I473" s="31" t="s">
        <v>47</v>
      </c>
      <c r="J473" s="32" t="n">
        <v>1.0</v>
      </c>
      <c r="K473" s="33" t="n">
        <f>145700</f>
        <v>145700.0</v>
      </c>
      <c r="L473" s="34" t="s">
        <v>48</v>
      </c>
      <c r="M473" s="33" t="n">
        <f>152300</f>
        <v>152300.0</v>
      </c>
      <c r="N473" s="34" t="s">
        <v>65</v>
      </c>
      <c r="O473" s="33" t="n">
        <f>140100</f>
        <v>140100.0</v>
      </c>
      <c r="P473" s="34" t="s">
        <v>70</v>
      </c>
      <c r="Q473" s="33" t="n">
        <f>143500</f>
        <v>143500.0</v>
      </c>
      <c r="R473" s="34" t="s">
        <v>50</v>
      </c>
      <c r="S473" s="35" t="n">
        <f>144357.89</f>
        <v>144357.89</v>
      </c>
      <c r="T473" s="32" t="n">
        <f>741924</f>
        <v>741924.0</v>
      </c>
      <c r="U473" s="32" t="n">
        <f>137956</f>
        <v>137956.0</v>
      </c>
      <c r="V473" s="32" t="n">
        <f>107617055239</f>
        <v>1.07617055239E11</v>
      </c>
      <c r="W473" s="32" t="n">
        <f>20095048139</f>
        <v>2.0095048139E10</v>
      </c>
      <c r="X473" s="36" t="n">
        <f>19</f>
        <v>19.0</v>
      </c>
    </row>
    <row r="474">
      <c r="A474" s="27" t="s">
        <v>42</v>
      </c>
      <c r="B474" s="27" t="s">
        <v>1472</v>
      </c>
      <c r="C474" s="27" t="s">
        <v>1473</v>
      </c>
      <c r="D474" s="27" t="s">
        <v>1474</v>
      </c>
      <c r="E474" s="28" t="s">
        <v>46</v>
      </c>
      <c r="F474" s="29" t="s">
        <v>46</v>
      </c>
      <c r="G474" s="30" t="s">
        <v>46</v>
      </c>
      <c r="H474" s="31"/>
      <c r="I474" s="31" t="s">
        <v>47</v>
      </c>
      <c r="J474" s="32" t="n">
        <v>1.0</v>
      </c>
      <c r="K474" s="33" t="n">
        <f>132500</f>
        <v>132500.0</v>
      </c>
      <c r="L474" s="34" t="s">
        <v>48</v>
      </c>
      <c r="M474" s="33" t="n">
        <f>132500</f>
        <v>132500.0</v>
      </c>
      <c r="N474" s="34" t="s">
        <v>48</v>
      </c>
      <c r="O474" s="33" t="n">
        <f>122500</f>
        <v>122500.0</v>
      </c>
      <c r="P474" s="34" t="s">
        <v>70</v>
      </c>
      <c r="Q474" s="33" t="n">
        <f>124800</f>
        <v>124800.0</v>
      </c>
      <c r="R474" s="34" t="s">
        <v>50</v>
      </c>
      <c r="S474" s="35" t="n">
        <f>127842.11</f>
        <v>127842.11</v>
      </c>
      <c r="T474" s="32" t="n">
        <f>561506</f>
        <v>561506.0</v>
      </c>
      <c r="U474" s="32" t="n">
        <f>145411</f>
        <v>145411.0</v>
      </c>
      <c r="V474" s="32" t="n">
        <f>71585989614</f>
        <v>7.1585989614E10</v>
      </c>
      <c r="W474" s="32" t="n">
        <f>18555265014</f>
        <v>1.8555265014E10</v>
      </c>
      <c r="X474" s="36" t="n">
        <f>19</f>
        <v>19.0</v>
      </c>
    </row>
    <row r="475">
      <c r="A475" s="27" t="s">
        <v>42</v>
      </c>
      <c r="B475" s="27" t="s">
        <v>1475</v>
      </c>
      <c r="C475" s="27" t="s">
        <v>1476</v>
      </c>
      <c r="D475" s="27" t="s">
        <v>1477</v>
      </c>
      <c r="E475" s="28" t="s">
        <v>46</v>
      </c>
      <c r="F475" s="29" t="s">
        <v>46</v>
      </c>
      <c r="G475" s="30" t="s">
        <v>46</v>
      </c>
      <c r="H475" s="31"/>
      <c r="I475" s="31" t="s">
        <v>47</v>
      </c>
      <c r="J475" s="32" t="n">
        <v>1.0</v>
      </c>
      <c r="K475" s="33" t="n">
        <f>125300</f>
        <v>125300.0</v>
      </c>
      <c r="L475" s="34" t="s">
        <v>48</v>
      </c>
      <c r="M475" s="33" t="n">
        <f>128000</f>
        <v>128000.0</v>
      </c>
      <c r="N475" s="34" t="s">
        <v>103</v>
      </c>
      <c r="O475" s="33" t="n">
        <f>118000</f>
        <v>118000.0</v>
      </c>
      <c r="P475" s="34" t="s">
        <v>70</v>
      </c>
      <c r="Q475" s="33" t="n">
        <f>121700</f>
        <v>121700.0</v>
      </c>
      <c r="R475" s="34" t="s">
        <v>50</v>
      </c>
      <c r="S475" s="35" t="n">
        <f>123436.84</f>
        <v>123436.84</v>
      </c>
      <c r="T475" s="32" t="n">
        <f>484812</f>
        <v>484812.0</v>
      </c>
      <c r="U475" s="32" t="n">
        <f>107040</f>
        <v>107040.0</v>
      </c>
      <c r="V475" s="32" t="n">
        <f>59624875521</f>
        <v>5.9624875521E10</v>
      </c>
      <c r="W475" s="32" t="n">
        <f>13150861621</f>
        <v>1.3150861621E10</v>
      </c>
      <c r="X475" s="36" t="n">
        <f>19</f>
        <v>19.0</v>
      </c>
    </row>
    <row r="476">
      <c r="A476" s="27" t="s">
        <v>42</v>
      </c>
      <c r="B476" s="27" t="s">
        <v>1478</v>
      </c>
      <c r="C476" s="27" t="s">
        <v>1479</v>
      </c>
      <c r="D476" s="27" t="s">
        <v>1480</v>
      </c>
      <c r="E476" s="28" t="s">
        <v>46</v>
      </c>
      <c r="F476" s="29" t="s">
        <v>46</v>
      </c>
      <c r="G476" s="30" t="s">
        <v>46</v>
      </c>
      <c r="H476" s="31"/>
      <c r="I476" s="31" t="s">
        <v>47</v>
      </c>
      <c r="J476" s="32" t="n">
        <v>1.0</v>
      </c>
      <c r="K476" s="33" t="n">
        <f>107800</f>
        <v>107800.0</v>
      </c>
      <c r="L476" s="34" t="s">
        <v>48</v>
      </c>
      <c r="M476" s="33" t="n">
        <f>109200</f>
        <v>109200.0</v>
      </c>
      <c r="N476" s="34" t="s">
        <v>103</v>
      </c>
      <c r="O476" s="33" t="n">
        <f>102400</f>
        <v>102400.0</v>
      </c>
      <c r="P476" s="34" t="s">
        <v>70</v>
      </c>
      <c r="Q476" s="33" t="n">
        <f>103600</f>
        <v>103600.0</v>
      </c>
      <c r="R476" s="34" t="s">
        <v>50</v>
      </c>
      <c r="S476" s="35" t="n">
        <f>106221.05</f>
        <v>106221.05</v>
      </c>
      <c r="T476" s="32" t="n">
        <f>295618</f>
        <v>295618.0</v>
      </c>
      <c r="U476" s="32" t="n">
        <f>64564</f>
        <v>64564.0</v>
      </c>
      <c r="V476" s="32" t="n">
        <f>31281231061</f>
        <v>3.1281231061E10</v>
      </c>
      <c r="W476" s="32" t="n">
        <f>6851254761</f>
        <v>6.851254761E9</v>
      </c>
      <c r="X476" s="36" t="n">
        <f>19</f>
        <v>19.0</v>
      </c>
    </row>
    <row r="477">
      <c r="A477" s="27" t="s">
        <v>42</v>
      </c>
      <c r="B477" s="27" t="s">
        <v>1481</v>
      </c>
      <c r="C477" s="27" t="s">
        <v>1482</v>
      </c>
      <c r="D477" s="27" t="s">
        <v>1483</v>
      </c>
      <c r="E477" s="28" t="s">
        <v>46</v>
      </c>
      <c r="F477" s="29" t="s">
        <v>46</v>
      </c>
      <c r="G477" s="30" t="s">
        <v>46</v>
      </c>
      <c r="H477" s="31"/>
      <c r="I477" s="31" t="s">
        <v>47</v>
      </c>
      <c r="J477" s="32" t="n">
        <v>1.0</v>
      </c>
      <c r="K477" s="33" t="n">
        <f>106800</f>
        <v>106800.0</v>
      </c>
      <c r="L477" s="34" t="s">
        <v>48</v>
      </c>
      <c r="M477" s="33" t="n">
        <f>109000</f>
        <v>109000.0</v>
      </c>
      <c r="N477" s="34" t="s">
        <v>103</v>
      </c>
      <c r="O477" s="33" t="n">
        <f>102800</f>
        <v>102800.0</v>
      </c>
      <c r="P477" s="34" t="s">
        <v>70</v>
      </c>
      <c r="Q477" s="33" t="n">
        <f>104900</f>
        <v>104900.0</v>
      </c>
      <c r="R477" s="34" t="s">
        <v>50</v>
      </c>
      <c r="S477" s="35" t="n">
        <f>105842.11</f>
        <v>105842.11</v>
      </c>
      <c r="T477" s="32" t="n">
        <f>239058</f>
        <v>239058.0</v>
      </c>
      <c r="U477" s="32" t="n">
        <f>57706</f>
        <v>57706.0</v>
      </c>
      <c r="V477" s="32" t="n">
        <f>25281415984</f>
        <v>2.5281415984E10</v>
      </c>
      <c r="W477" s="32" t="n">
        <f>6099374384</f>
        <v>6.099374384E9</v>
      </c>
      <c r="X477" s="36" t="n">
        <f>19</f>
        <v>19.0</v>
      </c>
    </row>
    <row r="478">
      <c r="A478" s="27" t="s">
        <v>42</v>
      </c>
      <c r="B478" s="27" t="s">
        <v>1484</v>
      </c>
      <c r="C478" s="27" t="s">
        <v>1485</v>
      </c>
      <c r="D478" s="27" t="s">
        <v>1486</v>
      </c>
      <c r="E478" s="28" t="s">
        <v>46</v>
      </c>
      <c r="F478" s="29" t="s">
        <v>46</v>
      </c>
      <c r="G478" s="30" t="s">
        <v>46</v>
      </c>
      <c r="H478" s="31"/>
      <c r="I478" s="31" t="s">
        <v>47</v>
      </c>
      <c r="J478" s="32" t="n">
        <v>1.0</v>
      </c>
      <c r="K478" s="33" t="n">
        <f>140600</f>
        <v>140600.0</v>
      </c>
      <c r="L478" s="34" t="s">
        <v>48</v>
      </c>
      <c r="M478" s="33" t="n">
        <f>149800</f>
        <v>149800.0</v>
      </c>
      <c r="N478" s="34" t="s">
        <v>202</v>
      </c>
      <c r="O478" s="33" t="n">
        <f>138500</f>
        <v>138500.0</v>
      </c>
      <c r="P478" s="34" t="s">
        <v>48</v>
      </c>
      <c r="Q478" s="33" t="n">
        <f>142600</f>
        <v>142600.0</v>
      </c>
      <c r="R478" s="34" t="s">
        <v>50</v>
      </c>
      <c r="S478" s="35" t="n">
        <f>143584.21</f>
        <v>143584.21</v>
      </c>
      <c r="T478" s="32" t="n">
        <f>101017</f>
        <v>101017.0</v>
      </c>
      <c r="U478" s="32" t="n">
        <f>21887</f>
        <v>21887.0</v>
      </c>
      <c r="V478" s="32" t="n">
        <f>14531021904</f>
        <v>1.4531021904E10</v>
      </c>
      <c r="W478" s="32" t="n">
        <f>3150738504</f>
        <v>3.150738504E9</v>
      </c>
      <c r="X478" s="36" t="n">
        <f>19</f>
        <v>19.0</v>
      </c>
    </row>
    <row r="479">
      <c r="A479" s="27" t="s">
        <v>42</v>
      </c>
      <c r="B479" s="27" t="s">
        <v>1487</v>
      </c>
      <c r="C479" s="27" t="s">
        <v>1488</v>
      </c>
      <c r="D479" s="27" t="s">
        <v>1489</v>
      </c>
      <c r="E479" s="28" t="s">
        <v>46</v>
      </c>
      <c r="F479" s="29" t="s">
        <v>46</v>
      </c>
      <c r="G479" s="30" t="s">
        <v>46</v>
      </c>
      <c r="H479" s="31"/>
      <c r="I479" s="31" t="s">
        <v>47</v>
      </c>
      <c r="J479" s="32" t="n">
        <v>1.0</v>
      </c>
      <c r="K479" s="33" t="n">
        <f>208500</f>
        <v>208500.0</v>
      </c>
      <c r="L479" s="34" t="s">
        <v>48</v>
      </c>
      <c r="M479" s="33" t="n">
        <f>211600</f>
        <v>211600.0</v>
      </c>
      <c r="N479" s="34" t="s">
        <v>103</v>
      </c>
      <c r="O479" s="33" t="n">
        <f>201900</f>
        <v>201900.0</v>
      </c>
      <c r="P479" s="34" t="s">
        <v>70</v>
      </c>
      <c r="Q479" s="33" t="n">
        <f>207400</f>
        <v>207400.0</v>
      </c>
      <c r="R479" s="34" t="s">
        <v>50</v>
      </c>
      <c r="S479" s="35" t="n">
        <f>207757.89</f>
        <v>207757.89</v>
      </c>
      <c r="T479" s="32" t="n">
        <f>67379</f>
        <v>67379.0</v>
      </c>
      <c r="U479" s="32" t="n">
        <f>19088</f>
        <v>19088.0</v>
      </c>
      <c r="V479" s="32" t="n">
        <f>13980304747</f>
        <v>1.3980304747E10</v>
      </c>
      <c r="W479" s="32" t="n">
        <f>3958893847</f>
        <v>3.958893847E9</v>
      </c>
      <c r="X479" s="36" t="n">
        <f>19</f>
        <v>19.0</v>
      </c>
    </row>
    <row r="480">
      <c r="A480" s="27" t="s">
        <v>42</v>
      </c>
      <c r="B480" s="27" t="s">
        <v>1490</v>
      </c>
      <c r="C480" s="27" t="s">
        <v>1491</v>
      </c>
      <c r="D480" s="27" t="s">
        <v>1492</v>
      </c>
      <c r="E480" s="28" t="s">
        <v>46</v>
      </c>
      <c r="F480" s="29" t="s">
        <v>46</v>
      </c>
      <c r="G480" s="30" t="s">
        <v>46</v>
      </c>
      <c r="H480" s="31"/>
      <c r="I480" s="31" t="s">
        <v>47</v>
      </c>
      <c r="J480" s="32" t="n">
        <v>1.0</v>
      </c>
      <c r="K480" s="33" t="n">
        <f>138500</f>
        <v>138500.0</v>
      </c>
      <c r="L480" s="34" t="s">
        <v>48</v>
      </c>
      <c r="M480" s="33" t="n">
        <f>142600</f>
        <v>142600.0</v>
      </c>
      <c r="N480" s="34" t="s">
        <v>65</v>
      </c>
      <c r="O480" s="33" t="n">
        <f>133400</f>
        <v>133400.0</v>
      </c>
      <c r="P480" s="34" t="s">
        <v>223</v>
      </c>
      <c r="Q480" s="33" t="n">
        <f>136500</f>
        <v>136500.0</v>
      </c>
      <c r="R480" s="34" t="s">
        <v>50</v>
      </c>
      <c r="S480" s="35" t="n">
        <f>138710.53</f>
        <v>138710.53</v>
      </c>
      <c r="T480" s="32" t="n">
        <f>79590</f>
        <v>79590.0</v>
      </c>
      <c r="U480" s="32" t="n">
        <f>14997</f>
        <v>14997.0</v>
      </c>
      <c r="V480" s="32" t="n">
        <f>11043716053</f>
        <v>1.1043716053E10</v>
      </c>
      <c r="W480" s="32" t="n">
        <f>2083943053</f>
        <v>2.083943053E9</v>
      </c>
      <c r="X480" s="36" t="n">
        <f>19</f>
        <v>19.0</v>
      </c>
    </row>
    <row r="481">
      <c r="A481" s="27" t="s">
        <v>42</v>
      </c>
      <c r="B481" s="27" t="s">
        <v>1493</v>
      </c>
      <c r="C481" s="27" t="s">
        <v>1494</v>
      </c>
      <c r="D481" s="27" t="s">
        <v>1495</v>
      </c>
      <c r="E481" s="28" t="s">
        <v>46</v>
      </c>
      <c r="F481" s="29" t="s">
        <v>46</v>
      </c>
      <c r="G481" s="30" t="s">
        <v>46</v>
      </c>
      <c r="H481" s="31"/>
      <c r="I481" s="31" t="s">
        <v>47</v>
      </c>
      <c r="J481" s="32" t="n">
        <v>1.0</v>
      </c>
      <c r="K481" s="33" t="n">
        <f>185500</f>
        <v>185500.0</v>
      </c>
      <c r="L481" s="34" t="s">
        <v>48</v>
      </c>
      <c r="M481" s="33" t="n">
        <f>191700</f>
        <v>191700.0</v>
      </c>
      <c r="N481" s="34" t="s">
        <v>103</v>
      </c>
      <c r="O481" s="33" t="n">
        <f>176100</f>
        <v>176100.0</v>
      </c>
      <c r="P481" s="34" t="s">
        <v>70</v>
      </c>
      <c r="Q481" s="33" t="n">
        <f>178700</f>
        <v>178700.0</v>
      </c>
      <c r="R481" s="34" t="s">
        <v>50</v>
      </c>
      <c r="S481" s="35" t="n">
        <f>184552.63</f>
        <v>184552.63</v>
      </c>
      <c r="T481" s="32" t="n">
        <f>201910</f>
        <v>201910.0</v>
      </c>
      <c r="U481" s="32" t="n">
        <f>44860</f>
        <v>44860.0</v>
      </c>
      <c r="V481" s="32" t="n">
        <f>37200433364</f>
        <v>3.7200433364E10</v>
      </c>
      <c r="W481" s="32" t="n">
        <f>8290924264</f>
        <v>8.290924264E9</v>
      </c>
      <c r="X481" s="36" t="n">
        <f>19</f>
        <v>19.0</v>
      </c>
    </row>
    <row r="482">
      <c r="A482" s="27" t="s">
        <v>42</v>
      </c>
      <c r="B482" s="27" t="s">
        <v>1496</v>
      </c>
      <c r="C482" s="27" t="s">
        <v>1497</v>
      </c>
      <c r="D482" s="27" t="s">
        <v>1498</v>
      </c>
      <c r="E482" s="28" t="s">
        <v>46</v>
      </c>
      <c r="F482" s="29" t="s">
        <v>46</v>
      </c>
      <c r="G482" s="30" t="s">
        <v>46</v>
      </c>
      <c r="H482" s="31"/>
      <c r="I482" s="31" t="s">
        <v>47</v>
      </c>
      <c r="J482" s="32" t="n">
        <v>1.0</v>
      </c>
      <c r="K482" s="33" t="n">
        <f>78600</f>
        <v>78600.0</v>
      </c>
      <c r="L482" s="34" t="s">
        <v>48</v>
      </c>
      <c r="M482" s="33" t="n">
        <f>81900</f>
        <v>81900.0</v>
      </c>
      <c r="N482" s="34" t="s">
        <v>103</v>
      </c>
      <c r="O482" s="33" t="n">
        <f>77600</f>
        <v>77600.0</v>
      </c>
      <c r="P482" s="34" t="s">
        <v>70</v>
      </c>
      <c r="Q482" s="33" t="n">
        <f>77700</f>
        <v>77700.0</v>
      </c>
      <c r="R482" s="34" t="s">
        <v>50</v>
      </c>
      <c r="S482" s="35" t="n">
        <f>79505.26</f>
        <v>79505.26</v>
      </c>
      <c r="T482" s="32" t="n">
        <f>173563</f>
        <v>173563.0</v>
      </c>
      <c r="U482" s="32" t="n">
        <f>46538</f>
        <v>46538.0</v>
      </c>
      <c r="V482" s="32" t="n">
        <f>13770302187</f>
        <v>1.3770302187E10</v>
      </c>
      <c r="W482" s="32" t="n">
        <f>3695153687</f>
        <v>3.695153687E9</v>
      </c>
      <c r="X482" s="36" t="n">
        <f>19</f>
        <v>19.0</v>
      </c>
    </row>
    <row r="483">
      <c r="A483" s="27" t="s">
        <v>42</v>
      </c>
      <c r="B483" s="27" t="s">
        <v>1499</v>
      </c>
      <c r="C483" s="27" t="s">
        <v>1500</v>
      </c>
      <c r="D483" s="27" t="s">
        <v>1501</v>
      </c>
      <c r="E483" s="28" t="s">
        <v>46</v>
      </c>
      <c r="F483" s="29" t="s">
        <v>46</v>
      </c>
      <c r="G483" s="30" t="s">
        <v>46</v>
      </c>
      <c r="H483" s="31"/>
      <c r="I483" s="31" t="s">
        <v>47</v>
      </c>
      <c r="J483" s="32" t="n">
        <v>1.0</v>
      </c>
      <c r="K483" s="33" t="n">
        <f>65100</f>
        <v>65100.0</v>
      </c>
      <c r="L483" s="34" t="s">
        <v>48</v>
      </c>
      <c r="M483" s="33" t="n">
        <f>67700</f>
        <v>67700.0</v>
      </c>
      <c r="N483" s="34" t="s">
        <v>65</v>
      </c>
      <c r="O483" s="33" t="n">
        <f>63600</f>
        <v>63600.0</v>
      </c>
      <c r="P483" s="34" t="s">
        <v>48</v>
      </c>
      <c r="Q483" s="33" t="n">
        <f>65400</f>
        <v>65400.0</v>
      </c>
      <c r="R483" s="34" t="s">
        <v>50</v>
      </c>
      <c r="S483" s="35" t="n">
        <f>65531.58</f>
        <v>65531.58</v>
      </c>
      <c r="T483" s="32" t="n">
        <f>745138</f>
        <v>745138.0</v>
      </c>
      <c r="U483" s="32" t="n">
        <f>164417</f>
        <v>164417.0</v>
      </c>
      <c r="V483" s="32" t="n">
        <f>48850294751</f>
        <v>4.8850294751E10</v>
      </c>
      <c r="W483" s="32" t="n">
        <f>10781639151</f>
        <v>1.0781639151E10</v>
      </c>
      <c r="X483" s="36" t="n">
        <f>19</f>
        <v>19.0</v>
      </c>
    </row>
    <row r="484">
      <c r="A484" s="27" t="s">
        <v>42</v>
      </c>
      <c r="B484" s="27" t="s">
        <v>1502</v>
      </c>
      <c r="C484" s="27" t="s">
        <v>1503</v>
      </c>
      <c r="D484" s="27" t="s">
        <v>1504</v>
      </c>
      <c r="E484" s="28" t="s">
        <v>46</v>
      </c>
      <c r="F484" s="29" t="s">
        <v>46</v>
      </c>
      <c r="G484" s="30" t="s">
        <v>46</v>
      </c>
      <c r="H484" s="31"/>
      <c r="I484" s="31" t="s">
        <v>47</v>
      </c>
      <c r="J484" s="32" t="n">
        <v>1.0</v>
      </c>
      <c r="K484" s="33" t="n">
        <f>94000</f>
        <v>94000.0</v>
      </c>
      <c r="L484" s="34" t="s">
        <v>48</v>
      </c>
      <c r="M484" s="33" t="n">
        <f>95600</f>
        <v>95600.0</v>
      </c>
      <c r="N484" s="34" t="s">
        <v>195</v>
      </c>
      <c r="O484" s="33" t="n">
        <f>90000</f>
        <v>90000.0</v>
      </c>
      <c r="P484" s="34" t="s">
        <v>70</v>
      </c>
      <c r="Q484" s="33" t="n">
        <f>91100</f>
        <v>91100.0</v>
      </c>
      <c r="R484" s="34" t="s">
        <v>50</v>
      </c>
      <c r="S484" s="35" t="n">
        <f>93068.42</f>
        <v>93068.42</v>
      </c>
      <c r="T484" s="32" t="n">
        <f>142776</f>
        <v>142776.0</v>
      </c>
      <c r="U484" s="32" t="n">
        <f>35701</f>
        <v>35701.0</v>
      </c>
      <c r="V484" s="32" t="n">
        <f>13280901828</f>
        <v>1.3280901828E10</v>
      </c>
      <c r="W484" s="32" t="n">
        <f>3321778628</f>
        <v>3.321778628E9</v>
      </c>
      <c r="X484" s="36" t="n">
        <f>19</f>
        <v>19.0</v>
      </c>
    </row>
    <row r="485">
      <c r="A485" s="27" t="s">
        <v>42</v>
      </c>
      <c r="B485" s="27" t="s">
        <v>1505</v>
      </c>
      <c r="C485" s="27" t="s">
        <v>1506</v>
      </c>
      <c r="D485" s="27" t="s">
        <v>1507</v>
      </c>
      <c r="E485" s="28" t="s">
        <v>46</v>
      </c>
      <c r="F485" s="29" t="s">
        <v>46</v>
      </c>
      <c r="G485" s="30" t="s">
        <v>46</v>
      </c>
      <c r="H485" s="31"/>
      <c r="I485" s="31" t="s">
        <v>47</v>
      </c>
      <c r="J485" s="32" t="n">
        <v>1.0</v>
      </c>
      <c r="K485" s="33" t="n">
        <f>157200</f>
        <v>157200.0</v>
      </c>
      <c r="L485" s="34" t="s">
        <v>48</v>
      </c>
      <c r="M485" s="33" t="n">
        <f>163300</f>
        <v>163300.0</v>
      </c>
      <c r="N485" s="34" t="s">
        <v>103</v>
      </c>
      <c r="O485" s="33" t="n">
        <f>151000</f>
        <v>151000.0</v>
      </c>
      <c r="P485" s="34" t="s">
        <v>70</v>
      </c>
      <c r="Q485" s="33" t="n">
        <f>152600</f>
        <v>152600.0</v>
      </c>
      <c r="R485" s="34" t="s">
        <v>50</v>
      </c>
      <c r="S485" s="35" t="n">
        <f>157463.16</f>
        <v>157463.16</v>
      </c>
      <c r="T485" s="32" t="n">
        <f>70179</f>
        <v>70179.0</v>
      </c>
      <c r="U485" s="32" t="n">
        <f>12911</f>
        <v>12911.0</v>
      </c>
      <c r="V485" s="32" t="n">
        <f>11011475207</f>
        <v>1.1011475207E10</v>
      </c>
      <c r="W485" s="32" t="n">
        <f>2029515307</f>
        <v>2.029515307E9</v>
      </c>
      <c r="X485" s="36" t="n">
        <f>19</f>
        <v>19.0</v>
      </c>
    </row>
    <row r="486">
      <c r="A486" s="27" t="s">
        <v>42</v>
      </c>
      <c r="B486" s="27" t="s">
        <v>1508</v>
      </c>
      <c r="C486" s="27" t="s">
        <v>1509</v>
      </c>
      <c r="D486" s="27" t="s">
        <v>1510</v>
      </c>
      <c r="E486" s="28" t="s">
        <v>46</v>
      </c>
      <c r="F486" s="29" t="s">
        <v>46</v>
      </c>
      <c r="G486" s="30" t="s">
        <v>46</v>
      </c>
      <c r="H486" s="31"/>
      <c r="I486" s="31" t="s">
        <v>47</v>
      </c>
      <c r="J486" s="32" t="n">
        <v>1.0</v>
      </c>
      <c r="K486" s="33" t="n">
        <f>105700</f>
        <v>105700.0</v>
      </c>
      <c r="L486" s="34" t="s">
        <v>48</v>
      </c>
      <c r="M486" s="33" t="n">
        <f>107000</f>
        <v>107000.0</v>
      </c>
      <c r="N486" s="34" t="s">
        <v>257</v>
      </c>
      <c r="O486" s="33" t="n">
        <f>100000</f>
        <v>100000.0</v>
      </c>
      <c r="P486" s="34" t="s">
        <v>70</v>
      </c>
      <c r="Q486" s="33" t="n">
        <f>101100</f>
        <v>101100.0</v>
      </c>
      <c r="R486" s="34" t="s">
        <v>50</v>
      </c>
      <c r="S486" s="35" t="n">
        <f>104494.74</f>
        <v>104494.74</v>
      </c>
      <c r="T486" s="32" t="n">
        <f>168481</f>
        <v>168481.0</v>
      </c>
      <c r="U486" s="32" t="n">
        <f>35122</f>
        <v>35122.0</v>
      </c>
      <c r="V486" s="32" t="n">
        <f>17541379477</f>
        <v>1.7541379477E10</v>
      </c>
      <c r="W486" s="32" t="n">
        <f>3665785677</f>
        <v>3.665785677E9</v>
      </c>
      <c r="X486" s="36" t="n">
        <f>19</f>
        <v>19.0</v>
      </c>
    </row>
    <row r="487">
      <c r="A487" s="27" t="s">
        <v>42</v>
      </c>
      <c r="B487" s="27" t="s">
        <v>1511</v>
      </c>
      <c r="C487" s="27" t="s">
        <v>1512</v>
      </c>
      <c r="D487" s="27" t="s">
        <v>1513</v>
      </c>
      <c r="E487" s="28" t="s">
        <v>46</v>
      </c>
      <c r="F487" s="29" t="s">
        <v>46</v>
      </c>
      <c r="G487" s="30" t="s">
        <v>46</v>
      </c>
      <c r="H487" s="31"/>
      <c r="I487" s="31" t="s">
        <v>47</v>
      </c>
      <c r="J487" s="32" t="n">
        <v>1.0</v>
      </c>
      <c r="K487" s="33" t="n">
        <f>188800</f>
        <v>188800.0</v>
      </c>
      <c r="L487" s="34" t="s">
        <v>48</v>
      </c>
      <c r="M487" s="33" t="n">
        <f>192500</f>
        <v>192500.0</v>
      </c>
      <c r="N487" s="34" t="s">
        <v>65</v>
      </c>
      <c r="O487" s="33" t="n">
        <f>184200</f>
        <v>184200.0</v>
      </c>
      <c r="P487" s="34" t="s">
        <v>70</v>
      </c>
      <c r="Q487" s="33" t="n">
        <f>186500</f>
        <v>186500.0</v>
      </c>
      <c r="R487" s="34" t="s">
        <v>50</v>
      </c>
      <c r="S487" s="35" t="n">
        <f>189489.47</f>
        <v>189489.47</v>
      </c>
      <c r="T487" s="32" t="n">
        <f>48349</f>
        <v>48349.0</v>
      </c>
      <c r="U487" s="32" t="n">
        <f>10085</f>
        <v>10085.0</v>
      </c>
      <c r="V487" s="32" t="n">
        <f>9147169272</f>
        <v>9.147169272E9</v>
      </c>
      <c r="W487" s="32" t="n">
        <f>1909849172</f>
        <v>1.909849172E9</v>
      </c>
      <c r="X487" s="36" t="n">
        <f>19</f>
        <v>19.0</v>
      </c>
    </row>
    <row r="488">
      <c r="A488" s="27" t="s">
        <v>42</v>
      </c>
      <c r="B488" s="27" t="s">
        <v>1514</v>
      </c>
      <c r="C488" s="27" t="s">
        <v>1515</v>
      </c>
      <c r="D488" s="27" t="s">
        <v>1516</v>
      </c>
      <c r="E488" s="28" t="s">
        <v>46</v>
      </c>
      <c r="F488" s="29" t="s">
        <v>46</v>
      </c>
      <c r="G488" s="30" t="s">
        <v>46</v>
      </c>
      <c r="H488" s="31"/>
      <c r="I488" s="31" t="s">
        <v>47</v>
      </c>
      <c r="J488" s="32" t="n">
        <v>1.0</v>
      </c>
      <c r="K488" s="33" t="n">
        <f>177700</f>
        <v>177700.0</v>
      </c>
      <c r="L488" s="34" t="s">
        <v>48</v>
      </c>
      <c r="M488" s="33" t="n">
        <f>180400</f>
        <v>180400.0</v>
      </c>
      <c r="N488" s="34" t="s">
        <v>103</v>
      </c>
      <c r="O488" s="33" t="n">
        <f>166500</f>
        <v>166500.0</v>
      </c>
      <c r="P488" s="34" t="s">
        <v>70</v>
      </c>
      <c r="Q488" s="33" t="n">
        <f>167300</f>
        <v>167300.0</v>
      </c>
      <c r="R488" s="34" t="s">
        <v>50</v>
      </c>
      <c r="S488" s="35" t="n">
        <f>174063.16</f>
        <v>174063.16</v>
      </c>
      <c r="T488" s="32" t="n">
        <f>262829</f>
        <v>262829.0</v>
      </c>
      <c r="U488" s="32" t="n">
        <f>56650</f>
        <v>56650.0</v>
      </c>
      <c r="V488" s="32" t="n">
        <f>45530905823</f>
        <v>4.5530905823E10</v>
      </c>
      <c r="W488" s="32" t="n">
        <f>9840941023</f>
        <v>9.840941023E9</v>
      </c>
      <c r="X488" s="36" t="n">
        <f>19</f>
        <v>19.0</v>
      </c>
    </row>
    <row r="489">
      <c r="A489" s="27" t="s">
        <v>42</v>
      </c>
      <c r="B489" s="27" t="s">
        <v>1517</v>
      </c>
      <c r="C489" s="27" t="s">
        <v>1518</v>
      </c>
      <c r="D489" s="27" t="s">
        <v>1519</v>
      </c>
      <c r="E489" s="28" t="s">
        <v>46</v>
      </c>
      <c r="F489" s="29" t="s">
        <v>46</v>
      </c>
      <c r="G489" s="30" t="s">
        <v>46</v>
      </c>
      <c r="H489" s="31"/>
      <c r="I489" s="31" t="s">
        <v>47</v>
      </c>
      <c r="J489" s="32" t="n">
        <v>1.0</v>
      </c>
      <c r="K489" s="33" t="n">
        <f>97400</f>
        <v>97400.0</v>
      </c>
      <c r="L489" s="34" t="s">
        <v>48</v>
      </c>
      <c r="M489" s="33" t="n">
        <f>99500</f>
        <v>99500.0</v>
      </c>
      <c r="N489" s="34" t="s">
        <v>103</v>
      </c>
      <c r="O489" s="33" t="n">
        <f>94500</f>
        <v>94500.0</v>
      </c>
      <c r="P489" s="34" t="s">
        <v>223</v>
      </c>
      <c r="Q489" s="33" t="n">
        <f>97100</f>
        <v>97100.0</v>
      </c>
      <c r="R489" s="34" t="s">
        <v>50</v>
      </c>
      <c r="S489" s="35" t="n">
        <f>97252.63</f>
        <v>97252.63</v>
      </c>
      <c r="T489" s="32" t="n">
        <f>80851</f>
        <v>80851.0</v>
      </c>
      <c r="U489" s="32" t="n">
        <f>18088</f>
        <v>18088.0</v>
      </c>
      <c r="V489" s="32" t="n">
        <f>7847555747</f>
        <v>7.847555747E9</v>
      </c>
      <c r="W489" s="32" t="n">
        <f>1757252647</f>
        <v>1.757252647E9</v>
      </c>
      <c r="X489" s="36" t="n">
        <f>19</f>
        <v>19.0</v>
      </c>
    </row>
    <row r="490">
      <c r="A490" s="27" t="s">
        <v>42</v>
      </c>
      <c r="B490" s="27" t="s">
        <v>1520</v>
      </c>
      <c r="C490" s="27" t="s">
        <v>1521</v>
      </c>
      <c r="D490" s="27" t="s">
        <v>1522</v>
      </c>
      <c r="E490" s="28" t="s">
        <v>46</v>
      </c>
      <c r="F490" s="29" t="s">
        <v>46</v>
      </c>
      <c r="G490" s="30" t="s">
        <v>46</v>
      </c>
      <c r="H490" s="31"/>
      <c r="I490" s="31" t="s">
        <v>47</v>
      </c>
      <c r="J490" s="32" t="n">
        <v>1.0</v>
      </c>
      <c r="K490" s="33" t="n">
        <f>381000</f>
        <v>381000.0</v>
      </c>
      <c r="L490" s="34" t="s">
        <v>48</v>
      </c>
      <c r="M490" s="33" t="n">
        <f>388000</f>
        <v>388000.0</v>
      </c>
      <c r="N490" s="34" t="s">
        <v>65</v>
      </c>
      <c r="O490" s="33" t="n">
        <f>363000</f>
        <v>363000.0</v>
      </c>
      <c r="P490" s="34" t="s">
        <v>70</v>
      </c>
      <c r="Q490" s="33" t="n">
        <f>368500</f>
        <v>368500.0</v>
      </c>
      <c r="R490" s="34" t="s">
        <v>50</v>
      </c>
      <c r="S490" s="35" t="n">
        <f>377368.42</f>
        <v>377368.42</v>
      </c>
      <c r="T490" s="32" t="n">
        <f>37788</f>
        <v>37788.0</v>
      </c>
      <c r="U490" s="32" t="n">
        <f>9051</f>
        <v>9051.0</v>
      </c>
      <c r="V490" s="32" t="n">
        <f>14201158208</f>
        <v>1.4201158208E10</v>
      </c>
      <c r="W490" s="32" t="n">
        <f>3392033208</f>
        <v>3.392033208E9</v>
      </c>
      <c r="X490" s="36" t="n">
        <f>19</f>
        <v>19.0</v>
      </c>
    </row>
    <row r="491">
      <c r="A491" s="27" t="s">
        <v>42</v>
      </c>
      <c r="B491" s="27" t="s">
        <v>1523</v>
      </c>
      <c r="C491" s="27" t="s">
        <v>1524</v>
      </c>
      <c r="D491" s="27" t="s">
        <v>1525</v>
      </c>
      <c r="E491" s="28" t="s">
        <v>46</v>
      </c>
      <c r="F491" s="29" t="s">
        <v>46</v>
      </c>
      <c r="G491" s="30" t="s">
        <v>46</v>
      </c>
      <c r="H491" s="31"/>
      <c r="I491" s="31" t="s">
        <v>47</v>
      </c>
      <c r="J491" s="32" t="n">
        <v>1.0</v>
      </c>
      <c r="K491" s="33" t="n">
        <f>167100</f>
        <v>167100.0</v>
      </c>
      <c r="L491" s="34" t="s">
        <v>48</v>
      </c>
      <c r="M491" s="33" t="n">
        <f>171200</f>
        <v>171200.0</v>
      </c>
      <c r="N491" s="34" t="s">
        <v>103</v>
      </c>
      <c r="O491" s="33" t="n">
        <f>160100</f>
        <v>160100.0</v>
      </c>
      <c r="P491" s="34" t="s">
        <v>273</v>
      </c>
      <c r="Q491" s="33" t="n">
        <f>164100</f>
        <v>164100.0</v>
      </c>
      <c r="R491" s="34" t="s">
        <v>50</v>
      </c>
      <c r="S491" s="35" t="n">
        <f>166463.16</f>
        <v>166463.16</v>
      </c>
      <c r="T491" s="32" t="n">
        <f>45435</f>
        <v>45435.0</v>
      </c>
      <c r="U491" s="32" t="n">
        <f>6746</f>
        <v>6746.0</v>
      </c>
      <c r="V491" s="32" t="n">
        <f>7541694036</f>
        <v>7.541694036E9</v>
      </c>
      <c r="W491" s="32" t="n">
        <f>1122961736</f>
        <v>1.122961736E9</v>
      </c>
      <c r="X491" s="36" t="n">
        <f>19</f>
        <v>19.0</v>
      </c>
    </row>
    <row r="492">
      <c r="A492" s="27" t="s">
        <v>42</v>
      </c>
      <c r="B492" s="27" t="s">
        <v>1526</v>
      </c>
      <c r="C492" s="27" t="s">
        <v>1527</v>
      </c>
      <c r="D492" s="27" t="s">
        <v>1528</v>
      </c>
      <c r="E492" s="28" t="s">
        <v>46</v>
      </c>
      <c r="F492" s="29" t="s">
        <v>46</v>
      </c>
      <c r="G492" s="30" t="s">
        <v>46</v>
      </c>
      <c r="H492" s="31"/>
      <c r="I492" s="31" t="s">
        <v>415</v>
      </c>
      <c r="J492" s="32" t="n">
        <v>1.0</v>
      </c>
      <c r="K492" s="33" t="n">
        <f>202000</f>
        <v>202000.0</v>
      </c>
      <c r="L492" s="34" t="s">
        <v>48</v>
      </c>
      <c r="M492" s="33" t="n">
        <f>214900</f>
        <v>214900.0</v>
      </c>
      <c r="N492" s="34" t="s">
        <v>103</v>
      </c>
      <c r="O492" s="33" t="n">
        <f>200900</f>
        <v>200900.0</v>
      </c>
      <c r="P492" s="34" t="s">
        <v>48</v>
      </c>
      <c r="Q492" s="33" t="n">
        <f>210200</f>
        <v>210200.0</v>
      </c>
      <c r="R492" s="34" t="s">
        <v>50</v>
      </c>
      <c r="S492" s="35" t="n">
        <f>209378.95</f>
        <v>209378.95</v>
      </c>
      <c r="T492" s="32" t="n">
        <f>15839</f>
        <v>15839.0</v>
      </c>
      <c r="U492" s="32" t="n">
        <f>2059</f>
        <v>2059.0</v>
      </c>
      <c r="V492" s="32" t="n">
        <f>3314142510</f>
        <v>3.31414251E9</v>
      </c>
      <c r="W492" s="32" t="n">
        <f>430942910</f>
        <v>4.3094291E8</v>
      </c>
      <c r="X492" s="36" t="n">
        <f>19</f>
        <v>19.0</v>
      </c>
    </row>
    <row r="493">
      <c r="A493" s="27" t="s">
        <v>42</v>
      </c>
      <c r="B493" s="27" t="s">
        <v>1529</v>
      </c>
      <c r="C493" s="27" t="s">
        <v>1530</v>
      </c>
      <c r="D493" s="27" t="s">
        <v>1531</v>
      </c>
      <c r="E493" s="28" t="s">
        <v>46</v>
      </c>
      <c r="F493" s="29" t="s">
        <v>46</v>
      </c>
      <c r="G493" s="30" t="s">
        <v>46</v>
      </c>
      <c r="H493" s="31"/>
      <c r="I493" s="31" t="s">
        <v>47</v>
      </c>
      <c r="J493" s="32" t="n">
        <v>1.0</v>
      </c>
      <c r="K493" s="33" t="n">
        <f>144700</f>
        <v>144700.0</v>
      </c>
      <c r="L493" s="34" t="s">
        <v>48</v>
      </c>
      <c r="M493" s="33" t="n">
        <f>144700</f>
        <v>144700.0</v>
      </c>
      <c r="N493" s="34" t="s">
        <v>48</v>
      </c>
      <c r="O493" s="33" t="n">
        <f>134000</f>
        <v>134000.0</v>
      </c>
      <c r="P493" s="34" t="s">
        <v>223</v>
      </c>
      <c r="Q493" s="33" t="n">
        <f>134800</f>
        <v>134800.0</v>
      </c>
      <c r="R493" s="34" t="s">
        <v>50</v>
      </c>
      <c r="S493" s="35" t="n">
        <f>140242.11</f>
        <v>140242.11</v>
      </c>
      <c r="T493" s="32" t="n">
        <f>265259</f>
        <v>265259.0</v>
      </c>
      <c r="U493" s="32" t="n">
        <f>67987</f>
        <v>67987.0</v>
      </c>
      <c r="V493" s="32" t="n">
        <f>37070949312</f>
        <v>3.7070949312E10</v>
      </c>
      <c r="W493" s="32" t="n">
        <f>9547423512</f>
        <v>9.547423512E9</v>
      </c>
      <c r="X493" s="36" t="n">
        <f>19</f>
        <v>19.0</v>
      </c>
    </row>
    <row r="494">
      <c r="A494" s="27" t="s">
        <v>42</v>
      </c>
      <c r="B494" s="27" t="s">
        <v>1532</v>
      </c>
      <c r="C494" s="27" t="s">
        <v>1533</v>
      </c>
      <c r="D494" s="27" t="s">
        <v>1534</v>
      </c>
      <c r="E494" s="28" t="s">
        <v>46</v>
      </c>
      <c r="F494" s="29" t="s">
        <v>46</v>
      </c>
      <c r="G494" s="30" t="s">
        <v>46</v>
      </c>
      <c r="H494" s="31"/>
      <c r="I494" s="31" t="s">
        <v>47</v>
      </c>
      <c r="J494" s="32" t="n">
        <v>1.0</v>
      </c>
      <c r="K494" s="33" t="n">
        <f>82200</f>
        <v>82200.0</v>
      </c>
      <c r="L494" s="34" t="s">
        <v>48</v>
      </c>
      <c r="M494" s="33" t="n">
        <f>86500</f>
        <v>86500.0</v>
      </c>
      <c r="N494" s="34" t="s">
        <v>155</v>
      </c>
      <c r="O494" s="33" t="n">
        <f>80900</f>
        <v>80900.0</v>
      </c>
      <c r="P494" s="34" t="s">
        <v>48</v>
      </c>
      <c r="Q494" s="33" t="n">
        <f>83100</f>
        <v>83100.0</v>
      </c>
      <c r="R494" s="34" t="s">
        <v>50</v>
      </c>
      <c r="S494" s="35" t="n">
        <f>83968.42</f>
        <v>83968.42</v>
      </c>
      <c r="T494" s="32" t="n">
        <f>483162</f>
        <v>483162.0</v>
      </c>
      <c r="U494" s="32" t="n">
        <f>107192</f>
        <v>107192.0</v>
      </c>
      <c r="V494" s="32" t="n">
        <f>40534402911</f>
        <v>4.0534402911E10</v>
      </c>
      <c r="W494" s="32" t="n">
        <f>8990493911</f>
        <v>8.990493911E9</v>
      </c>
      <c r="X494" s="36" t="n">
        <f>19</f>
        <v>19.0</v>
      </c>
    </row>
    <row r="495">
      <c r="A495" s="27" t="s">
        <v>42</v>
      </c>
      <c r="B495" s="27" t="s">
        <v>1535</v>
      </c>
      <c r="C495" s="27" t="s">
        <v>1536</v>
      </c>
      <c r="D495" s="27" t="s">
        <v>1537</v>
      </c>
      <c r="E495" s="28" t="s">
        <v>46</v>
      </c>
      <c r="F495" s="29" t="s">
        <v>46</v>
      </c>
      <c r="G495" s="30" t="s">
        <v>46</v>
      </c>
      <c r="H495" s="31"/>
      <c r="I495" s="31" t="s">
        <v>47</v>
      </c>
      <c r="J495" s="32" t="n">
        <v>1.0</v>
      </c>
      <c r="K495" s="33" t="n">
        <f>115300</f>
        <v>115300.0</v>
      </c>
      <c r="L495" s="34" t="s">
        <v>48</v>
      </c>
      <c r="M495" s="33" t="n">
        <f>118800</f>
        <v>118800.0</v>
      </c>
      <c r="N495" s="34" t="s">
        <v>103</v>
      </c>
      <c r="O495" s="33" t="n">
        <f>113100</f>
        <v>113100.0</v>
      </c>
      <c r="P495" s="34" t="s">
        <v>223</v>
      </c>
      <c r="Q495" s="33" t="n">
        <f>114800</f>
        <v>114800.0</v>
      </c>
      <c r="R495" s="34" t="s">
        <v>50</v>
      </c>
      <c r="S495" s="35" t="n">
        <f>115778.95</f>
        <v>115778.95</v>
      </c>
      <c r="T495" s="32" t="n">
        <f>127837</f>
        <v>127837.0</v>
      </c>
      <c r="U495" s="32" t="n">
        <f>31855</f>
        <v>31855.0</v>
      </c>
      <c r="V495" s="32" t="n">
        <f>14775391769</f>
        <v>1.4775391769E10</v>
      </c>
      <c r="W495" s="32" t="n">
        <f>3681160269</f>
        <v>3.681160269E9</v>
      </c>
      <c r="X495" s="36" t="n">
        <f>19</f>
        <v>19.0</v>
      </c>
    </row>
    <row r="496">
      <c r="A496" s="27" t="s">
        <v>42</v>
      </c>
      <c r="B496" s="27" t="s">
        <v>1538</v>
      </c>
      <c r="C496" s="27" t="s">
        <v>1539</v>
      </c>
      <c r="D496" s="27" t="s">
        <v>1540</v>
      </c>
      <c r="E496" s="28" t="s">
        <v>46</v>
      </c>
      <c r="F496" s="29" t="s">
        <v>46</v>
      </c>
      <c r="G496" s="30" t="s">
        <v>46</v>
      </c>
      <c r="H496" s="31"/>
      <c r="I496" s="31" t="s">
        <v>47</v>
      </c>
      <c r="J496" s="32" t="n">
        <v>1.0</v>
      </c>
      <c r="K496" s="33" t="n">
        <f>149300</f>
        <v>149300.0</v>
      </c>
      <c r="L496" s="34" t="s">
        <v>48</v>
      </c>
      <c r="M496" s="33" t="n">
        <f>154300</f>
        <v>154300.0</v>
      </c>
      <c r="N496" s="34" t="s">
        <v>103</v>
      </c>
      <c r="O496" s="33" t="n">
        <f>147900</f>
        <v>147900.0</v>
      </c>
      <c r="P496" s="34" t="s">
        <v>48</v>
      </c>
      <c r="Q496" s="33" t="n">
        <f>149600</f>
        <v>149600.0</v>
      </c>
      <c r="R496" s="34" t="s">
        <v>50</v>
      </c>
      <c r="S496" s="35" t="n">
        <f>151152.63</f>
        <v>151152.63</v>
      </c>
      <c r="T496" s="32" t="n">
        <f>66831</f>
        <v>66831.0</v>
      </c>
      <c r="U496" s="32" t="n">
        <f>16467</f>
        <v>16467.0</v>
      </c>
      <c r="V496" s="32" t="n">
        <f>10093410538</f>
        <v>1.0093410538E10</v>
      </c>
      <c r="W496" s="32" t="n">
        <f>2488733538</f>
        <v>2.488733538E9</v>
      </c>
      <c r="X496" s="36" t="n">
        <f>19</f>
        <v>19.0</v>
      </c>
    </row>
    <row r="497">
      <c r="A497" s="27" t="s">
        <v>42</v>
      </c>
      <c r="B497" s="27" t="s">
        <v>1541</v>
      </c>
      <c r="C497" s="27" t="s">
        <v>1542</v>
      </c>
      <c r="D497" s="27" t="s">
        <v>1543</v>
      </c>
      <c r="E497" s="28" t="s">
        <v>46</v>
      </c>
      <c r="F497" s="29" t="s">
        <v>46</v>
      </c>
      <c r="G497" s="30" t="s">
        <v>46</v>
      </c>
      <c r="H497" s="31"/>
      <c r="I497" s="31" t="s">
        <v>415</v>
      </c>
      <c r="J497" s="32" t="n">
        <v>1.0</v>
      </c>
      <c r="K497" s="33" t="n">
        <f>50000</f>
        <v>50000.0</v>
      </c>
      <c r="L497" s="34" t="s">
        <v>48</v>
      </c>
      <c r="M497" s="33" t="n">
        <f>58800</f>
        <v>58800.0</v>
      </c>
      <c r="N497" s="34" t="s">
        <v>61</v>
      </c>
      <c r="O497" s="33" t="n">
        <f>48800</f>
        <v>48800.0</v>
      </c>
      <c r="P497" s="34" t="s">
        <v>48</v>
      </c>
      <c r="Q497" s="33" t="n">
        <f>57300</f>
        <v>57300.0</v>
      </c>
      <c r="R497" s="34" t="s">
        <v>50</v>
      </c>
      <c r="S497" s="35" t="n">
        <f>51878.95</f>
        <v>51878.95</v>
      </c>
      <c r="T497" s="32" t="n">
        <f>6592</f>
        <v>6592.0</v>
      </c>
      <c r="U497" s="32" t="n">
        <f>2</f>
        <v>2.0</v>
      </c>
      <c r="V497" s="32" t="n">
        <f>350140100</f>
        <v>3.501401E8</v>
      </c>
      <c r="W497" s="32" t="n">
        <f>99900</f>
        <v>99900.0</v>
      </c>
      <c r="X497" s="36" t="n">
        <f>19</f>
        <v>19.0</v>
      </c>
    </row>
    <row r="498">
      <c r="A498" s="27" t="s">
        <v>42</v>
      </c>
      <c r="B498" s="27" t="s">
        <v>1544</v>
      </c>
      <c r="C498" s="27" t="s">
        <v>1545</v>
      </c>
      <c r="D498" s="27" t="s">
        <v>1546</v>
      </c>
      <c r="E498" s="28" t="s">
        <v>46</v>
      </c>
      <c r="F498" s="29" t="s">
        <v>46</v>
      </c>
      <c r="G498" s="30" t="s">
        <v>46</v>
      </c>
      <c r="H498" s="31"/>
      <c r="I498" s="31" t="s">
        <v>415</v>
      </c>
      <c r="J498" s="32" t="n">
        <v>1.0</v>
      </c>
      <c r="K498" s="33" t="n">
        <f>92000</f>
        <v>92000.0</v>
      </c>
      <c r="L498" s="34" t="s">
        <v>48</v>
      </c>
      <c r="M498" s="33" t="n">
        <f>93900</f>
        <v>93900.0</v>
      </c>
      <c r="N498" s="34" t="s">
        <v>223</v>
      </c>
      <c r="O498" s="33" t="n">
        <f>90000</f>
        <v>90000.0</v>
      </c>
      <c r="P498" s="34" t="s">
        <v>213</v>
      </c>
      <c r="Q498" s="33" t="n">
        <f>91900</f>
        <v>91900.0</v>
      </c>
      <c r="R498" s="34" t="s">
        <v>50</v>
      </c>
      <c r="S498" s="35" t="n">
        <f>91552.63</f>
        <v>91552.63</v>
      </c>
      <c r="T498" s="32" t="n">
        <f>16804</f>
        <v>16804.0</v>
      </c>
      <c r="U498" s="32" t="n">
        <f>273</f>
        <v>273.0</v>
      </c>
      <c r="V498" s="32" t="n">
        <f>1535970862</f>
        <v>1.535970862E9</v>
      </c>
      <c r="W498" s="32" t="n">
        <f>24938462</f>
        <v>2.4938462E7</v>
      </c>
      <c r="X498" s="36" t="n">
        <f>19</f>
        <v>19.0</v>
      </c>
    </row>
    <row r="499">
      <c r="A499" s="27" t="s">
        <v>42</v>
      </c>
      <c r="B499" s="27" t="s">
        <v>1547</v>
      </c>
      <c r="C499" s="27" t="s">
        <v>1548</v>
      </c>
      <c r="D499" s="27" t="s">
        <v>1549</v>
      </c>
      <c r="E499" s="28" t="s">
        <v>46</v>
      </c>
      <c r="F499" s="29" t="s">
        <v>46</v>
      </c>
      <c r="G499" s="30" t="s">
        <v>46</v>
      </c>
      <c r="H499" s="31"/>
      <c r="I499" s="31" t="s">
        <v>415</v>
      </c>
      <c r="J499" s="32" t="n">
        <v>1.0</v>
      </c>
      <c r="K499" s="33" t="n">
        <f>50600</f>
        <v>50600.0</v>
      </c>
      <c r="L499" s="34" t="s">
        <v>48</v>
      </c>
      <c r="M499" s="33" t="n">
        <f>51000</f>
        <v>51000.0</v>
      </c>
      <c r="N499" s="34" t="s">
        <v>213</v>
      </c>
      <c r="O499" s="33" t="n">
        <f>49600</f>
        <v>49600.0</v>
      </c>
      <c r="P499" s="34" t="s">
        <v>213</v>
      </c>
      <c r="Q499" s="33" t="n">
        <f>50300</f>
        <v>50300.0</v>
      </c>
      <c r="R499" s="34" t="s">
        <v>50</v>
      </c>
      <c r="S499" s="35" t="n">
        <f>50231.58</f>
        <v>50231.58</v>
      </c>
      <c r="T499" s="32" t="n">
        <f>9646</f>
        <v>9646.0</v>
      </c>
      <c r="U499" s="32" t="n">
        <f>111</f>
        <v>111.0</v>
      </c>
      <c r="V499" s="32" t="n">
        <f>483944000</f>
        <v>4.83944E8</v>
      </c>
      <c r="W499" s="32" t="n">
        <f>5584500</f>
        <v>5584500.0</v>
      </c>
      <c r="X499" s="36" t="n">
        <f>19</f>
        <v>19.0</v>
      </c>
    </row>
    <row r="500">
      <c r="A500" s="27" t="s">
        <v>42</v>
      </c>
      <c r="B500" s="27" t="s">
        <v>1550</v>
      </c>
      <c r="C500" s="27" t="s">
        <v>1551</v>
      </c>
      <c r="D500" s="27" t="s">
        <v>1552</v>
      </c>
      <c r="E500" s="28" t="s">
        <v>46</v>
      </c>
      <c r="F500" s="29" t="s">
        <v>46</v>
      </c>
      <c r="G500" s="30" t="s">
        <v>46</v>
      </c>
      <c r="H500" s="31"/>
      <c r="I500" s="31" t="s">
        <v>47</v>
      </c>
      <c r="J500" s="32" t="n">
        <v>1.0</v>
      </c>
      <c r="K500" s="33" t="n">
        <f>56000</f>
        <v>56000.0</v>
      </c>
      <c r="L500" s="34" t="s">
        <v>48</v>
      </c>
      <c r="M500" s="33" t="n">
        <f>57400</f>
        <v>57400.0</v>
      </c>
      <c r="N500" s="34" t="s">
        <v>74</v>
      </c>
      <c r="O500" s="33" t="n">
        <f>55600</f>
        <v>55600.0</v>
      </c>
      <c r="P500" s="34" t="s">
        <v>65</v>
      </c>
      <c r="Q500" s="33" t="n">
        <f>57000</f>
        <v>57000.0</v>
      </c>
      <c r="R500" s="34" t="s">
        <v>50</v>
      </c>
      <c r="S500" s="35" t="n">
        <f>56626.32</f>
        <v>56626.32</v>
      </c>
      <c r="T500" s="32" t="n">
        <f>27463</f>
        <v>27463.0</v>
      </c>
      <c r="U500" s="32" t="n">
        <f>508</f>
        <v>508.0</v>
      </c>
      <c r="V500" s="32" t="n">
        <f>1552204159</f>
        <v>1.552204159E9</v>
      </c>
      <c r="W500" s="32" t="n">
        <f>28652859</f>
        <v>2.8652859E7</v>
      </c>
      <c r="X500" s="36" t="n">
        <f>19</f>
        <v>19.0</v>
      </c>
    </row>
    <row r="501">
      <c r="A501" s="27" t="s">
        <v>42</v>
      </c>
      <c r="B501" s="27" t="s">
        <v>1553</v>
      </c>
      <c r="C501" s="27" t="s">
        <v>1554</v>
      </c>
      <c r="D501" s="27" t="s">
        <v>1555</v>
      </c>
      <c r="E501" s="28" t="s">
        <v>46</v>
      </c>
      <c r="F501" s="29" t="s">
        <v>46</v>
      </c>
      <c r="G501" s="30" t="s">
        <v>46</v>
      </c>
      <c r="H501" s="31" t="s">
        <v>1175</v>
      </c>
      <c r="I501" s="31" t="s">
        <v>415</v>
      </c>
      <c r="J501" s="32" t="n">
        <v>1.0</v>
      </c>
      <c r="K501" s="33" t="n">
        <f>64100</f>
        <v>64100.0</v>
      </c>
      <c r="L501" s="34" t="s">
        <v>48</v>
      </c>
      <c r="M501" s="33" t="n">
        <f>66600</f>
        <v>66600.0</v>
      </c>
      <c r="N501" s="34" t="s">
        <v>223</v>
      </c>
      <c r="O501" s="33" t="n">
        <f>62900</f>
        <v>62900.0</v>
      </c>
      <c r="P501" s="34" t="s">
        <v>74</v>
      </c>
      <c r="Q501" s="33" t="n">
        <f>66500</f>
        <v>66500.0</v>
      </c>
      <c r="R501" s="34" t="s">
        <v>50</v>
      </c>
      <c r="S501" s="35" t="n">
        <f>64489.47</f>
        <v>64489.47</v>
      </c>
      <c r="T501" s="32" t="n">
        <f>213736</f>
        <v>213736.0</v>
      </c>
      <c r="U501" s="32" t="n">
        <f>23931</f>
        <v>23931.0</v>
      </c>
      <c r="V501" s="32" t="n">
        <f>13828274336</f>
        <v>1.3828274336E10</v>
      </c>
      <c r="W501" s="32" t="n">
        <f>1526462636</f>
        <v>1.526462636E9</v>
      </c>
      <c r="X501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