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4" sheetId="1" r:id="rId1"/>
  </sheets>
  <definedNames>
    <definedName name="_xlnm.Print_Titles" localSheetId="0">BO_EM0004!$1:$6</definedName>
  </definedNames>
  <calcPr calcId="145621"/>
</workbook>
</file>

<file path=xl/sharedStrings.xml><?xml version="1.0" encoding="utf-8"?>
<sst xmlns="http://schemas.openxmlformats.org/spreadsheetml/2006/main" count="6007" uniqueCount="1556">
  <si>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</si>
  <si>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sb="0" eb="1">
      <t>トウ</t>
    </rPh>
    <rPh sb="2" eb="3">
      <t>シン</t>
    </rPh>
    <rPh sb="4" eb="5">
      <t>トウ</t>
    </rPh>
    <rPh sb="6" eb="7">
      <t>ソウ</t>
    </rPh>
    <rPh sb="8" eb="9">
      <t>バ</t>
    </rPh>
    <rPh sb="10" eb="11">
      <t>ヒョウ</t>
    </rPh>
    <phoneticPr fontId="3"/>
  </si>
  <si>
    <t>Investment Trust Quotations</t>
    <phoneticPr fontId="3"/>
  </si>
  <si>
    <t>年月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</si>
  <si>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</si>
  <si>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</si>
  <si>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</si>
  <si>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</si>
  <si>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</si>
  <si>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sb="0" eb="2">
      <t>ヒヅケ</t>
    </rPh>
    <phoneticPr fontId="3"/>
  </si>
  <si>
    <t>区分</t>
  </si>
  <si>
    <t>信用・貸借</t>
    <rPh sb="0" eb="2">
      <t>シンヨウ</t>
    </rPh>
    <rPh sb="3" eb="5">
      <t>タイシャク</t>
    </rPh>
    <phoneticPr fontId="3"/>
  </si>
  <si>
    <t>売買単位</t>
    <rPh sb="0" eb="2">
      <t>バイバイ</t>
    </rPh>
    <rPh sb="2" eb="4">
      <t>タンイ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</si>
  <si>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</si>
  <si>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</si>
  <si>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</si>
  <si>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</si>
  <si>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</si>
  <si>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売買高</t>
    <rPh sb="0" eb="3">
      <t>バイバイダカ</t>
    </rPh>
    <phoneticPr fontId="3"/>
  </si>
  <si>
    <t>うちToSTNeT売買高</t>
  </si>
  <si>
    <t>売買代金</t>
    <rPh sb="0" eb="2">
      <t>バイバイ</t>
    </rPh>
    <rPh sb="2" eb="4">
      <t>ダイキン</t>
    </rPh>
    <phoneticPr fontId="3"/>
  </si>
  <si>
    <t>うちToSTNeT売買代金</t>
  </si>
  <si>
    <t>値付日数</t>
    <rPh sb="0" eb="2">
      <t>ネツ</t>
    </rPh>
    <rPh sb="2" eb="4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</si>
  <si>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</si>
  <si>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</si>
  <si>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</si>
  <si>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</si>
  <si>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</si>
  <si>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</si>
  <si>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</si>
  <si>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</si>
  <si>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</si>
  <si>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</si>
  <si>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</si>
  <si>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</si>
  <si>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</si>
  <si>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</si>
  <si>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</si>
  <si>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</si>
  <si>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</si>
  <si>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</si>
  <si>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</si>
  <si>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2026/02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</si>
  <si>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</si>
  <si>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</si>
  <si>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</si>
  <si>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</si>
  <si>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</si>
  <si>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2</t>
  </si>
  <si>
    <t>27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</si>
  <si>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</si>
  <si>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</si>
  <si>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</si>
  <si>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</si>
  <si>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</si>
  <si>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Listed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</si>
  <si>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</si>
  <si>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</si>
  <si>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</si>
  <si>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9</t>
  </si>
  <si>
    <t>3</t>
  </si>
  <si>
    <t>1311</t>
  </si>
  <si>
    <t>ＮＥＸＴ　ＦＵＮＤＳ　ＴＯＰＩＸ　Ｃｏｒｅ　３０連動型上場投信　受益証券</t>
  </si>
  <si>
    <t>NEXT FUNDS TOPIX Core 30 Exchange Traded Fund</t>
  </si>
  <si>
    <t>12</t>
  </si>
  <si>
    <t>1319</t>
  </si>
  <si>
    <t>ＮＥＸＴ　ＦＵＮＤＳ　日経３００株価指数連動型上場投信　受益証券</t>
  </si>
  <si>
    <t>NEXT FUNDS Nikkei 300 Index Exchange Traded Fund</t>
  </si>
  <si>
    <t>26</t>
  </si>
  <si>
    <t>4</t>
  </si>
  <si>
    <t>1320</t>
  </si>
  <si>
    <t>ｉＦｒｅｅＥＴＦ　日経２２５（年１回決算型）　受益証券</t>
  </si>
  <si>
    <t>iFreeETF Nikkei225 (Yearly Dividend Type)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</si>
  <si>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</si>
  <si>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</si>
  <si>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</si>
  <si>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</si>
  <si>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</si>
  <si>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</si>
  <si>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10</t>
  </si>
  <si>
    <t>1325</t>
  </si>
  <si>
    <t>ＮＥＸＴ　ＦＵＮＤＳ　ブラジル株式指数・ボベスパ連動型上場投信　受益証券</t>
  </si>
  <si>
    <t>NEXT FUNDS Ibovespa Linked Exchange Traded Fund</t>
  </si>
  <si>
    <t>25</t>
  </si>
  <si>
    <t>1326</t>
  </si>
  <si>
    <t>ＳＰＤＲゴールド・シェア　受益証券</t>
  </si>
  <si>
    <t>SPDR Gold Shares</t>
  </si>
  <si>
    <t>1328</t>
  </si>
  <si>
    <t>ＮＥＸＴ　ＦＵＮＤＳ　金価格連動型上場投信　受益証券</t>
  </si>
  <si>
    <t>NEXT FUNDS Gold Price Exchange Traded Fund</t>
  </si>
  <si>
    <t>24</t>
  </si>
  <si>
    <t>1329</t>
  </si>
  <si>
    <t>ｉシェアーズ・コア　日経２２５　ＥＴＦ　受益証券</t>
  </si>
  <si>
    <t>iShares Core Nikkei 225 ETF</t>
  </si>
  <si>
    <t>6</t>
  </si>
  <si>
    <t>1330</t>
  </si>
  <si>
    <t>上場インデックスファンド２２５　受益証券</t>
  </si>
  <si>
    <t>Listed Index Fund 225</t>
  </si>
  <si>
    <t>133A</t>
  </si>
  <si>
    <t>グローバルＸ　超短期米国債　ＥＴＦ　受益証券</t>
  </si>
  <si>
    <t>Global X Ultra Short-Term T-Bill ETF</t>
  </si>
  <si>
    <t>5</t>
  </si>
  <si>
    <t>1343</t>
  </si>
  <si>
    <t>ＮＥＸＴ　ＦＵＮＤＳ　東証ＲＥＩＴ　指数連動型上場投信　受益証券</t>
  </si>
  <si>
    <t>NEXT FUNDS REIT INDEX ETF</t>
  </si>
  <si>
    <t>13</t>
  </si>
  <si>
    <t>1345</t>
  </si>
  <si>
    <t>上場インデックスファンドＪリート（東証ＲＥＩＴ指数）隔月分配型　受益証券</t>
  </si>
  <si>
    <t>Listed Index Fund J-REIT (Tokyo Stock Exchange REIT Index)Bi-Monthly Dividend Payment Type</t>
  </si>
  <si>
    <t>1346</t>
  </si>
  <si>
    <t>ＭＡＸＩＳ　日経２２５上場投信　受益証券</t>
  </si>
  <si>
    <t>MAXIS NIKKEI 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</si>
  <si>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</si>
  <si>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</si>
  <si>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</si>
  <si>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</si>
  <si>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</si>
  <si>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</si>
  <si>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</si>
  <si>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</si>
  <si>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</si>
  <si>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</si>
  <si>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</si>
  <si>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Exchange Traded Fund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</si>
  <si>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</si>
  <si>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</si>
  <si>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</si>
  <si>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</si>
  <si>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</si>
  <si>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</si>
  <si>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</si>
  <si>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</si>
  <si>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</si>
  <si>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</si>
  <si>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</si>
  <si>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</si>
  <si>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</si>
  <si>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</si>
  <si>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</si>
  <si>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</si>
  <si>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</si>
  <si>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</si>
  <si>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</si>
  <si>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</si>
  <si>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</si>
  <si>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</si>
  <si>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</si>
  <si>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</si>
  <si>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</si>
  <si>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</si>
  <si>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</si>
  <si>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</si>
  <si>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</si>
  <si>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</si>
  <si>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</si>
  <si>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</si>
  <si>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</si>
  <si>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140A</t>
  </si>
  <si>
    <t>ｉＦｒｅｅＥＴＦ　米国１０年国債先物インバース　受益証券</t>
  </si>
  <si>
    <t>iFreeETF 10-Year U.S. Treasury Note Futures Inverse</t>
  </si>
  <si>
    <t>16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</si>
  <si>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</si>
  <si>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</si>
  <si>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</si>
  <si>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</si>
  <si>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</si>
  <si>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</si>
  <si>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</si>
  <si>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</si>
  <si>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</si>
  <si>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</si>
  <si>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</si>
  <si>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</si>
  <si>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1466</t>
  </si>
  <si>
    <t>ｉＦｒｅｅＥＴＦ　ＪＰＸ日経４００ダブルインバース・インデックス　受益証券</t>
  </si>
  <si>
    <t>iFreeETF JPX-Nikkei400 Double Inverse (-2x) Index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</si>
  <si>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</si>
  <si>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</si>
  <si>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</si>
  <si>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</si>
  <si>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</si>
  <si>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</si>
  <si>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</si>
  <si>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</si>
  <si>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</si>
  <si>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</si>
  <si>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</si>
  <si>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</si>
  <si>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</si>
  <si>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</si>
  <si>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</si>
  <si>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</si>
  <si>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</si>
  <si>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</si>
  <si>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</si>
  <si>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</si>
  <si>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</si>
  <si>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</si>
  <si>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</si>
  <si>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</si>
  <si>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</si>
  <si>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ｉＦｒｅｅＥＴＦ　ＭＳＣＩ日本株人材設備投資指数　受益証券</t>
  </si>
  <si>
    <t>iFreeETF MSCI Japan Human and Physical Investment Index</t>
  </si>
  <si>
    <t>18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</si>
  <si>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</si>
  <si>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</si>
  <si>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</si>
  <si>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</si>
  <si>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</si>
  <si>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</si>
  <si>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</si>
  <si>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</si>
  <si>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</si>
  <si>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</si>
  <si>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</si>
  <si>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</si>
  <si>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</si>
  <si>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</si>
  <si>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</si>
  <si>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</si>
  <si>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</si>
  <si>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</si>
  <si>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</si>
  <si>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</si>
  <si>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</si>
  <si>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</si>
  <si>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</si>
  <si>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</si>
  <si>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</si>
  <si>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ｉＦｒｅｅＥＴＦ　東証ＲＥＩＴ指数　受益証券</t>
  </si>
  <si>
    <t>iFreeETF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</si>
  <si>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</si>
  <si>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</si>
  <si>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</si>
  <si>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</si>
  <si>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</si>
  <si>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</si>
  <si>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</si>
  <si>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</si>
  <si>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</si>
  <si>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</si>
  <si>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</si>
  <si>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</si>
  <si>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</si>
  <si>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</si>
  <si>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</si>
  <si>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</si>
  <si>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</si>
  <si>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</si>
  <si>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</si>
  <si>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</si>
  <si>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</si>
  <si>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</si>
  <si>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</si>
  <si>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</si>
  <si>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</si>
  <si>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</si>
  <si>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</si>
  <si>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20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</si>
  <si>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</si>
  <si>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</si>
  <si>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</si>
  <si>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</si>
  <si>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</si>
  <si>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</si>
  <si>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</si>
  <si>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</si>
  <si>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</si>
  <si>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</si>
  <si>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</si>
  <si>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</si>
  <si>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</si>
  <si>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</si>
  <si>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</si>
  <si>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17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</si>
  <si>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</si>
  <si>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</si>
  <si>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</si>
  <si>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</si>
  <si>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</si>
  <si>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</si>
  <si>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</si>
  <si>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</si>
  <si>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</si>
  <si>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</si>
  <si>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</si>
  <si>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</si>
  <si>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</si>
  <si>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</si>
  <si>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</si>
  <si>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</si>
  <si>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Ａ－ＲＥＩＴ）　受益証券</t>
  </si>
  <si>
    <t>Listed Index Fund Australian REIT (S&amp;P/ASX200 A-REIT)</t>
  </si>
  <si>
    <t>1557</t>
  </si>
  <si>
    <t>ＳＰＤＲ　Ｓ＆Ｐ５００　ＥＴＦ　受益証券</t>
  </si>
  <si>
    <t>State Street SPDR S&amp;P 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</si>
  <si>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</si>
  <si>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</si>
  <si>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</si>
  <si>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</si>
  <si>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</si>
  <si>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</si>
  <si>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</si>
  <si>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</si>
  <si>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</si>
  <si>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</si>
  <si>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</si>
  <si>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</si>
  <si>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</si>
  <si>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</si>
  <si>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</si>
  <si>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</si>
  <si>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</si>
  <si>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</si>
  <si>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</si>
  <si>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</si>
  <si>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</si>
  <si>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</si>
  <si>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</si>
  <si>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</si>
  <si>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</si>
  <si>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</si>
  <si>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</si>
  <si>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</si>
  <si>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</si>
  <si>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</si>
  <si>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</si>
  <si>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</si>
  <si>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Exchange Traded Fund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</si>
  <si>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</si>
  <si>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</si>
  <si>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</si>
  <si>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</si>
  <si>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</si>
  <si>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</si>
  <si>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</si>
  <si>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</si>
  <si>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</si>
  <si>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</si>
  <si>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</si>
  <si>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</si>
  <si>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</si>
  <si>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</si>
  <si>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</si>
  <si>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</si>
  <si>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</si>
  <si>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</si>
  <si>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</si>
  <si>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</si>
  <si>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</si>
  <si>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</si>
  <si>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</si>
  <si>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</si>
  <si>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</si>
  <si>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</si>
  <si>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</si>
  <si>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</si>
  <si>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</si>
  <si>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</si>
  <si>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</si>
  <si>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</si>
  <si>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</si>
  <si>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</si>
  <si>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ｉＦｒｅｅＥＴＦ　ＪＰＸ日経４００　受益証券</t>
  </si>
  <si>
    <t>iFreeETF JPX-Nikkei400</t>
  </si>
  <si>
    <t>159A</t>
  </si>
  <si>
    <t>ＮＥＸＴ　ＦＵＮＤＳ　ＪＰＸプライム１５０指数連動型上場投信　受益証券</t>
  </si>
  <si>
    <t>NEXT FUNDS JPX Prime 150 Index Exchange Traded Fund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</si>
  <si>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</si>
  <si>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</si>
  <si>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</si>
  <si>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</si>
  <si>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</si>
  <si>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</si>
  <si>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</si>
  <si>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</si>
  <si>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</si>
  <si>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</si>
  <si>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</si>
  <si>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</si>
  <si>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</si>
  <si>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</si>
  <si>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</si>
  <si>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</si>
  <si>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</si>
  <si>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</si>
  <si>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</si>
  <si>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</si>
  <si>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</si>
  <si>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</si>
  <si>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</si>
  <si>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</si>
  <si>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</si>
  <si>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</si>
  <si>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</si>
  <si>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</si>
  <si>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</si>
  <si>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</si>
  <si>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</si>
  <si>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</si>
  <si>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</si>
  <si>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</si>
  <si>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</si>
  <si>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</si>
  <si>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</si>
  <si>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</si>
  <si>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</si>
  <si>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</si>
  <si>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</si>
  <si>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</si>
  <si>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162A</t>
  </si>
  <si>
    <t>ＡＩセレクトメガトレンド　日本株（ネットリターン）ＥＴＮ　受益証券</t>
  </si>
  <si>
    <t>AI Select Megatrend Japan Equity Net Return ETN</t>
  </si>
  <si>
    <t>信用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</si>
  <si>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</si>
  <si>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</si>
  <si>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</si>
  <si>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</si>
  <si>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</si>
  <si>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</si>
  <si>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</si>
  <si>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</si>
  <si>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</si>
  <si>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</si>
  <si>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</si>
  <si>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</si>
  <si>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163A</t>
  </si>
  <si>
    <t>半導体フォーカス　日本株（ネットリターン）ＥＴＮ　受益証券</t>
  </si>
  <si>
    <t>Semiconductor Focus Japan Equity Net Return ETN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</si>
  <si>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</si>
  <si>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</si>
  <si>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</si>
  <si>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</si>
  <si>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</si>
  <si>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</si>
  <si>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</si>
  <si>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</si>
  <si>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</si>
  <si>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</si>
  <si>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ＪＰＸ　Ｂｌｏｓｓｏｍ　Ｊａｐａｎ　Ｉｎｄｅｘ　受益証券</t>
  </si>
  <si>
    <t>iFreeETF FTSE JPX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</si>
  <si>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</si>
  <si>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</si>
  <si>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</si>
  <si>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</si>
  <si>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</si>
  <si>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</si>
  <si>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</si>
  <si>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</si>
  <si>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</si>
  <si>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</si>
  <si>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</si>
  <si>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</si>
  <si>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</si>
  <si>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</si>
  <si>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</si>
  <si>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</si>
  <si>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</si>
  <si>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</si>
  <si>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</si>
  <si>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</si>
  <si>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</si>
  <si>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</si>
  <si>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</si>
  <si>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</si>
  <si>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</si>
  <si>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</si>
  <si>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</si>
  <si>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</si>
  <si>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</si>
  <si>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</si>
  <si>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</si>
  <si>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</si>
  <si>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</si>
  <si>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</si>
  <si>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</si>
  <si>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</si>
  <si>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</si>
  <si>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</si>
  <si>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</si>
  <si>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</si>
  <si>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　連動型上場投信　受益証券</t>
  </si>
  <si>
    <t>NEXT FUNDS Nifty 50 Linked Exchange Traded Fund</t>
  </si>
  <si>
    <t>1679</t>
  </si>
  <si>
    <t>Ｓｉｍｐｌｅ－Ｘ　ＮＹ　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</si>
  <si>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</si>
  <si>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</si>
  <si>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</si>
  <si>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 (MSCI-KOKUSAI)</t>
  </si>
  <si>
    <t>1681</t>
  </si>
  <si>
    <t>上場インデックスファンド海外新興国株式（ＭＳＣＩ　エマージング）　受益証券</t>
  </si>
  <si>
    <t>Listed Index Fund International Emerging Countries Equity (MSCI EMERGING)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</si>
  <si>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</si>
  <si>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</si>
  <si>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</si>
  <si>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</si>
  <si>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</si>
  <si>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</si>
  <si>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</si>
  <si>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</si>
  <si>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</si>
  <si>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</si>
  <si>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</si>
  <si>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</si>
  <si>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</si>
  <si>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</si>
  <si>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</si>
  <si>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</si>
  <si>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</si>
  <si>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</si>
  <si>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</si>
  <si>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</si>
  <si>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</si>
  <si>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</si>
  <si>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</si>
  <si>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</si>
  <si>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</si>
  <si>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</si>
  <si>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</si>
  <si>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</si>
  <si>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</si>
  <si>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</si>
  <si>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</si>
  <si>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</si>
  <si>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</si>
  <si>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</si>
  <si>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</si>
  <si>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</si>
  <si>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</si>
  <si>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</si>
  <si>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</si>
  <si>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</si>
  <si>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</si>
  <si>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</si>
  <si>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</si>
  <si>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</si>
  <si>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 (TSE Dividend Focus 100)</t>
  </si>
  <si>
    <t>1699</t>
  </si>
  <si>
    <t>ＮＥＸＴ　ＦＵＮＤＳ　ＮＯＭＵＲＡ　原油インデックス連動型上場投信　受益証券</t>
  </si>
  <si>
    <t>NEXT FUNDS NOMURA Crude Oil Long Index Linked Exchange Traded Fund</t>
  </si>
  <si>
    <t>170A</t>
  </si>
  <si>
    <t>ＳＭＴ　ＥＴＦ日本好配当株アクティブ　受益証券</t>
  </si>
  <si>
    <t>SMT ETF Japan Equity Income Strategy Active</t>
  </si>
  <si>
    <t>178A</t>
  </si>
  <si>
    <t>グローバルＸ　革新的優良企業　ＥＴＦ　受益証券</t>
  </si>
  <si>
    <t>Global X Innovative Bluechip Top 10+ ETF</t>
  </si>
  <si>
    <t>179A</t>
  </si>
  <si>
    <t>グローバルＸ　超長期米国債　ＥＴＦ（為替ヘッジあり）　受益証券</t>
  </si>
  <si>
    <t>Global X 25+ Year T-Bond ETF (JPY Hedged)</t>
  </si>
  <si>
    <t>180A</t>
  </si>
  <si>
    <t>グローバルＸ　超長期米国債　ＥＴＦ　受益証券</t>
  </si>
  <si>
    <t>Global X 25+ Year T-Bond ETF</t>
  </si>
  <si>
    <t>181A</t>
  </si>
  <si>
    <t>ＭＡＸＩＳ米国国債１－３年上場投信（為替ヘッジなし）　受益証券</t>
  </si>
  <si>
    <t>MAXIS US Treasury Bond 1-3 Year ETF (Unhedged)</t>
  </si>
  <si>
    <t>182A</t>
  </si>
  <si>
    <t>ＭＡＸＩＳ米国国債２０年超上場投信（為替ヘッジなし）　受益証券</t>
  </si>
  <si>
    <t>MAXIS US Treasury Bond 20+ Year ETF (Unhedged)</t>
  </si>
  <si>
    <t>183A</t>
  </si>
  <si>
    <t>ＭＡＸＩＳ米国国債２０年超上場投信（為替ヘッジあり）　受益証券</t>
  </si>
  <si>
    <t>MAXIS US Treasury Bond 20+ Year ETF (JPY Hedged)</t>
  </si>
  <si>
    <t>188A</t>
  </si>
  <si>
    <t>グローバルＸ　インド・トップ１０＋　ＥＴＦ　受益証券</t>
  </si>
  <si>
    <t>Global X India Top 10+ ETF</t>
  </si>
  <si>
    <t>200A</t>
  </si>
  <si>
    <t>ＮＥＸＴ　ＦＵＮＤＳ　日経半導体株指数連動型上場投信　受益証券</t>
  </si>
  <si>
    <t>NEXT FUNDS Nikkei Semiconductor Stock Index Exchange Traded Fund</t>
  </si>
  <si>
    <t>2011</t>
  </si>
  <si>
    <t>ＳＭＤＡＭ　Ａｃｔｉｖｅ　ＥＴＦ　日本高配当株式　受益証券</t>
  </si>
  <si>
    <t>SMDAM Active ETF Japan High Dividend Equity</t>
  </si>
  <si>
    <t>2012</t>
  </si>
  <si>
    <t>ｉシェアーズ　米国債０－３ヶ月　ＥＴＦ　受益証券</t>
  </si>
  <si>
    <t>iShares 0-3 Month US Treasury Bond ETF</t>
  </si>
  <si>
    <t>2013</t>
  </si>
  <si>
    <t>ｉシェアーズ　米国高配当株　ＥＴＦ　受益証券</t>
  </si>
  <si>
    <t>iShares US High Dividend ETF</t>
  </si>
  <si>
    <t>2014</t>
  </si>
  <si>
    <t>ｉシェアーズ　米国連続増配株　ＥＴＦ　受益証券</t>
  </si>
  <si>
    <t>iShares US Dividend Growth ETF</t>
  </si>
  <si>
    <t>2015</t>
  </si>
  <si>
    <t>ｉＦｒｅｅＥＴＦ　米国国債７－１０年（為替ヘッジなし）　受益証券</t>
  </si>
  <si>
    <t>iFreeETF US Treasury Bond 7-10 Year (NON HEDGED)</t>
  </si>
  <si>
    <t>2016</t>
  </si>
  <si>
    <t>ｉＦｒｅｅＥＴＦ　米国国債７－１０年（為替ヘッジあり）　受益証券</t>
  </si>
  <si>
    <t>iFreeETF US Treasury Bond 7-10 Year (JPY HEDGED)</t>
  </si>
  <si>
    <t>19</t>
  </si>
  <si>
    <t>2017</t>
  </si>
  <si>
    <t>ｉＦｒｅｅＥＴＦ　ＪＰＸプライム１５０　受益証券</t>
  </si>
  <si>
    <t>iFreeETF JPX Prime 150</t>
  </si>
  <si>
    <t>2018</t>
  </si>
  <si>
    <t>グローバルＸ　ＵＳ　ＲＥＩＴ・トップ２０　ＥＴＦ　受益証券</t>
  </si>
  <si>
    <t>Global X US REIT Top 20 ETF</t>
  </si>
  <si>
    <t>2019</t>
  </si>
  <si>
    <t>グローバルＸ　米国優先証券　ＥＴＦ（隔月分配型）　受益証券</t>
  </si>
  <si>
    <t>Global X U.S. Preferred Security ETF (Bi-monthly dividend type)</t>
  </si>
  <si>
    <t>201A</t>
  </si>
  <si>
    <t>ｉシェアーズ　Ｎｉｆｔｙ　５０　インド株　ＥＴＦ　受益証券</t>
  </si>
  <si>
    <t>iShares Nifty 50 ETF</t>
  </si>
  <si>
    <t>2031</t>
  </si>
  <si>
    <t>ＮＥＸＴ　ＮＯＴＥＳ　香港ハンセン・ダブル・ブル　ＥＴＮ　受益証券</t>
  </si>
  <si>
    <t>NEXT NOTES HSI Leveraged ETN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</si>
  <si>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</si>
  <si>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</si>
  <si>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</si>
  <si>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</si>
  <si>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</si>
  <si>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</si>
  <si>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</si>
  <si>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</si>
  <si>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</si>
  <si>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</si>
  <si>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</si>
  <si>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</si>
  <si>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</si>
  <si>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</si>
  <si>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</si>
  <si>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</si>
  <si>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</si>
  <si>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</si>
  <si>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</si>
  <si>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</si>
  <si>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</si>
  <si>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</si>
  <si>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</si>
  <si>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</si>
  <si>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</si>
  <si>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</si>
  <si>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</si>
  <si>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</si>
  <si>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東証グロース市場２５０　ＥＴＮ　受益証券</t>
  </si>
  <si>
    <t>NEXT NOTES Tokyo Stock Exchange Growth Market 250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</si>
  <si>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</si>
  <si>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</si>
  <si>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</si>
  <si>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</si>
  <si>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</si>
  <si>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</si>
  <si>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</si>
  <si>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</si>
  <si>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</si>
  <si>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</si>
  <si>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</si>
  <si>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</si>
  <si>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</si>
  <si>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</si>
  <si>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</si>
  <si>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</si>
  <si>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</si>
  <si>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</si>
  <si>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</si>
  <si>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</si>
  <si>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</si>
  <si>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</si>
  <si>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</si>
  <si>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</si>
  <si>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</si>
  <si>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</si>
  <si>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</si>
  <si>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</si>
  <si>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</si>
  <si>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</si>
  <si>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</si>
  <si>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</si>
  <si>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</si>
  <si>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</si>
  <si>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</si>
  <si>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</si>
  <si>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</si>
  <si>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</si>
  <si>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</si>
  <si>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</si>
  <si>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</si>
  <si>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</si>
  <si>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</si>
  <si>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</si>
  <si>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</si>
  <si>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</si>
  <si>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</si>
  <si>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</si>
  <si>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2080</t>
  </si>
  <si>
    <t>ＰＢＲ１倍割れ解消推進ＥＴＦ　受益証券</t>
  </si>
  <si>
    <t>PBR Improvement over 1x ETF</t>
  </si>
  <si>
    <t>2081</t>
  </si>
  <si>
    <t>政策保有解消推進ＥＴＦ　受益証券</t>
  </si>
  <si>
    <t>Strategic Shareholding Disposal Promotion ETF</t>
  </si>
  <si>
    <t>2082</t>
  </si>
  <si>
    <t>投資家経営者一心同体ＥＴＦ　受益証券</t>
  </si>
  <si>
    <t>Investor-Management Unite as One ETF</t>
  </si>
  <si>
    <t>2083</t>
  </si>
  <si>
    <t>ＮＥＸＴ　ＦＵＮＤＳ　日本成長株アクティブ上場投信　受益証券</t>
  </si>
  <si>
    <t>NEXT FUNDS Japan Growth Equity Active Exchange Traded Fund</t>
  </si>
  <si>
    <t>2084</t>
  </si>
  <si>
    <t>ＮＥＸＴ　ＦＵＮＤＳ　日本高配当株アクティブ上場投信　受益証券</t>
  </si>
  <si>
    <t>NEXT FUNDS Japan High Dividend Equity Active Exchange Traded Fund</t>
  </si>
  <si>
    <t>2085</t>
  </si>
  <si>
    <t>ＭＡＸＩＳ高配当日本株アクティブ上場投信　受益証券</t>
  </si>
  <si>
    <t>MAXIS High Dividend Japan Equity Actively Managed ETF</t>
  </si>
  <si>
    <t>2086</t>
  </si>
  <si>
    <t>ＮＺＡＭ　上場投信　Ｓ＆Ｐ５００（為替ヘッジあり）　受益証券</t>
  </si>
  <si>
    <t>NZAM ETF S&amp;P500 (JPY Hedged)</t>
  </si>
  <si>
    <t>2087</t>
  </si>
  <si>
    <t>ＮＺＡＭ　上場投信　ＮＡＳＤＡＱ１００（為替ヘッジあり）　受益証券</t>
  </si>
  <si>
    <t>NZAM ETF NASDAQ100 (JPY Hedged)</t>
  </si>
  <si>
    <t>2088</t>
  </si>
  <si>
    <t>ＮＺＡＭ　上場投信　ＮＹダウ３０（為替ヘッジあり）　受益証券</t>
  </si>
  <si>
    <t>NZAM ETF NY Dow30 (JPY Hedged)</t>
  </si>
  <si>
    <t>2089</t>
  </si>
  <si>
    <t>ＮＺＡＭ　上場投信　ＤＡＸ（為替ヘッジあり）　受益証券</t>
  </si>
  <si>
    <t>NZAM ETF DAX (JPY Hedged)</t>
  </si>
  <si>
    <t>2090</t>
  </si>
  <si>
    <t>ＮＺＡＭ　上場投信　米国国債７－１０年（為替ヘッジあり）　受益証券</t>
  </si>
  <si>
    <t>NZAM ETF US Treasury 7-10Y (JPY Hedged)</t>
  </si>
  <si>
    <t>2091</t>
  </si>
  <si>
    <t>ＮＺＡＭ　上場投信　ドイツ国債７－１０年（為替ヘッジあり）　受益証券</t>
  </si>
  <si>
    <t>NZAM ETF German Government Bond 7-10Y (JPY Hedged)</t>
  </si>
  <si>
    <t>2092</t>
  </si>
  <si>
    <t>ＮＺＡＭ　上場投信　フランス国債７－１０年（為替ヘッジあり）　受益証券</t>
  </si>
  <si>
    <t>NZAM ETF France Government Bond 7-10Y (JPY Hedged)</t>
  </si>
  <si>
    <t>2093</t>
  </si>
  <si>
    <t>上場Ｔｒａｃｅｒｓ　米国債０－２年ラダー（為替ヘッジなし）　受益証券</t>
  </si>
  <si>
    <t>Listed Tracers US Government Bond 0-2years Ladder (No Currency Hedge)</t>
  </si>
  <si>
    <t>2094</t>
  </si>
  <si>
    <t>東証ＲＥＩＴインバースＥＴＦ　受益証券</t>
  </si>
  <si>
    <t>TSE REIT Inverse ETF</t>
  </si>
  <si>
    <t>2095</t>
  </si>
  <si>
    <t>グローバルＸ　Ｓ＆Ｐ５００配当貴族　ＥＴＦ（為替ヘッジあり）　受益証券</t>
  </si>
  <si>
    <t>Global X S&amp;P 500 Dividend Aristocrats ETF (JPY Hedged)</t>
  </si>
  <si>
    <t>2096</t>
  </si>
  <si>
    <t>グローバルＸ　オフィス・Ｊ－ＲＥＩＴ　ＥＴＦ　受益証券</t>
  </si>
  <si>
    <t>Global X Office J-REIT ETF</t>
  </si>
  <si>
    <t>2097</t>
  </si>
  <si>
    <t>グローバルＸ　レジデンシャル・Ｊ－ＲＥＩＴ　ＥＴＦ　受益証券</t>
  </si>
  <si>
    <t>Global X Residential J-REIT ETF</t>
  </si>
  <si>
    <t>2098</t>
  </si>
  <si>
    <t>グローバルＸ　ホテル＆リテール・Ｊ－ＲＥＩＴ　ＥＴＦ　受益証券</t>
  </si>
  <si>
    <t>Global X Hotel &amp; Retail J-REIT ETF</t>
  </si>
  <si>
    <t>210A</t>
  </si>
  <si>
    <t>ｉＦｒｅｅＥＴＦ　日経高利回りＲＥＩＴ指数　受益証券</t>
  </si>
  <si>
    <t>iFreeETF Nikkei High Yield REIT Index</t>
  </si>
  <si>
    <t>213A</t>
  </si>
  <si>
    <t>上場インデックスファンド日経半導体株　受益証券</t>
  </si>
  <si>
    <t>Listed Index Fund Nikkei Semiconductor Stock</t>
  </si>
  <si>
    <t>221A</t>
  </si>
  <si>
    <t>ＭＡＸＩＳ日経半導体株上場投信　受益証券</t>
  </si>
  <si>
    <t>MAXIS Nikkei Semiconductor Stock (Japan) ETF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</si>
  <si>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</si>
  <si>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</si>
  <si>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</si>
  <si>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</si>
  <si>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</si>
  <si>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</si>
  <si>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</si>
  <si>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</si>
  <si>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</si>
  <si>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</si>
  <si>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</si>
  <si>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</si>
  <si>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</si>
  <si>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</si>
  <si>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</si>
  <si>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223A</t>
  </si>
  <si>
    <t>グローバルＸ　ＡＩ＆ビッグデータ　ＥＴＦ　受益証券</t>
  </si>
  <si>
    <t>Global X Artificial Intelligence &amp; Technology ETF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</si>
  <si>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</si>
  <si>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</si>
  <si>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</si>
  <si>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</si>
  <si>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</si>
  <si>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</si>
  <si>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</si>
  <si>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</si>
  <si>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</si>
  <si>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</si>
  <si>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</si>
  <si>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</si>
  <si>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</si>
  <si>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</si>
  <si>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</si>
  <si>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</si>
  <si>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</si>
  <si>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</si>
  <si>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</si>
  <si>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</si>
  <si>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</si>
  <si>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2247</t>
  </si>
  <si>
    <t>ｉＦｒｅｅＥＴＦ　Ｓ＆Ｐ５００（為替ヘッジなし）　受益証券</t>
  </si>
  <si>
    <t>iFreeETF S&amp;P500 (NON HEDGED)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</si>
  <si>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</si>
  <si>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</si>
  <si>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</si>
  <si>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</si>
  <si>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</si>
  <si>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</si>
  <si>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224A</t>
  </si>
  <si>
    <t>グローバルＸ　ウラニウムビジネス　ＥＴＦ　受益証券</t>
  </si>
  <si>
    <t>Global X Uranium ETF</t>
  </si>
  <si>
    <t>2250</t>
  </si>
  <si>
    <t>ｉシェアーズ　ＭＳＣＩ　ジャパン気候変動アクション　ＥＴＦ　受益証券</t>
  </si>
  <si>
    <t>iShares MSCI Japan Climate Action ETF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</si>
  <si>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</si>
  <si>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</si>
  <si>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</si>
  <si>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>2252</t>
  </si>
  <si>
    <t>グローバルＸ　Ｍｏｒｎｉｎｇｓｔａｒ　米国中小型　Ｍｏａｔ　ＥＴＦ　受益証券</t>
  </si>
  <si>
    <t>Global X Morningstar US Small Mid Moat ETF</t>
  </si>
  <si>
    <t>2253</t>
  </si>
  <si>
    <t>グローバルＸ　スーパーディビィデンド－ＵＳ　ＥＴＦ　受益証券</t>
  </si>
  <si>
    <t>Global X SuperDividend U.S. ETF</t>
  </si>
  <si>
    <t>2254</t>
  </si>
  <si>
    <t>グローバルＸ　チャイナＥＶ＆バッテリー　ＥＴＦ　受益証券</t>
  </si>
  <si>
    <t>Global X China Electric Vehicle and Battery ETF</t>
  </si>
  <si>
    <t>2255</t>
  </si>
  <si>
    <t>ｉシェアーズ　米国債２０年超　ＥＴＦ　受益証券</t>
  </si>
  <si>
    <t>iShares 20+ Year US Treasury Bond ETF</t>
  </si>
  <si>
    <t>2256</t>
  </si>
  <si>
    <t>ｉシェアーズ　米国総合債券　ＥＴＦ　受益証券</t>
  </si>
  <si>
    <t>iShares US Aggregate Bond ETF</t>
  </si>
  <si>
    <t>2257</t>
  </si>
  <si>
    <t>ｉシェアーズ　米ドル建て投資適格社債　ＥＴＦ　受益証券</t>
  </si>
  <si>
    <t>iShares USD Investment Grade Corporate Bond ETF</t>
  </si>
  <si>
    <t>2258</t>
  </si>
  <si>
    <t>ｉシェアーズ　米ドル建てハイイールド社債　ＥＴＦ　受益証券</t>
  </si>
  <si>
    <t>iShares USD High Yield Corporate Bond ETF</t>
  </si>
  <si>
    <t>2259</t>
  </si>
  <si>
    <t>ｉシェアーズ　フランス国債７－１０年　ＥＴＦ（為替ヘッジあり）　受益証券</t>
  </si>
  <si>
    <t>iShares 7-10 Year France Government Bond JPY Hedged ETF</t>
  </si>
  <si>
    <t>233A</t>
  </si>
  <si>
    <t>ｉＦｒｅｅＥＴＦ　インドＮｉｆｔｙ５０　受益証券</t>
  </si>
  <si>
    <t>iFreeETF Nifty50</t>
  </si>
  <si>
    <t>234A</t>
  </si>
  <si>
    <t>グローバルＸ　ＭＳＣＩ　キャッシュフローキング－日本株式　ＥＴＦ　受益証券</t>
  </si>
  <si>
    <t>Global X MSCI Japan Cash Flow Kings ETF</t>
  </si>
  <si>
    <t>235A</t>
  </si>
  <si>
    <t>グローバルＸ　高配当３０－日本株式　ＥＴＦ　受益証券</t>
  </si>
  <si>
    <t>Global X Japan High Dividend 30 ETF</t>
  </si>
  <si>
    <t>236A</t>
  </si>
  <si>
    <t>ｉシェアーズ　日本国債７－１０年　ＥＴＦ　受益証券</t>
  </si>
  <si>
    <t>iShares 7-10 Year Japan Government Bond ETF</t>
  </si>
  <si>
    <t>237A</t>
  </si>
  <si>
    <t>ｉシェアーズ　米国債２５年超　ロングデュレーション　ＥＴＦ　受益証券</t>
  </si>
  <si>
    <t>iShares 25+ Year US Treasury Bond Long Duration ETF</t>
  </si>
  <si>
    <t>238A</t>
  </si>
  <si>
    <t>ｉシェアーズ　米国債２５年超　ロングデュレーション　ＥＴＦ（為替ヘッジあり）　受益証券</t>
  </si>
  <si>
    <t>iShares 25+ Year US Treasury Bond Long Duration JPY Hedged ETF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</si>
  <si>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</si>
  <si>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</si>
  <si>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</si>
  <si>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</si>
  <si>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</si>
  <si>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</si>
  <si>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</si>
  <si>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</si>
  <si>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</si>
  <si>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</si>
  <si>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</si>
  <si>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</si>
  <si>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</si>
  <si>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</si>
  <si>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</si>
  <si>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</si>
  <si>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</si>
  <si>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</si>
  <si>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</si>
  <si>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東証グロース２５０ＥＴＦ　受益証券</t>
  </si>
  <si>
    <t>TSE Growth 250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</si>
  <si>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</si>
  <si>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</si>
  <si>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</si>
  <si>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</si>
  <si>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</si>
  <si>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</si>
  <si>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</si>
  <si>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</si>
  <si>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</si>
  <si>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</si>
  <si>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</si>
  <si>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</si>
  <si>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</si>
  <si>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</si>
  <si>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</si>
  <si>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</si>
  <si>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</si>
  <si>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</si>
  <si>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</si>
  <si>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</si>
  <si>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</si>
  <si>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</si>
  <si>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</si>
  <si>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</si>
  <si>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</si>
  <si>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</si>
  <si>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</si>
  <si>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</si>
  <si>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</si>
  <si>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</si>
  <si>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</si>
  <si>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</si>
  <si>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</si>
  <si>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</si>
  <si>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</si>
  <si>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</si>
  <si>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</si>
  <si>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</si>
  <si>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</si>
  <si>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</si>
  <si>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</si>
  <si>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</si>
  <si>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</si>
  <si>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</si>
  <si>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</si>
  <si>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</si>
  <si>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</si>
  <si>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</si>
  <si>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</si>
  <si>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</si>
  <si>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</si>
  <si>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</si>
  <si>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</si>
  <si>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</si>
  <si>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</si>
  <si>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</si>
  <si>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</si>
  <si>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</si>
  <si>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</si>
  <si>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</si>
  <si>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</si>
  <si>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</si>
  <si>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</si>
  <si>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</si>
  <si>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</si>
  <si>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</si>
  <si>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</si>
  <si>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</si>
  <si>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</si>
  <si>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</si>
  <si>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</si>
  <si>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</si>
  <si>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</si>
  <si>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</si>
  <si>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</si>
  <si>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</si>
  <si>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</si>
  <si>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</si>
  <si>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</si>
  <si>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</si>
  <si>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</si>
  <si>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</si>
  <si>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</si>
  <si>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</si>
  <si>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</si>
  <si>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</si>
  <si>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</si>
  <si>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</si>
  <si>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</si>
  <si>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</si>
  <si>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</si>
  <si>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</si>
  <si>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</si>
  <si>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</si>
  <si>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</si>
  <si>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</si>
  <si>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257A</t>
  </si>
  <si>
    <t>ＳＭＴ　ＥＴＦ日本株厳選投資アクティブ　受益証券</t>
  </si>
  <si>
    <t>SMT ETF Selected Japan Equity Active</t>
  </si>
  <si>
    <t>258A</t>
  </si>
  <si>
    <t>ＳＭＴ　ＥＴＦ国内リート厳選投資アクティブ　受益証券</t>
  </si>
  <si>
    <t>SMT ETF Selected J-REIT Active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</si>
  <si>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</si>
  <si>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</si>
  <si>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</si>
  <si>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</si>
  <si>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</si>
  <si>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</si>
  <si>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</si>
  <si>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</si>
  <si>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</si>
  <si>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</si>
  <si>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</si>
  <si>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</si>
  <si>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</si>
  <si>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</si>
  <si>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</si>
  <si>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</si>
  <si>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</si>
  <si>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</si>
  <si>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</si>
  <si>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</si>
  <si>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</si>
  <si>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</si>
  <si>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</si>
  <si>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</si>
  <si>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</si>
  <si>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</si>
  <si>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</si>
  <si>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</si>
  <si>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</si>
  <si>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</si>
  <si>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</si>
  <si>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</si>
  <si>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</si>
  <si>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</si>
  <si>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</si>
  <si>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</si>
  <si>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</si>
  <si>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</si>
  <si>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</si>
  <si>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</si>
  <si>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</si>
  <si>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</si>
  <si>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</si>
  <si>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</si>
  <si>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</si>
  <si>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</si>
  <si>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</si>
  <si>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</si>
  <si>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</si>
  <si>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クリーンテック－日本株式　ＥＴＦ　受益証券</t>
  </si>
  <si>
    <t>Global X CleanTech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</si>
  <si>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</si>
  <si>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</si>
  <si>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</si>
  <si>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</si>
  <si>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</si>
  <si>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</si>
  <si>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</si>
  <si>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</si>
  <si>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</si>
  <si>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</si>
  <si>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グローバルリーダーズ－日本株式　ＥＴＦ　受益証券</t>
  </si>
  <si>
    <t>Global X Japan Global Leaders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</si>
  <si>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</si>
  <si>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</si>
  <si>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</si>
  <si>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</si>
  <si>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ＭＳＣＩジャパンカントリー指数（セレクト）連動型上場投信　受益証券</t>
  </si>
  <si>
    <t>NEXT FUNDS MSCI Japan Country Selection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</si>
  <si>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</si>
  <si>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</si>
  <si>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</si>
  <si>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</si>
  <si>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</si>
  <si>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</si>
  <si>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</si>
  <si>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</si>
  <si>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</si>
  <si>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</si>
  <si>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</si>
  <si>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</si>
  <si>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</si>
  <si>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</si>
  <si>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</si>
  <si>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</si>
  <si>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</si>
  <si>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</si>
  <si>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273A</t>
  </si>
  <si>
    <t>ＳＢＩ　サウジアラビア株式上場投信　受益証券</t>
  </si>
  <si>
    <t>SBI Saudi Arabia Equity Exchange Traded Fund</t>
  </si>
  <si>
    <t>282A</t>
  </si>
  <si>
    <t>グローバルＸ　半導体・トップ１０－日本株式　ＥＴＦ　受益証券</t>
  </si>
  <si>
    <t>Global X Japan Semiconductor Top 10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</si>
  <si>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</si>
  <si>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</si>
  <si>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</si>
  <si>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</si>
  <si>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中小型リーダーズ－日本株式　ＥＴＦ　受益証券</t>
  </si>
  <si>
    <t>Global X Japan Mid &amp; Small Cap Leaders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</si>
  <si>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</si>
  <si>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</si>
  <si>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</si>
  <si>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</si>
  <si>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</si>
  <si>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</si>
  <si>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283A</t>
  </si>
  <si>
    <t>グローバルＸ　ＵＳ　テック・配当貴族　ＥＴＦ　受益証券</t>
  </si>
  <si>
    <t>Global X US Tech Dividend Aristocrats ETF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</si>
  <si>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</si>
  <si>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</si>
  <si>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</si>
  <si>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</si>
  <si>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</si>
  <si>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</si>
  <si>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</si>
  <si>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</si>
  <si>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</si>
  <si>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</si>
  <si>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</si>
  <si>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</si>
  <si>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</si>
  <si>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</si>
  <si>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</si>
  <si>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</si>
  <si>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</si>
  <si>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</si>
  <si>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</si>
  <si>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</si>
  <si>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</si>
  <si>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</si>
  <si>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</si>
  <si>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</si>
  <si>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</si>
  <si>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</si>
  <si>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</si>
  <si>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</si>
  <si>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</si>
  <si>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</si>
  <si>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</si>
  <si>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</si>
  <si>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</si>
  <si>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</si>
  <si>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</si>
  <si>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</si>
  <si>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</si>
  <si>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</si>
  <si>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</si>
  <si>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</si>
  <si>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</si>
  <si>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</si>
  <si>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</si>
  <si>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</si>
  <si>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</si>
  <si>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</si>
  <si>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</si>
  <si>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</si>
  <si>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</si>
  <si>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</si>
  <si>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</si>
  <si>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</si>
  <si>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</si>
  <si>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</si>
  <si>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</si>
  <si>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</si>
  <si>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</si>
  <si>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</si>
  <si>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</si>
  <si>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</si>
  <si>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</si>
  <si>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</si>
  <si>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</si>
  <si>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</si>
  <si>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</si>
  <si>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</si>
  <si>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</si>
  <si>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</si>
  <si>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</si>
  <si>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</si>
  <si>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</si>
  <si>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</si>
  <si>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</si>
  <si>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</si>
  <si>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</si>
  <si>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</si>
  <si>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</si>
  <si>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</si>
  <si>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</si>
  <si>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</si>
  <si>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</si>
  <si>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</si>
  <si>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</si>
  <si>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</si>
  <si>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</si>
  <si>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</si>
  <si>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</si>
  <si>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294A</t>
  </si>
  <si>
    <t>ＮＥＸＴ　ＦＵＮＤＳ　ＭＳＣＩジャパン気候変動指数（セレクト）連動型上場投信　受益証券</t>
  </si>
  <si>
    <t>NEXT FUNDS MSCI Global Climate 500 Japan Selection Index Exchange Traded Fund</t>
  </si>
  <si>
    <t>295A</t>
  </si>
  <si>
    <t>Ｏｎｅ　ＥＴＦ　ＦＴＳＥ・サウジアラビア・インデックス　受益証券</t>
  </si>
  <si>
    <t>One ETF FTSE Saudi Arabia Index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</si>
  <si>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</si>
  <si>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</si>
  <si>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</si>
  <si>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</si>
  <si>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</si>
  <si>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</si>
  <si>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確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</si>
  <si>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</si>
  <si>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</si>
  <si>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</si>
  <si>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</si>
  <si>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</si>
  <si>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</si>
  <si>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313A</t>
  </si>
  <si>
    <t>ｉシェアーズ　Ｓ＆Ｐ　５００　トップ　２０　ＥＴＦ　受益証券</t>
  </si>
  <si>
    <t>iShares S&amp;P 500 Top 20 ETF</t>
  </si>
  <si>
    <t>314A</t>
  </si>
  <si>
    <t>ｉシェアーズ　ゴールド　ＥＴＦ　受益証券</t>
  </si>
  <si>
    <t>iShares Gold ETF</t>
  </si>
  <si>
    <t>315A</t>
  </si>
  <si>
    <t>グローバルＸ　銀行　高配当－日本株式　ＥＴＦ　受益証券</t>
  </si>
  <si>
    <t>Global X Japan Bank High Dividend ETF</t>
  </si>
  <si>
    <t>316A</t>
  </si>
  <si>
    <t>ｉＦｒｅｅＥＴＦ　ＦＡＮＧ＋　受益証券</t>
  </si>
  <si>
    <t>iFreeETF FANG+</t>
  </si>
  <si>
    <t>318A</t>
  </si>
  <si>
    <t>ＶＩＸ短期先物指数ＥＴＦ　受益証券</t>
  </si>
  <si>
    <t>SIMPLEX VIX Short-Term Futures ETF</t>
  </si>
  <si>
    <t>3226</t>
  </si>
  <si>
    <t>三井不動産アコモデーションファンド投資法人　投資証券</t>
  </si>
  <si>
    <t>Mitsui Fudosan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</si>
  <si>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</si>
  <si>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</si>
  <si>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</si>
  <si>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</si>
  <si>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</si>
  <si>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</si>
  <si>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</si>
  <si>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</si>
  <si>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</si>
  <si>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</si>
  <si>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</si>
  <si>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</si>
  <si>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</si>
  <si>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</si>
  <si>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</si>
  <si>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</si>
  <si>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</si>
  <si>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</si>
  <si>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</si>
  <si>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</si>
  <si>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</si>
  <si>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</si>
  <si>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</si>
  <si>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</si>
  <si>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328A</t>
  </si>
  <si>
    <t>グローバルＸ　プライシングパワー・リーダーズ－日本株式　ＥＴＦ　受益証券</t>
  </si>
  <si>
    <t>Global X Japan Pricing Power Leaders ETF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</si>
  <si>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</si>
  <si>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</si>
  <si>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</si>
  <si>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</si>
  <si>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</si>
  <si>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</si>
  <si>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</si>
  <si>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</si>
  <si>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</si>
  <si>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</si>
  <si>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</si>
  <si>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</si>
  <si>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</si>
  <si>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</si>
  <si>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</si>
  <si>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</si>
  <si>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</si>
  <si>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</si>
  <si>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</si>
  <si>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</si>
  <si>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</si>
  <si>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</si>
  <si>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</si>
  <si>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</si>
  <si>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345A</t>
  </si>
  <si>
    <t>高配当成長　日本株（ネットリターン）ＥＴＮ　受益証券</t>
  </si>
  <si>
    <t>High Dividend Growth Japan Equity Net Return ETN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</si>
  <si>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</si>
  <si>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</si>
  <si>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</si>
  <si>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</si>
  <si>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</si>
  <si>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</si>
  <si>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</si>
  <si>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</si>
  <si>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</si>
  <si>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</si>
  <si>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</si>
  <si>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</si>
  <si>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346A</t>
  </si>
  <si>
    <t>ＮＥＸＴ　ＦＵＮＤＳ　Ｓ＆Ｐ　５００　半導体・半導体製造装置３５％キャップ指数連動型上場投信　受益証券</t>
  </si>
  <si>
    <t>NEXT FUNDS S&amp;P 500 Semiconductors &amp; Semiconductor Equipment (Industry Group) 35% Capped Index Exchange Traded Fund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</si>
  <si>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</si>
  <si>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</si>
  <si>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</si>
  <si>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</si>
  <si>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</si>
  <si>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</si>
  <si>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</si>
  <si>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日本ホテル＆レジデンシャル投資法人　投資証券</t>
  </si>
  <si>
    <t>Nippon Hotel &amp; Residential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</si>
  <si>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</si>
  <si>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</si>
  <si>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</si>
  <si>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</si>
  <si>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</si>
  <si>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</si>
  <si>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</si>
  <si>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</si>
  <si>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</si>
  <si>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</si>
  <si>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セントラル・リート投資法人　投資証券</t>
  </si>
  <si>
    <t>CENTRAL REIT Investment Corporation</t>
  </si>
  <si>
    <t>348A</t>
  </si>
  <si>
    <t>ＭＡＸＩＳ読売３３３日本株上場投信　受益証券</t>
  </si>
  <si>
    <t>MAXIS Yomiuri333 Japan Stock ETF</t>
  </si>
  <si>
    <t>3492</t>
  </si>
  <si>
    <t>ＭＩＲＡＲＴＨ不動産投資法人　投資証券</t>
  </si>
  <si>
    <t>MIRARTH Real Estate Investment Corporation</t>
  </si>
  <si>
    <t>349A</t>
  </si>
  <si>
    <t>ＳＭＤＡＭ　Ａｃｔｉｖｅ　ＥＴＦ　日本グロース株式　受益証券</t>
  </si>
  <si>
    <t>SMDAM Active ETF Japan Growth Equity</t>
  </si>
  <si>
    <t>354A</t>
  </si>
  <si>
    <t>ｉＦｒｅｅＥＴＦ　ブルームバーグ日本株高配当５０指数　受益証券</t>
  </si>
  <si>
    <t>iFreeETF Bloomberg Japan High Dividend 50 Index</t>
  </si>
  <si>
    <t>356A</t>
  </si>
  <si>
    <t>グローバルＸ　Ｓ＆Ｐ５００　キャッシュフロー・トップ１００　ＥＴＦ　受益証券</t>
  </si>
  <si>
    <t>Global X S&amp;P 500 Cash Flow Top 100 ETF</t>
  </si>
  <si>
    <t>360A</t>
  </si>
  <si>
    <t>東証ＲＥＩＴ　Ｃｏｒｅ　ＥＴＦ　受益証券</t>
  </si>
  <si>
    <t>TSE REIT Core ETF</t>
  </si>
  <si>
    <t>363A</t>
  </si>
  <si>
    <t>ｉＦｒｅｅＥＴＦ　英国ＦＴＳＥ１００　受益証券</t>
  </si>
  <si>
    <t>iFreeETF FTSE100</t>
  </si>
  <si>
    <t>364A</t>
  </si>
  <si>
    <t>ＮＥＸＴ　ＦＵＮＤＳ　Ｓ＆Ｐ　５００　配当貴族指数連動型上場投信　受益証券</t>
  </si>
  <si>
    <t>NEXT FUNDS S&amp;P 500 Dividend Aristocrats Index Exchange Traded Fund</t>
  </si>
  <si>
    <t>376A</t>
  </si>
  <si>
    <t>ＮＥＸＴ　ＦＵＮＤＳ　ブルームバーグ米国国債（７－１０年）インデックス（７５％為替ヘッジあり）連動型上場投信　受益証券</t>
  </si>
  <si>
    <t>NEXT FUNDS Bloomberg US Treasury Bond (7-10 year) Index (75% Yen-Hedged) Exchange Traded Fund</t>
  </si>
  <si>
    <t>379A</t>
  </si>
  <si>
    <t>グローバルＸ　Ｓ＆Ｐ５００　ＥＴＦ（ダイナミック・プロテクション）　受益証券</t>
  </si>
  <si>
    <t>Global X S&amp;P 500 ETF (Dynamic Protection)</t>
  </si>
  <si>
    <t>380A</t>
  </si>
  <si>
    <t>グローバルＸ　チャイナテック　ＥＴＦ　受益証券</t>
  </si>
  <si>
    <t>Global X China Tech ETF</t>
  </si>
  <si>
    <t>381A</t>
  </si>
  <si>
    <t>ｉＦｒｅｅＥＴＦ　米国国債３－５年（為替ヘッジなし）　受益証券</t>
  </si>
  <si>
    <t>iFreeETF US Treasury Bond 3-5 Year (NON HEDGED)</t>
  </si>
  <si>
    <t>382A</t>
  </si>
  <si>
    <t>ｉＦｒｅｅＥＴＦ　米国国債３－５年（為替ヘッジあり）　受益証券</t>
  </si>
  <si>
    <t>iFreeETF US Treasury Bond 3-5 Year (JPY HEDGED)</t>
  </si>
  <si>
    <t>383A</t>
  </si>
  <si>
    <t>ＭＡＸＩＳ　Ｓ＆Ｐ５００均等ウェイト上場投信　受益証券</t>
  </si>
  <si>
    <t>MAXIS S&amp;P500 Equal Weight ETF</t>
  </si>
  <si>
    <t>392A</t>
  </si>
  <si>
    <t>ｉシェアーズ　ＮＡＳＤＡＱ　トップ　３０　ＥＴＦ　受益証券</t>
  </si>
  <si>
    <t>iShares Nasdaq Top 30 ETF</t>
  </si>
  <si>
    <t>394A</t>
  </si>
  <si>
    <t>業界改革厳選ＥＴＦテレビ業界　受益証券</t>
  </si>
  <si>
    <t>Sector Restructuring Select ETF TV</t>
  </si>
  <si>
    <t>395A</t>
  </si>
  <si>
    <t>業界改革厳選ＥＴＦ地銀　受益証券</t>
  </si>
  <si>
    <t>Sector Restructuring Select ETF Regional Banks</t>
  </si>
  <si>
    <t>396A</t>
  </si>
  <si>
    <t>業界改革厳選ＥＴＦ　ＲＥＩＴイベント・ドリブン　受益証券</t>
  </si>
  <si>
    <t>Sector Restructuring Select ETF Event-Driven REITs</t>
  </si>
  <si>
    <t>399A</t>
  </si>
  <si>
    <t>上場インデックスファンド日経平均高配当株５０　受益証券</t>
  </si>
  <si>
    <t>Listed Index Fund Nikkei 225 High Dividend Yield Stock 50</t>
  </si>
  <si>
    <t>401A</t>
  </si>
  <si>
    <t>霞ヶ関ホテルリート投資法人　投資証券</t>
  </si>
  <si>
    <t>Kasumigaseki Hotel REIT Investment Corporation</t>
  </si>
  <si>
    <t>404A</t>
  </si>
  <si>
    <t>グローバルＸ　チャイナテック・トップ１０　ＥＴＦ　受益証券</t>
  </si>
  <si>
    <t>Global X China Tech Top 10 ETF</t>
  </si>
  <si>
    <t>408A</t>
  </si>
  <si>
    <t>ｉシェアーズ　ＡＩ　グローバル・イノベーション　アクティブ　ＥＴＦ　受益証券</t>
  </si>
  <si>
    <t>iShares A.I. Global Innovation Active ETF</t>
  </si>
  <si>
    <t>412A</t>
  </si>
  <si>
    <t>ＮＥＸＴ　ＦＵＮＤＳ　ＴＩＰ　ＦａｃｔＳｅｔ　台湾イノベイティブ・テクノロジー５０指数連動型上場投信　受益証券</t>
  </si>
  <si>
    <t>NEXT FUNDS TIP FactSet Taiwan Innovative Technology 50 Index Exchange Traded Fund</t>
  </si>
  <si>
    <t>413A</t>
  </si>
  <si>
    <t>ｉＦｒｅｅＥＴＦ　キャセイ台湾テックリーダー指数　受益証券</t>
  </si>
  <si>
    <t>iFreeETF Cathay Taiwan Tech Leader Index</t>
  </si>
  <si>
    <t>424A</t>
  </si>
  <si>
    <t>グローバルＸ　ゴールド　ＥＴＦ（為替ヘッジあり）　受益証券</t>
  </si>
  <si>
    <t>Global X Gold ETF (JPY Hedged)</t>
  </si>
  <si>
    <t>425A</t>
  </si>
  <si>
    <t>グローバルＸ　ゴールド　ＥＴＦ　受益証券</t>
  </si>
  <si>
    <t>Global X Gold ETF</t>
  </si>
  <si>
    <t>426A</t>
  </si>
  <si>
    <t>ニッセイＥＴＦ　Ｓ＆Ｐ５００イコール・ウェイト（為替ヘッジなし）　受益証券</t>
  </si>
  <si>
    <t>Nissay ETF S&amp;P500 Equal Weight (Currency Unhedged)</t>
  </si>
  <si>
    <t>435A</t>
  </si>
  <si>
    <t>ｉＦｒｅｅＥＴＦ　日本株配当ローテーション戦略　受益証券</t>
  </si>
  <si>
    <t>iFreeETF Japan Equity Dividend Rotation Strategy</t>
  </si>
  <si>
    <t>443A</t>
  </si>
  <si>
    <t>ｉＦｒｅｅＥＴＦ　東証ＲＥＩＴ指数（２・５・８・１１月決算型）　受益証券</t>
  </si>
  <si>
    <t>iFreeETF Tokyo Stock Exchange REIT Index (Feb/May/Aug/Nov Dividend Type)</t>
  </si>
  <si>
    <t>447A</t>
  </si>
  <si>
    <t>ステート・ストリート・スパイダー　ゴールド　ＥＴＦ（為替ヘッジなし）　受益証券</t>
  </si>
  <si>
    <t>State Street SPDR Gold ETF (JPY Unhedged)</t>
  </si>
  <si>
    <t>448A</t>
  </si>
  <si>
    <t>ステート・ストリート・スパイダー　ゴールド　ＥＴＦ（為替ヘッジあり）　受益証券</t>
  </si>
  <si>
    <t>State Street SPDR Gold ETF (JPY Hedged)</t>
  </si>
  <si>
    <t>449A</t>
  </si>
  <si>
    <t>ステート・ストリート・スパイダー　Ｓ＆Ｐ５００　ＥＴＦ（為替ヘッジなし）　受益証券</t>
  </si>
  <si>
    <t>State Street SPDR S&amp;P 500 ETF (JPY Unhedged)</t>
  </si>
  <si>
    <t>450A</t>
  </si>
  <si>
    <t>ステート・ストリート・スパイダー　Ｓ＆Ｐ５００　ＥＴＦ（為替ヘッジあり）　受益証券</t>
  </si>
  <si>
    <t>State Street SPDR S&amp;P 500 ETF (JPY Hedged)</t>
  </si>
  <si>
    <t>451A</t>
  </si>
  <si>
    <t>ステート・ストリート・スパイダー　Ｓ＆Ｐ５００高配当株　ＥＴＦ　受益証券</t>
  </si>
  <si>
    <t>State Street SPDR S&amp;P 500 High Dividend ETF (JPY Unhedged)</t>
  </si>
  <si>
    <t>452A</t>
  </si>
  <si>
    <t>ｉシェアーズ　Ｓ＆Ｐ　５００　プレミアムインカム　ＥＴＦ　受益証券</t>
  </si>
  <si>
    <t>iShares S&amp;P 500 Premium Income ETF</t>
  </si>
  <si>
    <t>453A</t>
  </si>
  <si>
    <t>ｉシェアーズ　米国債２０年超　プレミアムインカム　ＥＴＦ　受益証券</t>
  </si>
  <si>
    <t>iShares 20+ Year US Treasury Bond Premium Income ETF</t>
  </si>
  <si>
    <t>459A</t>
  </si>
  <si>
    <t>野村高利回りＪリート指数ＥＴＦ　受益証券</t>
  </si>
  <si>
    <t>Nomura High-yield J-REIT Index ETF</t>
  </si>
  <si>
    <t>461A</t>
  </si>
  <si>
    <t>ＭＡＸＩＳ日本株高配当ＳＭＡＲＴ５０上場投信　受益証券</t>
  </si>
  <si>
    <t>MAXIS Japan Equity High Dividend SMART 50 ETF</t>
  </si>
  <si>
    <t>465A</t>
  </si>
  <si>
    <t>グローバルＸ　日経平均株主還元４０－日本株式　ＥＴＦ　受益証券</t>
  </si>
  <si>
    <t>Global X Japan Nikkei 225 Shareholder Return 40 ETF</t>
  </si>
  <si>
    <t>466A</t>
  </si>
  <si>
    <t>グローバルＸ　防衛テック　ＥＴＦ　受益証券</t>
  </si>
  <si>
    <t>Global X Defense Tech ETF</t>
  </si>
  <si>
    <t>467A</t>
  </si>
  <si>
    <t>グローバルＸ　米ドル建て投資適格社債　ＥＴＦ（為替ヘッジあり）　受益証券</t>
  </si>
  <si>
    <t>Global X USD Investment Grade Corporate Bond ETF (JPY Hedged)</t>
  </si>
  <si>
    <t>468A</t>
  </si>
  <si>
    <t>グローバルＸ　米ドル建て投資適格社債　ＥＴＦ　受益証券</t>
  </si>
  <si>
    <t>Global X USD Investment Grade Corporate Bond ETF</t>
  </si>
  <si>
    <t>473A</t>
  </si>
  <si>
    <t>ニッセイＥＴＦ　日経２２５インデックス　受益証券</t>
  </si>
  <si>
    <t>Nissay ETF Nikkei 225 Index</t>
  </si>
  <si>
    <t>486A</t>
  </si>
  <si>
    <t>ＮＥＸＴ　ＦＵＮＤＳ　ユーロ・ストックス５０指数（為替ヘッジなし）連動型上場投信　受益証券</t>
  </si>
  <si>
    <t>NEXT FUNDS EURO STOXX 50 (Unhedged) Exchange Traded Fund</t>
  </si>
  <si>
    <t>487A</t>
  </si>
  <si>
    <t>ＮＥＸＴ　ＦＵＮＤＳ　ドイツ株式・ＤＡＸ（為替ヘッジなし）連動型上場投信　受益証券</t>
  </si>
  <si>
    <t>NEXT FUNDS German Equity DAX (Unhedged) Exchange Traded Fund</t>
  </si>
  <si>
    <t>488A</t>
  </si>
  <si>
    <t>ｉシェアーズ　円高フォーカス　ＥＴＦ　受益証券</t>
  </si>
  <si>
    <t>iShares Yen Appreciation Focus ETF</t>
  </si>
  <si>
    <t>489A</t>
  </si>
  <si>
    <t>東証ＲＥＩＴ物流フォーカスＥＴＦ　受益証券</t>
  </si>
  <si>
    <t>TSE REIT Logistics Focus ETF</t>
  </si>
  <si>
    <t>491A</t>
  </si>
  <si>
    <t>ｉシェアーズ　Ｓ＆Ｐ　５００　除く金融　ＥＴＦ（為替ヘッジあり）　受益証券</t>
  </si>
  <si>
    <t>iShares S&amp;P 500 Ex-Financials JPY Hedged ETF</t>
  </si>
  <si>
    <t>492A</t>
  </si>
  <si>
    <t>Ｏｎｅ　ＥＴＦ　日本国債　高クーポン（平均残存１０年未満）　受益証券</t>
  </si>
  <si>
    <t>One ETF Japanese Government Bond High Coupon (Average Duration Below Ten Years)</t>
  </si>
  <si>
    <t>493A</t>
  </si>
  <si>
    <t>Ｏｎｅ　ＥＴＦ　日本国債　１－３年　受益証券</t>
  </si>
  <si>
    <t>One ETF Japanese Government Bond 1-3 years</t>
  </si>
  <si>
    <t>494A</t>
  </si>
  <si>
    <t>Ｏｎｅ　ＥＴＦ　日本国債　３－７年　受益証券</t>
  </si>
  <si>
    <t>One ETF Japanese Government Bond 3-7 years</t>
  </si>
  <si>
    <t>495A</t>
  </si>
  <si>
    <t>Ｏｎｅ　ＥＴＦ　日本国債　７－１０年　受益証券</t>
  </si>
  <si>
    <t>One ETF Japanese Government Bond 7-10 years</t>
  </si>
  <si>
    <t>496A</t>
  </si>
  <si>
    <t>Ｏｎｅ　ＥＴＦ　日本国債　１７－２０年　受益証券</t>
  </si>
  <si>
    <t>One ETF Japanese Government Bond 17-20 years</t>
  </si>
  <si>
    <t>497A</t>
  </si>
  <si>
    <t>インバウンド消費関連　日本株（ネットリターン）ＥＴＮ　受益証券</t>
  </si>
  <si>
    <t>Inbound Consumer Related Japan Equity Net Return ETN</t>
  </si>
  <si>
    <t>498A</t>
  </si>
  <si>
    <t>防衛・航空宇宙　欧州株（ネットリターン）ＥＴＮ　受益証券</t>
  </si>
  <si>
    <t>Defense Aerospace Europe Equity Net Return ETN</t>
  </si>
  <si>
    <t>499A</t>
  </si>
  <si>
    <t>ラグジュアリー厳選１０　欧州株（ネットリターン）ＥＴＮ　受益証券</t>
  </si>
  <si>
    <t>Luxury Select 10 Europe Equity Net Return ETN</t>
  </si>
  <si>
    <t>502A</t>
  </si>
  <si>
    <t>グローバルＸ　超短期円建て債券　ＥＴＦ　受益証券</t>
  </si>
  <si>
    <t>Global X JPY Ultra Short-Term Bond ETF</t>
  </si>
  <si>
    <t>512A</t>
  </si>
  <si>
    <t>グローバルＸ　ステーブルコイン＆トークンビジネス　ＥＴＦ（除く日本）　受益証券</t>
  </si>
  <si>
    <t>Global X Stablecoins &amp; Tokenization ETF (ex-Japan)</t>
  </si>
  <si>
    <t xml:space="preserve">新規上場  </t>
  </si>
  <si>
    <t xml:space="preserve">New Listing  </t>
  </si>
  <si>
    <t xml:space="preserve">2026/02/26  </t>
  </si>
  <si>
    <t>513A</t>
  </si>
  <si>
    <t>グローバルＸ　防衛テック－日本株式　ＥＴＦ　受益証券</t>
  </si>
  <si>
    <t>Global X Japan Defense Tech ETF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</si>
  <si>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</si>
  <si>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</si>
  <si>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</si>
  <si>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</si>
  <si>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</si>
  <si>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</si>
  <si>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</si>
  <si>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</si>
  <si>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</si>
  <si>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</si>
  <si>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</si>
  <si>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</si>
  <si>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</si>
  <si>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</si>
  <si>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</si>
  <si>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</si>
  <si>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</si>
  <si>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</si>
  <si>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</si>
  <si>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</si>
  <si>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</si>
  <si>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</si>
  <si>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</si>
  <si>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</si>
  <si>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</si>
  <si>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</si>
  <si>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</si>
  <si>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</si>
  <si>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</si>
  <si>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</si>
  <si>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</si>
  <si>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</si>
  <si>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</si>
  <si>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</si>
  <si>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</si>
  <si>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</si>
  <si>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</si>
  <si>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</si>
  <si>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</si>
  <si>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</si>
  <si>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</si>
  <si>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</si>
  <si>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</si>
  <si>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</si>
  <si>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</si>
  <si>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</si>
  <si>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ＫＤＸ不動産投資法人　投資証券</t>
  </si>
  <si>
    <t>KDX Realty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</si>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</sst>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9" fontId="2" fillId="0" borderId="0" applyFont="0" applyFill="0" applyBorder="0" applyAlignment="0" applyProtection="0"/>
    <xf numFmtId="0" fontId="12" fillId="0" borderId="0"/>
    <xf numFmtId="0" fontId="8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2" fillId="21" borderId="28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9" applyNumberFormat="0" applyAlignment="0" applyProtection="0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1" fillId="0" borderId="30" applyNumberFormat="0" applyFill="0" applyAlignment="0" applyProtection="0"/>
    <xf numFmtId="0" fontId="32" fillId="0" borderId="31" applyNumberFormat="0" applyFill="0" applyAlignment="0" applyProtection="0"/>
    <xf numFmtId="0" fontId="33" fillId="0" borderId="32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7" applyNumberFormat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7" fillId="0" borderId="0"/>
    <xf numFmtId="0" fontId="35" fillId="0" borderId="33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6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7" applyNumberFormat="0" applyFill="0" applyBorder="0" applyProtection="0"/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64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9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8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8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" fillId="0" borderId="0"/>
    <xf numFmtId="0" fontId="8" fillId="0" borderId="0"/>
    <xf numFmtId="0" fontId="83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3" fillId="0" borderId="0"/>
    <xf numFmtId="0" fontId="8" fillId="0" borderId="0"/>
    <xf numFmtId="0" fontId="83" fillId="0" borderId="0"/>
    <xf numFmtId="0" fontId="1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4" fillId="0" borderId="0">
      <alignment vertical="center"/>
    </xf>
    <xf numFmtId="0" fontId="8" fillId="0" borderId="0"/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8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49" fontId="2" fillId="0" borderId="15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49" fontId="2" fillId="0" borderId="16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right" vertical="center"/>
    </xf>
    <xf numFmtId="0" fontId="2" fillId="0" borderId="6" xfId="1" applyNumberFormat="1" applyFont="1" applyFill="1" applyBorder="1" applyAlignment="1">
      <alignment horizontal="right" vertical="center"/>
    </xf>
    <xf numFmtId="0" fontId="2" fillId="0" borderId="18" xfId="1" applyNumberFormat="1" applyFont="1" applyFill="1" applyBorder="1" applyAlignment="1">
      <alignment horizontal="right" vertical="center"/>
    </xf>
    <xf numFmtId="0" fontId="2" fillId="0" borderId="19" xfId="1" applyNumberFormat="1" applyFont="1" applyFill="1" applyBorder="1" applyAlignment="1">
      <alignment horizontal="right" vertical="center"/>
    </xf>
    <xf numFmtId="49" fontId="11" fillId="0" borderId="17" xfId="2" applyNumberFormat="1" applyFont="1" applyFill="1" applyBorder="1" applyAlignment="1">
      <alignment horizontal="right"/>
    </xf>
    <xf numFmtId="49" fontId="11" fillId="0" borderId="20" xfId="2" applyNumberFormat="1" applyFont="1" applyFill="1" applyBorder="1" applyAlignment="1">
      <alignment horizontal="right"/>
    </xf>
    <xf numFmtId="49" fontId="11" fillId="0" borderId="19" xfId="2" applyNumberFormat="1" applyFont="1" applyFill="1" applyBorder="1" applyAlignment="1">
      <alignment horizontal="right"/>
    </xf>
    <xf numFmtId="49" fontId="7" fillId="0" borderId="21" xfId="1" applyNumberFormat="1" applyFont="1" applyFill="1" applyBorder="1" applyAlignment="1">
      <alignment horizontal="left" vertical="center"/>
    </xf>
    <xf numFmtId="49" fontId="7" fillId="0" borderId="22" xfId="1" applyNumberFormat="1" applyFont="1" applyFill="1" applyBorder="1" applyAlignment="1">
      <alignment horizontal="left" vertical="center"/>
    </xf>
    <xf numFmtId="49" fontId="7" fillId="0" borderId="23" xfId="1" applyNumberFormat="1" applyFont="1" applyFill="1" applyBorder="1" applyAlignment="1">
      <alignment horizontal="left" vertical="center"/>
    </xf>
    <xf numFmtId="49" fontId="7" fillId="0" borderId="24" xfId="1" applyNumberFormat="1" applyFont="1" applyFill="1" applyBorder="1" applyAlignment="1">
      <alignment horizontal="left" vertical="center"/>
    </xf>
    <xf numFmtId="49" fontId="7" fillId="0" borderId="21" xfId="2" applyNumberFormat="1" applyFont="1" applyFill="1" applyBorder="1" applyAlignment="1">
      <alignment horizontal="left"/>
    </xf>
    <xf numFmtId="3" fontId="7" fillId="0" borderId="21" xfId="2" applyNumberFormat="1" applyFont="1" applyFill="1" applyBorder="1" applyAlignment="1">
      <alignment horizontal="right"/>
    </xf>
    <xf numFmtId="4" fontId="7" fillId="0" borderId="25" xfId="2" applyNumberFormat="1" applyFont="1" applyFill="1" applyBorder="1" applyAlignment="1">
      <alignment horizontal="right"/>
    </xf>
    <xf numFmtId="49" fontId="7" fillId="0" borderId="24" xfId="2" applyNumberFormat="1" applyFont="1" applyFill="1" applyBorder="1" applyAlignment="1">
      <alignment horizontal="right"/>
    </xf>
    <xf numFmtId="4" fontId="7" fillId="0" borderId="21" xfId="2" applyNumberFormat="1" applyFont="1" applyFill="1" applyBorder="1" applyAlignment="1">
      <alignment horizontal="right"/>
    </xf>
    <xf numFmtId="189" fontId="7" fillId="0" borderId="21" xfId="2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2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r="1" spans="1:24" ht="13.5" customHeight="1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r="2" spans="1:24" ht="99" customHeight="1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r="3" spans="1:24" ht="39" customHeight="1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r="4" spans="1:24" s="2" customFormat="1" ht="13.5" customHeight="1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r="7" spans="1:24" s="2" customFormat="1" ht="13.5" customHeight="1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3828</f>
        <v>3828.0</v>
      </c>
      <c r="L7" s="34" t="s">
        <v>48</v>
      </c>
      <c r="M7" s="33" t="n">
        <f>4179</f>
        <v>4179.0</v>
      </c>
      <c r="N7" s="34" t="s">
        <v>49</v>
      </c>
      <c r="O7" s="33" t="n">
        <f>3749</f>
        <v>3749.0</v>
      </c>
      <c r="P7" s="34" t="s">
        <v>48</v>
      </c>
      <c r="Q7" s="33" t="n">
        <f>4176</f>
        <v>4176.0</v>
      </c>
      <c r="R7" s="34" t="s">
        <v>49</v>
      </c>
      <c r="S7" s="35" t="n">
        <f>4009.06</f>
        <v>4009.06</v>
      </c>
      <c r="T7" s="32" t="n">
        <f>5452450</f>
        <v>5452450.0</v>
      </c>
      <c r="U7" s="32" t="n">
        <f>3365280</f>
        <v>3365280.0</v>
      </c>
      <c r="V7" s="32" t="n">
        <f>21536229338</f>
        <v>2.1536229338E10</v>
      </c>
      <c r="W7" s="32" t="n">
        <f>13255317338</f>
        <v>1.3255317338E10</v>
      </c>
      <c r="X7" s="36" t="n">
        <f>18</f>
        <v>18.0</v>
      </c>
    </row>
    <row r="8">
      <c r="A8" s="27" t="s">
        <v>42</v>
      </c>
      <c r="B8" s="27" t="s">
        <v>50</v>
      </c>
      <c r="C8" s="27" t="s">
        <v>51</v>
      </c>
      <c r="D8" s="27" t="s">
        <v>52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3787</f>
        <v>3787.0</v>
      </c>
      <c r="L8" s="34" t="s">
        <v>48</v>
      </c>
      <c r="M8" s="33" t="n">
        <f>4137</f>
        <v>4137.0</v>
      </c>
      <c r="N8" s="34" t="s">
        <v>49</v>
      </c>
      <c r="O8" s="33" t="n">
        <f>3709</f>
        <v>3709.0</v>
      </c>
      <c r="P8" s="34" t="s">
        <v>48</v>
      </c>
      <c r="Q8" s="33" t="n">
        <f>4131</f>
        <v>4131.0</v>
      </c>
      <c r="R8" s="34" t="s">
        <v>49</v>
      </c>
      <c r="S8" s="35" t="n">
        <f>3969.67</f>
        <v>3969.67</v>
      </c>
      <c r="T8" s="32" t="n">
        <f>46050190</f>
        <v>4.605019E7</v>
      </c>
      <c r="U8" s="32" t="n">
        <f>7301540</f>
        <v>7301540.0</v>
      </c>
      <c r="V8" s="32" t="n">
        <f>183101949659</f>
        <v>1.83101949659E11</v>
      </c>
      <c r="W8" s="32" t="n">
        <f>29103101499</f>
        <v>2.9103101499E10</v>
      </c>
      <c r="X8" s="36" t="n">
        <f>18</f>
        <v>18.0</v>
      </c>
    </row>
    <row r="9">
      <c r="A9" s="27" t="s">
        <v>42</v>
      </c>
      <c r="B9" s="27" t="s">
        <v>53</v>
      </c>
      <c r="C9" s="27" t="s">
        <v>54</v>
      </c>
      <c r="D9" s="27" t="s">
        <v>55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1.0</v>
      </c>
      <c r="K9" s="33" t="n">
        <f>3743</f>
        <v>3743.0</v>
      </c>
      <c r="L9" s="34" t="s">
        <v>48</v>
      </c>
      <c r="M9" s="33" t="n">
        <f>4088</f>
        <v>4088.0</v>
      </c>
      <c r="N9" s="34" t="s">
        <v>49</v>
      </c>
      <c r="O9" s="33" t="n">
        <f>3666</f>
        <v>3666.0</v>
      </c>
      <c r="P9" s="34" t="s">
        <v>48</v>
      </c>
      <c r="Q9" s="33" t="n">
        <f>4086</f>
        <v>4086.0</v>
      </c>
      <c r="R9" s="34" t="s">
        <v>49</v>
      </c>
      <c r="S9" s="35" t="n">
        <f>3922.5</f>
        <v>3922.5</v>
      </c>
      <c r="T9" s="32" t="n">
        <f>36190504</f>
        <v>3.6190504E7</v>
      </c>
      <c r="U9" s="32" t="n">
        <f>29841863</f>
        <v>2.9841863E7</v>
      </c>
      <c r="V9" s="32" t="n">
        <f>143628391981</f>
        <v>1.43628391981E11</v>
      </c>
      <c r="W9" s="32" t="n">
        <f>118907124912</f>
        <v>1.18907124912E11</v>
      </c>
      <c r="X9" s="36" t="n">
        <f>18</f>
        <v>18.0</v>
      </c>
    </row>
    <row r="10">
      <c r="A10" s="27" t="s">
        <v>42</v>
      </c>
      <c r="B10" s="27" t="s">
        <v>56</v>
      </c>
      <c r="C10" s="27" t="s">
        <v>57</v>
      </c>
      <c r="D10" s="27" t="s">
        <v>58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55070</f>
        <v>55070.0</v>
      </c>
      <c r="L10" s="34" t="s">
        <v>48</v>
      </c>
      <c r="M10" s="33" t="n">
        <f>56480</f>
        <v>56480.0</v>
      </c>
      <c r="N10" s="34" t="s">
        <v>59</v>
      </c>
      <c r="O10" s="33" t="n">
        <f>53770</f>
        <v>53770.0</v>
      </c>
      <c r="P10" s="34" t="s">
        <v>60</v>
      </c>
      <c r="Q10" s="33" t="n">
        <f>55310</f>
        <v>55310.0</v>
      </c>
      <c r="R10" s="34" t="s">
        <v>49</v>
      </c>
      <c r="S10" s="35" t="n">
        <f>55046.11</f>
        <v>55046.11</v>
      </c>
      <c r="T10" s="32" t="n">
        <f>3985</f>
        <v>3985.0</v>
      </c>
      <c r="U10" s="32" t="str">
        <f>"－"</f>
        <v>－</v>
      </c>
      <c r="V10" s="32" t="n">
        <f>219746030</f>
        <v>2.1974603E8</v>
      </c>
      <c r="W10" s="32" t="str">
        <f>"－"</f>
        <v>－</v>
      </c>
      <c r="X10" s="36" t="n">
        <f>18</f>
        <v>18.0</v>
      </c>
    </row>
    <row r="11">
      <c r="A11" s="27" t="s">
        <v>42</v>
      </c>
      <c r="B11" s="27" t="s">
        <v>61</v>
      </c>
      <c r="C11" s="27" t="s">
        <v>62</v>
      </c>
      <c r="D11" s="27" t="s">
        <v>63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1.0</v>
      </c>
      <c r="K11" s="33" t="n">
        <f>1890</f>
        <v>1890.0</v>
      </c>
      <c r="L11" s="34" t="s">
        <v>48</v>
      </c>
      <c r="M11" s="33" t="n">
        <f>2020</f>
        <v>2020.0</v>
      </c>
      <c r="N11" s="34" t="s">
        <v>64</v>
      </c>
      <c r="O11" s="33" t="n">
        <f>1850</f>
        <v>1850.0</v>
      </c>
      <c r="P11" s="34" t="s">
        <v>48</v>
      </c>
      <c r="Q11" s="33" t="n">
        <f>2003</f>
        <v>2003.0</v>
      </c>
      <c r="R11" s="34" t="s">
        <v>49</v>
      </c>
      <c r="S11" s="35" t="n">
        <f>1950.22</f>
        <v>1950.22</v>
      </c>
      <c r="T11" s="32" t="n">
        <f>845911</f>
        <v>845911.0</v>
      </c>
      <c r="U11" s="32" t="n">
        <f>446623</f>
        <v>446623.0</v>
      </c>
      <c r="V11" s="32" t="n">
        <f>1636069505</f>
        <v>1.636069505E9</v>
      </c>
      <c r="W11" s="32" t="n">
        <f>856678320</f>
        <v>8.5667832E8</v>
      </c>
      <c r="X11" s="36" t="n">
        <f>18</f>
        <v>18.0</v>
      </c>
    </row>
    <row r="12">
      <c r="A12" s="27" t="s">
        <v>42</v>
      </c>
      <c r="B12" s="27" t="s">
        <v>65</v>
      </c>
      <c r="C12" s="27" t="s">
        <v>66</v>
      </c>
      <c r="D12" s="27" t="s">
        <v>67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1000.0</v>
      </c>
      <c r="K12" s="33" t="n">
        <f>651.2</f>
        <v>651.2</v>
      </c>
      <c r="L12" s="34" t="s">
        <v>48</v>
      </c>
      <c r="M12" s="33" t="n">
        <f>734.3</f>
        <v>734.3</v>
      </c>
      <c r="N12" s="34" t="s">
        <v>68</v>
      </c>
      <c r="O12" s="33" t="n">
        <f>648</f>
        <v>648.0</v>
      </c>
      <c r="P12" s="34" t="s">
        <v>69</v>
      </c>
      <c r="Q12" s="33" t="n">
        <f>734.3</f>
        <v>734.3</v>
      </c>
      <c r="R12" s="34" t="s">
        <v>68</v>
      </c>
      <c r="S12" s="35" t="n">
        <f>687.89</f>
        <v>687.89</v>
      </c>
      <c r="T12" s="32" t="n">
        <f>69000</f>
        <v>69000.0</v>
      </c>
      <c r="U12" s="32" t="str">
        <f>"－"</f>
        <v>－</v>
      </c>
      <c r="V12" s="32" t="n">
        <f>47638300</f>
        <v>4.76383E7</v>
      </c>
      <c r="W12" s="32" t="str">
        <f>"－"</f>
        <v>－</v>
      </c>
      <c r="X12" s="36" t="n">
        <f>15</f>
        <v>15.0</v>
      </c>
    </row>
    <row r="13">
      <c r="A13" s="27" t="s">
        <v>42</v>
      </c>
      <c r="B13" s="27" t="s">
        <v>70</v>
      </c>
      <c r="C13" s="27" t="s">
        <v>71</v>
      </c>
      <c r="D13" s="27" t="s">
        <v>72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1.0</v>
      </c>
      <c r="K13" s="33" t="n">
        <f>55490</f>
        <v>55490.0</v>
      </c>
      <c r="L13" s="34" t="s">
        <v>48</v>
      </c>
      <c r="M13" s="33" t="n">
        <f>61450</f>
        <v>61450.0</v>
      </c>
      <c r="N13" s="34" t="s">
        <v>68</v>
      </c>
      <c r="O13" s="33" t="n">
        <f>54520</f>
        <v>54520.0</v>
      </c>
      <c r="P13" s="34" t="s">
        <v>48</v>
      </c>
      <c r="Q13" s="33" t="n">
        <f>60950</f>
        <v>60950.0</v>
      </c>
      <c r="R13" s="34" t="s">
        <v>49</v>
      </c>
      <c r="S13" s="35" t="n">
        <f>58488.33</f>
        <v>58488.33</v>
      </c>
      <c r="T13" s="32" t="n">
        <f>984846</f>
        <v>984846.0</v>
      </c>
      <c r="U13" s="32" t="n">
        <f>256457</f>
        <v>256457.0</v>
      </c>
      <c r="V13" s="32" t="n">
        <f>57425045369</f>
        <v>5.7425045369E10</v>
      </c>
      <c r="W13" s="32" t="n">
        <f>15067640739</f>
        <v>1.5067640739E10</v>
      </c>
      <c r="X13" s="36" t="n">
        <f>18</f>
        <v>18.0</v>
      </c>
    </row>
    <row r="14">
      <c r="A14" s="27" t="s">
        <v>42</v>
      </c>
      <c r="B14" s="27" t="s">
        <v>73</v>
      </c>
      <c r="C14" s="27" t="s">
        <v>74</v>
      </c>
      <c r="D14" s="27" t="s">
        <v>75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55690</f>
        <v>55690.0</v>
      </c>
      <c r="L14" s="34" t="s">
        <v>48</v>
      </c>
      <c r="M14" s="33" t="n">
        <f>61670</f>
        <v>61670.0</v>
      </c>
      <c r="N14" s="34" t="s">
        <v>68</v>
      </c>
      <c r="O14" s="33" t="n">
        <f>54720</f>
        <v>54720.0</v>
      </c>
      <c r="P14" s="34" t="s">
        <v>48</v>
      </c>
      <c r="Q14" s="33" t="n">
        <f>61120</f>
        <v>61120.0</v>
      </c>
      <c r="R14" s="34" t="s">
        <v>49</v>
      </c>
      <c r="S14" s="35" t="n">
        <f>58700.56</f>
        <v>58700.56</v>
      </c>
      <c r="T14" s="32" t="n">
        <f>7368002</f>
        <v>7368002.0</v>
      </c>
      <c r="U14" s="32" t="n">
        <f>766063</f>
        <v>766063.0</v>
      </c>
      <c r="V14" s="32" t="n">
        <f>430392853181</f>
        <v>4.30392853181E11</v>
      </c>
      <c r="W14" s="32" t="n">
        <f>44505198841</f>
        <v>4.4505198841E10</v>
      </c>
      <c r="X14" s="36" t="n">
        <f>18</f>
        <v>18.0</v>
      </c>
    </row>
    <row r="15">
      <c r="A15" s="27" t="s">
        <v>42</v>
      </c>
      <c r="B15" s="27" t="s">
        <v>76</v>
      </c>
      <c r="C15" s="27" t="s">
        <v>77</v>
      </c>
      <c r="D15" s="27" t="s">
        <v>78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11050</f>
        <v>11050.0</v>
      </c>
      <c r="L15" s="34" t="s">
        <v>48</v>
      </c>
      <c r="M15" s="33" t="n">
        <f>11605</f>
        <v>11605.0</v>
      </c>
      <c r="N15" s="34" t="s">
        <v>79</v>
      </c>
      <c r="O15" s="33" t="n">
        <f>10855</f>
        <v>10855.0</v>
      </c>
      <c r="P15" s="34" t="s">
        <v>48</v>
      </c>
      <c r="Q15" s="33" t="n">
        <f>11340</f>
        <v>11340.0</v>
      </c>
      <c r="R15" s="34" t="s">
        <v>49</v>
      </c>
      <c r="S15" s="35" t="n">
        <f>11303.61</f>
        <v>11303.61</v>
      </c>
      <c r="T15" s="32" t="n">
        <f>57981</f>
        <v>57981.0</v>
      </c>
      <c r="U15" s="32" t="n">
        <f>32296</f>
        <v>32296.0</v>
      </c>
      <c r="V15" s="32" t="n">
        <f>653095699</f>
        <v>6.53095699E8</v>
      </c>
      <c r="W15" s="32" t="n">
        <f>363413969</f>
        <v>3.63413969E8</v>
      </c>
      <c r="X15" s="36" t="n">
        <f>18</f>
        <v>18.0</v>
      </c>
    </row>
    <row r="16">
      <c r="A16" s="27" t="s">
        <v>42</v>
      </c>
      <c r="B16" s="27" t="s">
        <v>80</v>
      </c>
      <c r="C16" s="27" t="s">
        <v>81</v>
      </c>
      <c r="D16" s="27" t="s">
        <v>82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10.0</v>
      </c>
      <c r="K16" s="33" t="n">
        <f>291.4</f>
        <v>291.4</v>
      </c>
      <c r="L16" s="34" t="s">
        <v>48</v>
      </c>
      <c r="M16" s="33" t="n">
        <f>330.9</f>
        <v>330.9</v>
      </c>
      <c r="N16" s="34" t="s">
        <v>83</v>
      </c>
      <c r="O16" s="33" t="n">
        <f>288</f>
        <v>288.0</v>
      </c>
      <c r="P16" s="34" t="s">
        <v>48</v>
      </c>
      <c r="Q16" s="33" t="n">
        <f>322.9</f>
        <v>322.9</v>
      </c>
      <c r="R16" s="34" t="s">
        <v>49</v>
      </c>
      <c r="S16" s="35" t="n">
        <f>307.08</f>
        <v>307.08</v>
      </c>
      <c r="T16" s="32" t="n">
        <f>1341780</f>
        <v>1341780.0</v>
      </c>
      <c r="U16" s="32" t="n">
        <f>46560</f>
        <v>46560.0</v>
      </c>
      <c r="V16" s="32" t="n">
        <f>414183542</f>
        <v>4.14183542E8</v>
      </c>
      <c r="W16" s="32" t="n">
        <f>14173649</f>
        <v>1.4173649E7</v>
      </c>
      <c r="X16" s="36" t="n">
        <f>18</f>
        <v>18.0</v>
      </c>
    </row>
    <row r="17">
      <c r="A17" s="27" t="s">
        <v>42</v>
      </c>
      <c r="B17" s="27" t="s">
        <v>84</v>
      </c>
      <c r="C17" s="27" t="s">
        <v>85</v>
      </c>
      <c r="D17" s="27" t="s">
        <v>86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1.0</v>
      </c>
      <c r="K17" s="33" t="n">
        <f>68390</f>
        <v>68390.0</v>
      </c>
      <c r="L17" s="34" t="s">
        <v>48</v>
      </c>
      <c r="M17" s="33" t="n">
        <f>74550</f>
        <v>74550.0</v>
      </c>
      <c r="N17" s="34" t="s">
        <v>83</v>
      </c>
      <c r="O17" s="33" t="n">
        <f>64000</f>
        <v>64000.0</v>
      </c>
      <c r="P17" s="34" t="s">
        <v>48</v>
      </c>
      <c r="Q17" s="33" t="n">
        <f>74370</f>
        <v>74370.0</v>
      </c>
      <c r="R17" s="34" t="s">
        <v>49</v>
      </c>
      <c r="S17" s="35" t="n">
        <f>71152.78</f>
        <v>71152.78</v>
      </c>
      <c r="T17" s="32" t="n">
        <f>973264</f>
        <v>973264.0</v>
      </c>
      <c r="U17" s="32" t="n">
        <f>7730</f>
        <v>7730.0</v>
      </c>
      <c r="V17" s="32" t="n">
        <f>68167060381</f>
        <v>6.8167060381E10</v>
      </c>
      <c r="W17" s="32" t="n">
        <f>567099411</f>
        <v>5.67099411E8</v>
      </c>
      <c r="X17" s="36" t="n">
        <f>18</f>
        <v>18.0</v>
      </c>
    </row>
    <row r="18">
      <c r="A18" s="27" t="s">
        <v>42</v>
      </c>
      <c r="B18" s="27" t="s">
        <v>87</v>
      </c>
      <c r="C18" s="27" t="s">
        <v>88</v>
      </c>
      <c r="D18" s="27" t="s">
        <v>89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1.0</v>
      </c>
      <c r="K18" s="33" t="n">
        <f>17640</f>
        <v>17640.0</v>
      </c>
      <c r="L18" s="34" t="s">
        <v>48</v>
      </c>
      <c r="M18" s="33" t="n">
        <f>19265</f>
        <v>19265.0</v>
      </c>
      <c r="N18" s="34" t="s">
        <v>90</v>
      </c>
      <c r="O18" s="33" t="n">
        <f>16335</f>
        <v>16335.0</v>
      </c>
      <c r="P18" s="34" t="s">
        <v>48</v>
      </c>
      <c r="Q18" s="33" t="n">
        <f>19220</f>
        <v>19220.0</v>
      </c>
      <c r="R18" s="34" t="s">
        <v>49</v>
      </c>
      <c r="S18" s="35" t="n">
        <f>18373.06</f>
        <v>18373.06</v>
      </c>
      <c r="T18" s="32" t="n">
        <f>3729997</f>
        <v>3729997.0</v>
      </c>
      <c r="U18" s="32" t="n">
        <f>21325</f>
        <v>21325.0</v>
      </c>
      <c r="V18" s="32" t="n">
        <f>67454687825</f>
        <v>6.7454687825E10</v>
      </c>
      <c r="W18" s="32" t="n">
        <f>386630655</f>
        <v>3.86630655E8</v>
      </c>
      <c r="X18" s="36" t="n">
        <f>18</f>
        <v>18.0</v>
      </c>
    </row>
    <row r="19">
      <c r="A19" s="27" t="s">
        <v>42</v>
      </c>
      <c r="B19" s="27" t="s">
        <v>91</v>
      </c>
      <c r="C19" s="27" t="s">
        <v>92</v>
      </c>
      <c r="D19" s="27" t="s">
        <v>93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1.0</v>
      </c>
      <c r="K19" s="33" t="n">
        <f>5585</f>
        <v>5585.0</v>
      </c>
      <c r="L19" s="34" t="s">
        <v>48</v>
      </c>
      <c r="M19" s="33" t="n">
        <f>6136</f>
        <v>6136.0</v>
      </c>
      <c r="N19" s="34" t="s">
        <v>68</v>
      </c>
      <c r="O19" s="33" t="n">
        <f>5467</f>
        <v>5467.0</v>
      </c>
      <c r="P19" s="34" t="s">
        <v>94</v>
      </c>
      <c r="Q19" s="33" t="n">
        <f>6078</f>
        <v>6078.0</v>
      </c>
      <c r="R19" s="34" t="s">
        <v>49</v>
      </c>
      <c r="S19" s="35" t="n">
        <f>5850.72</f>
        <v>5850.72</v>
      </c>
      <c r="T19" s="32" t="n">
        <f>20066372</f>
        <v>2.0066372E7</v>
      </c>
      <c r="U19" s="32" t="n">
        <f>2931029</f>
        <v>2931029.0</v>
      </c>
      <c r="V19" s="32" t="n">
        <f>117171382150</f>
        <v>1.1717138215E11</v>
      </c>
      <c r="W19" s="32" t="n">
        <f>17537571016</f>
        <v>1.7537571016E10</v>
      </c>
      <c r="X19" s="36" t="n">
        <f>18</f>
        <v>18.0</v>
      </c>
    </row>
    <row r="20">
      <c r="A20" s="27" t="s">
        <v>42</v>
      </c>
      <c r="B20" s="27" t="s">
        <v>95</v>
      </c>
      <c r="C20" s="27" t="s">
        <v>96</v>
      </c>
      <c r="D20" s="27" t="s">
        <v>97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55800</f>
        <v>55800.0</v>
      </c>
      <c r="L20" s="34" t="s">
        <v>48</v>
      </c>
      <c r="M20" s="33" t="n">
        <f>61740</f>
        <v>61740.0</v>
      </c>
      <c r="N20" s="34" t="s">
        <v>68</v>
      </c>
      <c r="O20" s="33" t="n">
        <f>54780</f>
        <v>54780.0</v>
      </c>
      <c r="P20" s="34" t="s">
        <v>48</v>
      </c>
      <c r="Q20" s="33" t="n">
        <f>61200</f>
        <v>61200.0</v>
      </c>
      <c r="R20" s="34" t="s">
        <v>49</v>
      </c>
      <c r="S20" s="35" t="n">
        <f>58778.33</f>
        <v>58778.33</v>
      </c>
      <c r="T20" s="32" t="n">
        <f>1569994</f>
        <v>1569994.0</v>
      </c>
      <c r="U20" s="32" t="n">
        <f>863086</f>
        <v>863086.0</v>
      </c>
      <c r="V20" s="32" t="n">
        <f>92991990637</f>
        <v>9.2991990637E10</v>
      </c>
      <c r="W20" s="32" t="n">
        <f>51591418537</f>
        <v>5.1591418537E10</v>
      </c>
      <c r="X20" s="36" t="n">
        <f>18</f>
        <v>18.0</v>
      </c>
    </row>
    <row r="21">
      <c r="A21" s="27" t="s">
        <v>42</v>
      </c>
      <c r="B21" s="27" t="s">
        <v>98</v>
      </c>
      <c r="C21" s="27" t="s">
        <v>99</v>
      </c>
      <c r="D21" s="27" t="s">
        <v>100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1047</f>
        <v>1047.0</v>
      </c>
      <c r="L21" s="34" t="s">
        <v>48</v>
      </c>
      <c r="M21" s="33" t="n">
        <f>1063</f>
        <v>1063.0</v>
      </c>
      <c r="N21" s="34" t="s">
        <v>101</v>
      </c>
      <c r="O21" s="33" t="n">
        <f>1029</f>
        <v>1029.0</v>
      </c>
      <c r="P21" s="34" t="s">
        <v>64</v>
      </c>
      <c r="Q21" s="33" t="n">
        <f>1054</f>
        <v>1054.0</v>
      </c>
      <c r="R21" s="34" t="s">
        <v>49</v>
      </c>
      <c r="S21" s="35" t="n">
        <f>1048.5</f>
        <v>1048.5</v>
      </c>
      <c r="T21" s="32" t="n">
        <f>21866356</f>
        <v>2.1866356E7</v>
      </c>
      <c r="U21" s="32" t="n">
        <f>19452770</f>
        <v>1.945277E7</v>
      </c>
      <c r="V21" s="32" t="n">
        <f>23097724431</f>
        <v>2.3097724431E10</v>
      </c>
      <c r="W21" s="32" t="n">
        <f>20565085289</f>
        <v>2.0565085289E10</v>
      </c>
      <c r="X21" s="36" t="n">
        <f>18</f>
        <v>18.0</v>
      </c>
    </row>
    <row r="22">
      <c r="A22" s="27" t="s">
        <v>42</v>
      </c>
      <c r="B22" s="27" t="s">
        <v>102</v>
      </c>
      <c r="C22" s="27" t="s">
        <v>103</v>
      </c>
      <c r="D22" s="27" t="s">
        <v>104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2162.5</f>
        <v>2162.5</v>
      </c>
      <c r="L22" s="34" t="s">
        <v>48</v>
      </c>
      <c r="M22" s="33" t="n">
        <f>2200</f>
        <v>2200.0</v>
      </c>
      <c r="N22" s="34" t="s">
        <v>68</v>
      </c>
      <c r="O22" s="33" t="n">
        <f>2124.5</f>
        <v>2124.5</v>
      </c>
      <c r="P22" s="34" t="s">
        <v>105</v>
      </c>
      <c r="Q22" s="33" t="n">
        <f>2167</f>
        <v>2167.0</v>
      </c>
      <c r="R22" s="34" t="s">
        <v>49</v>
      </c>
      <c r="S22" s="35" t="n">
        <f>2161.69</f>
        <v>2161.69</v>
      </c>
      <c r="T22" s="32" t="n">
        <f>31044990</f>
        <v>3.104499E7</v>
      </c>
      <c r="U22" s="32" t="n">
        <f>13346890</f>
        <v>1.334689E7</v>
      </c>
      <c r="V22" s="32" t="n">
        <f>67067301827</f>
        <v>6.7067301827E10</v>
      </c>
      <c r="W22" s="32" t="n">
        <f>28789517032</f>
        <v>2.8789517032E10</v>
      </c>
      <c r="X22" s="36" t="n">
        <f>18</f>
        <v>18.0</v>
      </c>
    </row>
    <row r="23">
      <c r="A23" s="27" t="s">
        <v>42</v>
      </c>
      <c r="B23" s="27" t="s">
        <v>106</v>
      </c>
      <c r="C23" s="27" t="s">
        <v>107</v>
      </c>
      <c r="D23" s="27" t="s">
        <v>108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100.0</v>
      </c>
      <c r="K23" s="33" t="n">
        <f>2023</f>
        <v>2023.0</v>
      </c>
      <c r="L23" s="34" t="s">
        <v>48</v>
      </c>
      <c r="M23" s="33" t="n">
        <f>2081.5</f>
        <v>2081.5</v>
      </c>
      <c r="N23" s="34" t="s">
        <v>68</v>
      </c>
      <c r="O23" s="33" t="n">
        <f>2007.5</f>
        <v>2007.5</v>
      </c>
      <c r="P23" s="34" t="s">
        <v>48</v>
      </c>
      <c r="Q23" s="33" t="n">
        <f>2050</f>
        <v>2050.0</v>
      </c>
      <c r="R23" s="34" t="s">
        <v>49</v>
      </c>
      <c r="S23" s="35" t="n">
        <f>2039.86</f>
        <v>2039.86</v>
      </c>
      <c r="T23" s="32" t="n">
        <f>1968400</f>
        <v>1968400.0</v>
      </c>
      <c r="U23" s="32" t="n">
        <f>579800</f>
        <v>579800.0</v>
      </c>
      <c r="V23" s="32" t="n">
        <f>4003386357</f>
        <v>4.003386357E9</v>
      </c>
      <c r="W23" s="32" t="n">
        <f>1176756157</f>
        <v>1.176756157E9</v>
      </c>
      <c r="X23" s="36" t="n">
        <f>18</f>
        <v>18.0</v>
      </c>
    </row>
    <row r="24">
      <c r="A24" s="27" t="s">
        <v>42</v>
      </c>
      <c r="B24" s="27" t="s">
        <v>109</v>
      </c>
      <c r="C24" s="27" t="s">
        <v>110</v>
      </c>
      <c r="D24" s="27" t="s">
        <v>111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55320</f>
        <v>55320.0</v>
      </c>
      <c r="L24" s="34" t="s">
        <v>48</v>
      </c>
      <c r="M24" s="33" t="n">
        <f>61340</f>
        <v>61340.0</v>
      </c>
      <c r="N24" s="34" t="s">
        <v>68</v>
      </c>
      <c r="O24" s="33" t="n">
        <f>54410</f>
        <v>54410.0</v>
      </c>
      <c r="P24" s="34" t="s">
        <v>48</v>
      </c>
      <c r="Q24" s="33" t="n">
        <f>60800</f>
        <v>60800.0</v>
      </c>
      <c r="R24" s="34" t="s">
        <v>49</v>
      </c>
      <c r="S24" s="35" t="n">
        <f>58363.33</f>
        <v>58363.33</v>
      </c>
      <c r="T24" s="32" t="n">
        <f>985018</f>
        <v>985018.0</v>
      </c>
      <c r="U24" s="32" t="n">
        <f>593588</f>
        <v>593588.0</v>
      </c>
      <c r="V24" s="32" t="n">
        <f>58162803209</f>
        <v>5.8162803209E10</v>
      </c>
      <c r="W24" s="32" t="n">
        <f>35502773359</f>
        <v>3.5502773359E10</v>
      </c>
      <c r="X24" s="36" t="n">
        <f>18</f>
        <v>18.0</v>
      </c>
    </row>
    <row r="25">
      <c r="A25" s="27" t="s">
        <v>42</v>
      </c>
      <c r="B25" s="27" t="s">
        <v>112</v>
      </c>
      <c r="C25" s="27" t="s">
        <v>113</v>
      </c>
      <c r="D25" s="27" t="s">
        <v>114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1.0</v>
      </c>
      <c r="K25" s="33" t="n">
        <f>3739</f>
        <v>3739.0</v>
      </c>
      <c r="L25" s="34" t="s">
        <v>48</v>
      </c>
      <c r="M25" s="33" t="n">
        <f>4083</f>
        <v>4083.0</v>
      </c>
      <c r="N25" s="34" t="s">
        <v>49</v>
      </c>
      <c r="O25" s="33" t="n">
        <f>3664</f>
        <v>3664.0</v>
      </c>
      <c r="P25" s="34" t="s">
        <v>48</v>
      </c>
      <c r="Q25" s="33" t="n">
        <f>4083</f>
        <v>4083.0</v>
      </c>
      <c r="R25" s="34" t="s">
        <v>49</v>
      </c>
      <c r="S25" s="35" t="n">
        <f>3920.5</f>
        <v>3920.5</v>
      </c>
      <c r="T25" s="32" t="n">
        <f>5086509</f>
        <v>5086509.0</v>
      </c>
      <c r="U25" s="32" t="n">
        <f>2130949</f>
        <v>2130949.0</v>
      </c>
      <c r="V25" s="32" t="n">
        <f>19812086611</f>
        <v>1.9812086611E10</v>
      </c>
      <c r="W25" s="32" t="n">
        <f>8320295827</f>
        <v>8.320295827E9</v>
      </c>
      <c r="X25" s="36" t="n">
        <f>18</f>
        <v>18.0</v>
      </c>
    </row>
    <row r="26">
      <c r="A26" s="27" t="s">
        <v>42</v>
      </c>
      <c r="B26" s="27" t="s">
        <v>115</v>
      </c>
      <c r="C26" s="27" t="s">
        <v>116</v>
      </c>
      <c r="D26" s="27" t="s">
        <v>117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17580</f>
        <v>17580.0</v>
      </c>
      <c r="L26" s="34" t="s">
        <v>48</v>
      </c>
      <c r="M26" s="33" t="n">
        <f>18005</f>
        <v>18005.0</v>
      </c>
      <c r="N26" s="34" t="s">
        <v>49</v>
      </c>
      <c r="O26" s="33" t="n">
        <f>17305</f>
        <v>17305.0</v>
      </c>
      <c r="P26" s="34" t="s">
        <v>48</v>
      </c>
      <c r="Q26" s="33" t="n">
        <f>17970</f>
        <v>17970.0</v>
      </c>
      <c r="R26" s="34" t="s">
        <v>49</v>
      </c>
      <c r="S26" s="35" t="n">
        <f>17693.53</f>
        <v>17693.53</v>
      </c>
      <c r="T26" s="32" t="n">
        <f>609</f>
        <v>609.0</v>
      </c>
      <c r="U26" s="32" t="str">
        <f>"－"</f>
        <v>－</v>
      </c>
      <c r="V26" s="32" t="n">
        <f>10804425</f>
        <v>1.0804425E7</v>
      </c>
      <c r="W26" s="32" t="str">
        <f>"－"</f>
        <v>－</v>
      </c>
      <c r="X26" s="36" t="n">
        <f>17</f>
        <v>17.0</v>
      </c>
    </row>
    <row r="27">
      <c r="A27" s="27" t="s">
        <v>42</v>
      </c>
      <c r="B27" s="27" t="s">
        <v>118</v>
      </c>
      <c r="C27" s="27" t="s">
        <v>119</v>
      </c>
      <c r="D27" s="27" t="s">
        <v>120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151.7</f>
        <v>151.7</v>
      </c>
      <c r="L27" s="34" t="s">
        <v>48</v>
      </c>
      <c r="M27" s="33" t="n">
        <f>158</f>
        <v>158.0</v>
      </c>
      <c r="N27" s="34" t="s">
        <v>48</v>
      </c>
      <c r="O27" s="33" t="n">
        <f>126</f>
        <v>126.0</v>
      </c>
      <c r="P27" s="34" t="s">
        <v>49</v>
      </c>
      <c r="Q27" s="33" t="n">
        <f>126.3</f>
        <v>126.3</v>
      </c>
      <c r="R27" s="34" t="s">
        <v>49</v>
      </c>
      <c r="S27" s="35" t="n">
        <f>137.64</f>
        <v>137.64</v>
      </c>
      <c r="T27" s="32" t="n">
        <f>97702210</f>
        <v>9.770221E7</v>
      </c>
      <c r="U27" s="32" t="n">
        <f>601780</f>
        <v>601780.0</v>
      </c>
      <c r="V27" s="32" t="n">
        <f>13324486294</f>
        <v>1.3324486294E10</v>
      </c>
      <c r="W27" s="32" t="n">
        <f>82323483</f>
        <v>8.2323483E7</v>
      </c>
      <c r="X27" s="36" t="n">
        <f>18</f>
        <v>18.0</v>
      </c>
    </row>
    <row r="28">
      <c r="A28" s="27" t="s">
        <v>42</v>
      </c>
      <c r="B28" s="27" t="s">
        <v>121</v>
      </c>
      <c r="C28" s="27" t="s">
        <v>122</v>
      </c>
      <c r="D28" s="27" t="s">
        <v>123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5094</f>
        <v>5094.0</v>
      </c>
      <c r="L28" s="34" t="s">
        <v>48</v>
      </c>
      <c r="M28" s="33" t="n">
        <f>5277</f>
        <v>5277.0</v>
      </c>
      <c r="N28" s="34" t="s">
        <v>48</v>
      </c>
      <c r="O28" s="33" t="n">
        <f>4092</f>
        <v>4092.0</v>
      </c>
      <c r="P28" s="34" t="s">
        <v>68</v>
      </c>
      <c r="Q28" s="33" t="n">
        <f>4159</f>
        <v>4159.0</v>
      </c>
      <c r="R28" s="34" t="s">
        <v>49</v>
      </c>
      <c r="S28" s="35" t="n">
        <f>4548.72</f>
        <v>4548.72</v>
      </c>
      <c r="T28" s="32" t="n">
        <f>105033441</f>
        <v>1.05033441E8</v>
      </c>
      <c r="U28" s="32" t="n">
        <f>1459483</f>
        <v>1459483.0</v>
      </c>
      <c r="V28" s="32" t="n">
        <f>478350204117</f>
        <v>4.78350204117E11</v>
      </c>
      <c r="W28" s="32" t="n">
        <f>6715064794</f>
        <v>6.715064794E9</v>
      </c>
      <c r="X28" s="36" t="n">
        <f>18</f>
        <v>18.0</v>
      </c>
    </row>
    <row r="29">
      <c r="A29" s="27" t="s">
        <v>42</v>
      </c>
      <c r="B29" s="27" t="s">
        <v>124</v>
      </c>
      <c r="C29" s="27" t="s">
        <v>125</v>
      </c>
      <c r="D29" s="27" t="s">
        <v>126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92100</f>
        <v>92100.0</v>
      </c>
      <c r="L29" s="34" t="s">
        <v>48</v>
      </c>
      <c r="M29" s="33" t="n">
        <f>112500</f>
        <v>112500.0</v>
      </c>
      <c r="N29" s="34" t="s">
        <v>68</v>
      </c>
      <c r="O29" s="33" t="n">
        <f>89010</f>
        <v>89010.0</v>
      </c>
      <c r="P29" s="34" t="s">
        <v>48</v>
      </c>
      <c r="Q29" s="33" t="n">
        <f>110450</f>
        <v>110450.0</v>
      </c>
      <c r="R29" s="34" t="s">
        <v>49</v>
      </c>
      <c r="S29" s="35" t="n">
        <f>102217.22</f>
        <v>102217.22</v>
      </c>
      <c r="T29" s="32" t="n">
        <f>231551</f>
        <v>231551.0</v>
      </c>
      <c r="U29" s="32" t="n">
        <f>3604</f>
        <v>3604.0</v>
      </c>
      <c r="V29" s="32" t="n">
        <f>23495624758</f>
        <v>2.3495624758E10</v>
      </c>
      <c r="W29" s="32" t="n">
        <f>366644898</f>
        <v>3.66644898E8</v>
      </c>
      <c r="X29" s="36" t="n">
        <f>18</f>
        <v>18.0</v>
      </c>
    </row>
    <row r="30">
      <c r="A30" s="27" t="s">
        <v>42</v>
      </c>
      <c r="B30" s="27" t="s">
        <v>127</v>
      </c>
      <c r="C30" s="27" t="s">
        <v>128</v>
      </c>
      <c r="D30" s="27" t="s">
        <v>129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125.2</f>
        <v>125.2</v>
      </c>
      <c r="L30" s="34" t="s">
        <v>48</v>
      </c>
      <c r="M30" s="33" t="n">
        <f>129.6</f>
        <v>129.6</v>
      </c>
      <c r="N30" s="34" t="s">
        <v>48</v>
      </c>
      <c r="O30" s="33" t="n">
        <f>100.7</f>
        <v>100.7</v>
      </c>
      <c r="P30" s="34" t="s">
        <v>68</v>
      </c>
      <c r="Q30" s="33" t="n">
        <f>102.4</f>
        <v>102.4</v>
      </c>
      <c r="R30" s="34" t="s">
        <v>49</v>
      </c>
      <c r="S30" s="35" t="n">
        <f>111.94</f>
        <v>111.94</v>
      </c>
      <c r="T30" s="32" t="n">
        <f>1868724280</f>
        <v>1.86872428E9</v>
      </c>
      <c r="U30" s="32" t="n">
        <f>22787510</f>
        <v>2.278751E7</v>
      </c>
      <c r="V30" s="32" t="n">
        <f>208156041802</f>
        <v>2.08156041802E11</v>
      </c>
      <c r="W30" s="32" t="n">
        <f>2531832897</f>
        <v>2.531832897E9</v>
      </c>
      <c r="X30" s="36" t="n">
        <f>18</f>
        <v>18.0</v>
      </c>
    </row>
    <row r="31">
      <c r="A31" s="27" t="s">
        <v>42</v>
      </c>
      <c r="B31" s="27" t="s">
        <v>130</v>
      </c>
      <c r="C31" s="27" t="s">
        <v>131</v>
      </c>
      <c r="D31" s="27" t="s">
        <v>132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3360</f>
        <v>3360.0</v>
      </c>
      <c r="L31" s="34" t="s">
        <v>48</v>
      </c>
      <c r="M31" s="33" t="n">
        <f>3642</f>
        <v>3642.0</v>
      </c>
      <c r="N31" s="34" t="s">
        <v>49</v>
      </c>
      <c r="O31" s="33" t="n">
        <f>3283</f>
        <v>3283.0</v>
      </c>
      <c r="P31" s="34" t="s">
        <v>48</v>
      </c>
      <c r="Q31" s="33" t="n">
        <f>3625</f>
        <v>3625.0</v>
      </c>
      <c r="R31" s="34" t="s">
        <v>49</v>
      </c>
      <c r="S31" s="35" t="n">
        <f>3494.94</f>
        <v>3494.94</v>
      </c>
      <c r="T31" s="32" t="n">
        <f>983865</f>
        <v>983865.0</v>
      </c>
      <c r="U31" s="32" t="n">
        <f>729420</f>
        <v>729420.0</v>
      </c>
      <c r="V31" s="32" t="n">
        <f>3450216735</f>
        <v>3.450216735E9</v>
      </c>
      <c r="W31" s="32" t="n">
        <f>2567699000</f>
        <v>2.567699E9</v>
      </c>
      <c r="X31" s="36" t="n">
        <f>18</f>
        <v>18.0</v>
      </c>
    </row>
    <row r="32">
      <c r="A32" s="27" t="s">
        <v>42</v>
      </c>
      <c r="B32" s="27" t="s">
        <v>133</v>
      </c>
      <c r="C32" s="27" t="s">
        <v>134</v>
      </c>
      <c r="D32" s="27" t="s">
        <v>135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74510</f>
        <v>74510.0</v>
      </c>
      <c r="L32" s="34" t="s">
        <v>48</v>
      </c>
      <c r="M32" s="33" t="n">
        <f>90820</f>
        <v>90820.0</v>
      </c>
      <c r="N32" s="34" t="s">
        <v>68</v>
      </c>
      <c r="O32" s="33" t="n">
        <f>71900</f>
        <v>71900.0</v>
      </c>
      <c r="P32" s="34" t="s">
        <v>48</v>
      </c>
      <c r="Q32" s="33" t="n">
        <f>89330</f>
        <v>89330.0</v>
      </c>
      <c r="R32" s="34" t="s">
        <v>49</v>
      </c>
      <c r="S32" s="35" t="n">
        <f>82565</f>
        <v>82565.0</v>
      </c>
      <c r="T32" s="32" t="n">
        <f>581555</f>
        <v>581555.0</v>
      </c>
      <c r="U32" s="32" t="n">
        <f>17216</f>
        <v>17216.0</v>
      </c>
      <c r="V32" s="32" t="n">
        <f>47739863546</f>
        <v>4.7739863546E10</v>
      </c>
      <c r="W32" s="32" t="n">
        <f>1414617256</f>
        <v>1.414617256E9</v>
      </c>
      <c r="X32" s="36" t="n">
        <f>18</f>
        <v>18.0</v>
      </c>
    </row>
    <row r="33">
      <c r="A33" s="27" t="s">
        <v>42</v>
      </c>
      <c r="B33" s="27" t="s">
        <v>136</v>
      </c>
      <c r="C33" s="27" t="s">
        <v>137</v>
      </c>
      <c r="D33" s="27" t="s">
        <v>138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128</f>
        <v>128.0</v>
      </c>
      <c r="L33" s="34" t="s">
        <v>48</v>
      </c>
      <c r="M33" s="33" t="n">
        <f>133</f>
        <v>133.0</v>
      </c>
      <c r="N33" s="34" t="s">
        <v>48</v>
      </c>
      <c r="O33" s="33" t="n">
        <f>102</f>
        <v>102.0</v>
      </c>
      <c r="P33" s="34" t="s">
        <v>68</v>
      </c>
      <c r="Q33" s="33" t="n">
        <f>104</f>
        <v>104.0</v>
      </c>
      <c r="R33" s="34" t="s">
        <v>49</v>
      </c>
      <c r="S33" s="35" t="n">
        <f>114.28</f>
        <v>114.28</v>
      </c>
      <c r="T33" s="32" t="n">
        <f>68101628</f>
        <v>6.8101628E7</v>
      </c>
      <c r="U33" s="32" t="n">
        <f>680318</f>
        <v>680318.0</v>
      </c>
      <c r="V33" s="32" t="n">
        <f>7816089454</f>
        <v>7.816089454E9</v>
      </c>
      <c r="W33" s="32" t="n">
        <f>77037603</f>
        <v>7.7037603E7</v>
      </c>
      <c r="X33" s="36" t="n">
        <f>18</f>
        <v>18.0</v>
      </c>
    </row>
    <row r="34">
      <c r="A34" s="27" t="s">
        <v>42</v>
      </c>
      <c r="B34" s="27" t="s">
        <v>139</v>
      </c>
      <c r="C34" s="27" t="s">
        <v>140</v>
      </c>
      <c r="D34" s="27" t="s">
        <v>141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61250</f>
        <v>61250.0</v>
      </c>
      <c r="L34" s="34" t="s">
        <v>48</v>
      </c>
      <c r="M34" s="33" t="n">
        <f>72930</f>
        <v>72930.0</v>
      </c>
      <c r="N34" s="34" t="s">
        <v>49</v>
      </c>
      <c r="O34" s="33" t="n">
        <f>58930</f>
        <v>58930.0</v>
      </c>
      <c r="P34" s="34" t="s">
        <v>48</v>
      </c>
      <c r="Q34" s="33" t="n">
        <f>72830</f>
        <v>72830.0</v>
      </c>
      <c r="R34" s="34" t="s">
        <v>49</v>
      </c>
      <c r="S34" s="35" t="n">
        <f>67326.11</f>
        <v>67326.11</v>
      </c>
      <c r="T34" s="32" t="n">
        <f>257157</f>
        <v>257157.0</v>
      </c>
      <c r="U34" s="32" t="n">
        <f>8327</f>
        <v>8327.0</v>
      </c>
      <c r="V34" s="32" t="n">
        <f>17319949059</f>
        <v>1.7319949059E10</v>
      </c>
      <c r="W34" s="32" t="n">
        <f>560711239</f>
        <v>5.60711239E8</v>
      </c>
      <c r="X34" s="36" t="n">
        <f>18</f>
        <v>18.0</v>
      </c>
    </row>
    <row r="35">
      <c r="A35" s="27" t="s">
        <v>42</v>
      </c>
      <c r="B35" s="27" t="s">
        <v>142</v>
      </c>
      <c r="C35" s="27" t="s">
        <v>143</v>
      </c>
      <c r="D35" s="27" t="s">
        <v>144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220</f>
        <v>220.0</v>
      </c>
      <c r="L35" s="34" t="s">
        <v>48</v>
      </c>
      <c r="M35" s="33" t="n">
        <f>230</f>
        <v>230.0</v>
      </c>
      <c r="N35" s="34" t="s">
        <v>48</v>
      </c>
      <c r="O35" s="33" t="n">
        <f>182</f>
        <v>182.0</v>
      </c>
      <c r="P35" s="34" t="s">
        <v>49</v>
      </c>
      <c r="Q35" s="33" t="n">
        <f>184</f>
        <v>184.0</v>
      </c>
      <c r="R35" s="34" t="s">
        <v>49</v>
      </c>
      <c r="S35" s="35" t="n">
        <f>199.72</f>
        <v>199.72</v>
      </c>
      <c r="T35" s="32" t="n">
        <f>3728521</f>
        <v>3728521.0</v>
      </c>
      <c r="U35" s="32" t="n">
        <f>2549</f>
        <v>2549.0</v>
      </c>
      <c r="V35" s="32" t="n">
        <f>755614959</f>
        <v>7.55614959E8</v>
      </c>
      <c r="W35" s="32" t="n">
        <f>495663</f>
        <v>495663.0</v>
      </c>
      <c r="X35" s="36" t="n">
        <f>18</f>
        <v>18.0</v>
      </c>
    </row>
    <row r="36">
      <c r="A36" s="27" t="s">
        <v>42</v>
      </c>
      <c r="B36" s="27" t="s">
        <v>145</v>
      </c>
      <c r="C36" s="27" t="s">
        <v>146</v>
      </c>
      <c r="D36" s="27" t="s">
        <v>147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53870</f>
        <v>53870.0</v>
      </c>
      <c r="L36" s="34" t="s">
        <v>48</v>
      </c>
      <c r="M36" s="33" t="n">
        <f>59600</f>
        <v>59600.0</v>
      </c>
      <c r="N36" s="34" t="s">
        <v>68</v>
      </c>
      <c r="O36" s="33" t="n">
        <f>52870</f>
        <v>52870.0</v>
      </c>
      <c r="P36" s="34" t="s">
        <v>48</v>
      </c>
      <c r="Q36" s="33" t="n">
        <f>58980</f>
        <v>58980.0</v>
      </c>
      <c r="R36" s="34" t="s">
        <v>49</v>
      </c>
      <c r="S36" s="35" t="n">
        <f>56721.11</f>
        <v>56721.11</v>
      </c>
      <c r="T36" s="32" t="n">
        <f>249286</f>
        <v>249286.0</v>
      </c>
      <c r="U36" s="32" t="n">
        <f>135513</f>
        <v>135513.0</v>
      </c>
      <c r="V36" s="32" t="n">
        <f>14202470205</f>
        <v>1.4202470205E10</v>
      </c>
      <c r="W36" s="32" t="n">
        <f>7776524195</f>
        <v>7.776524195E9</v>
      </c>
      <c r="X36" s="36" t="n">
        <f>18</f>
        <v>18.0</v>
      </c>
    </row>
    <row r="37">
      <c r="A37" s="27" t="s">
        <v>42</v>
      </c>
      <c r="B37" s="27" t="s">
        <v>148</v>
      </c>
      <c r="C37" s="27" t="s">
        <v>149</v>
      </c>
      <c r="D37" s="27" t="s">
        <v>150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54270</f>
        <v>54270.0</v>
      </c>
      <c r="L37" s="34" t="s">
        <v>48</v>
      </c>
      <c r="M37" s="33" t="n">
        <f>60020</f>
        <v>60020.0</v>
      </c>
      <c r="N37" s="34" t="s">
        <v>68</v>
      </c>
      <c r="O37" s="33" t="n">
        <f>53280</f>
        <v>53280.0</v>
      </c>
      <c r="P37" s="34" t="s">
        <v>48</v>
      </c>
      <c r="Q37" s="33" t="n">
        <f>59500</f>
        <v>59500.0</v>
      </c>
      <c r="R37" s="34" t="s">
        <v>49</v>
      </c>
      <c r="S37" s="35" t="n">
        <f>57128.33</f>
        <v>57128.33</v>
      </c>
      <c r="T37" s="32" t="n">
        <f>63633</f>
        <v>63633.0</v>
      </c>
      <c r="U37" s="32" t="n">
        <f>38562</f>
        <v>38562.0</v>
      </c>
      <c r="V37" s="32" t="n">
        <f>3632144500</f>
        <v>3.6321445E9</v>
      </c>
      <c r="W37" s="32" t="n">
        <f>2206824830</f>
        <v>2.20682483E9</v>
      </c>
      <c r="X37" s="36" t="n">
        <f>18</f>
        <v>18.0</v>
      </c>
    </row>
    <row r="38">
      <c r="A38" s="27" t="s">
        <v>42</v>
      </c>
      <c r="B38" s="27" t="s">
        <v>151</v>
      </c>
      <c r="C38" s="27" t="s">
        <v>152</v>
      </c>
      <c r="D38" s="27" t="s">
        <v>153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10.0</v>
      </c>
      <c r="K38" s="33" t="n">
        <f>2052.5</f>
        <v>2052.5</v>
      </c>
      <c r="L38" s="34" t="s">
        <v>48</v>
      </c>
      <c r="M38" s="33" t="n">
        <f>2113</f>
        <v>2113.0</v>
      </c>
      <c r="N38" s="34" t="s">
        <v>68</v>
      </c>
      <c r="O38" s="33" t="n">
        <f>2040.5</f>
        <v>2040.5</v>
      </c>
      <c r="P38" s="34" t="s">
        <v>48</v>
      </c>
      <c r="Q38" s="33" t="n">
        <f>2079.5</f>
        <v>2079.5</v>
      </c>
      <c r="R38" s="34" t="s">
        <v>49</v>
      </c>
      <c r="S38" s="35" t="n">
        <f>2071.08</f>
        <v>2071.08</v>
      </c>
      <c r="T38" s="32" t="n">
        <f>23116210</f>
        <v>2.311621E7</v>
      </c>
      <c r="U38" s="32" t="n">
        <f>1673310</f>
        <v>1673310.0</v>
      </c>
      <c r="V38" s="32" t="n">
        <f>47753760333</f>
        <v>4.7753760333E10</v>
      </c>
      <c r="W38" s="32" t="n">
        <f>3453066478</f>
        <v>3.453066478E9</v>
      </c>
      <c r="X38" s="36" t="n">
        <f>18</f>
        <v>18.0</v>
      </c>
    </row>
    <row r="39">
      <c r="A39" s="27" t="s">
        <v>42</v>
      </c>
      <c r="B39" s="27" t="s">
        <v>154</v>
      </c>
      <c r="C39" s="27" t="s">
        <v>155</v>
      </c>
      <c r="D39" s="27" t="s">
        <v>156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2848</f>
        <v>2848.0</v>
      </c>
      <c r="L39" s="34" t="s">
        <v>48</v>
      </c>
      <c r="M39" s="33" t="n">
        <f>3137</f>
        <v>3137.0</v>
      </c>
      <c r="N39" s="34" t="s">
        <v>49</v>
      </c>
      <c r="O39" s="33" t="n">
        <f>2800</f>
        <v>2800.0</v>
      </c>
      <c r="P39" s="34" t="s">
        <v>48</v>
      </c>
      <c r="Q39" s="33" t="n">
        <f>3135</f>
        <v>3135.0</v>
      </c>
      <c r="R39" s="34" t="s">
        <v>49</v>
      </c>
      <c r="S39" s="35" t="n">
        <f>3005.56</f>
        <v>3005.56</v>
      </c>
      <c r="T39" s="32" t="n">
        <f>698468</f>
        <v>698468.0</v>
      </c>
      <c r="U39" s="32" t="n">
        <f>660300</f>
        <v>660300.0</v>
      </c>
      <c r="V39" s="32" t="n">
        <f>2108837130</f>
        <v>2.10883713E9</v>
      </c>
      <c r="W39" s="32" t="n">
        <f>1993390648</f>
        <v>1.993390648E9</v>
      </c>
      <c r="X39" s="36" t="n">
        <f>18</f>
        <v>18.0</v>
      </c>
    </row>
    <row r="40">
      <c r="A40" s="27" t="s">
        <v>42</v>
      </c>
      <c r="B40" s="27" t="s">
        <v>157</v>
      </c>
      <c r="C40" s="27" t="s">
        <v>158</v>
      </c>
      <c r="D40" s="27" t="s">
        <v>159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1967</f>
        <v>1967.0</v>
      </c>
      <c r="L40" s="34" t="s">
        <v>69</v>
      </c>
      <c r="M40" s="33" t="n">
        <f>1979</f>
        <v>1979.0</v>
      </c>
      <c r="N40" s="34" t="s">
        <v>160</v>
      </c>
      <c r="O40" s="33" t="n">
        <f>1930</f>
        <v>1930.0</v>
      </c>
      <c r="P40" s="34" t="s">
        <v>49</v>
      </c>
      <c r="Q40" s="33" t="n">
        <f>1932</f>
        <v>1932.0</v>
      </c>
      <c r="R40" s="34" t="s">
        <v>49</v>
      </c>
      <c r="S40" s="35" t="n">
        <f>1950.5</f>
        <v>1950.5</v>
      </c>
      <c r="T40" s="32" t="n">
        <f>579827</f>
        <v>579827.0</v>
      </c>
      <c r="U40" s="32" t="n">
        <f>517000</f>
        <v>517000.0</v>
      </c>
      <c r="V40" s="32" t="n">
        <f>1120587180</f>
        <v>1.12058718E9</v>
      </c>
      <c r="W40" s="32" t="n">
        <f>999154200</f>
        <v>9.991542E8</v>
      </c>
      <c r="X40" s="36" t="n">
        <f>12</f>
        <v>12.0</v>
      </c>
    </row>
    <row r="41">
      <c r="A41" s="27" t="s">
        <v>42</v>
      </c>
      <c r="B41" s="27" t="s">
        <v>161</v>
      </c>
      <c r="C41" s="27" t="s">
        <v>162</v>
      </c>
      <c r="D41" s="27" t="s">
        <v>163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1659</f>
        <v>1659.0</v>
      </c>
      <c r="L41" s="34" t="s">
        <v>48</v>
      </c>
      <c r="M41" s="33" t="n">
        <f>1687</f>
        <v>1687.0</v>
      </c>
      <c r="N41" s="34" t="s">
        <v>48</v>
      </c>
      <c r="O41" s="33" t="n">
        <f>1490</f>
        <v>1490.0</v>
      </c>
      <c r="P41" s="34" t="s">
        <v>68</v>
      </c>
      <c r="Q41" s="33" t="n">
        <f>1503</f>
        <v>1503.0</v>
      </c>
      <c r="R41" s="34" t="s">
        <v>49</v>
      </c>
      <c r="S41" s="35" t="n">
        <f>1568.89</f>
        <v>1568.89</v>
      </c>
      <c r="T41" s="32" t="n">
        <f>3635300</f>
        <v>3635300.0</v>
      </c>
      <c r="U41" s="32" t="n">
        <f>2742110</f>
        <v>2742110.0</v>
      </c>
      <c r="V41" s="32" t="n">
        <f>5732096186</f>
        <v>5.732096186E9</v>
      </c>
      <c r="W41" s="32" t="n">
        <f>4330649390</f>
        <v>4.33064939E9</v>
      </c>
      <c r="X41" s="36" t="n">
        <f>18</f>
        <v>18.0</v>
      </c>
    </row>
    <row r="42">
      <c r="A42" s="27" t="s">
        <v>42</v>
      </c>
      <c r="B42" s="27" t="s">
        <v>164</v>
      </c>
      <c r="C42" s="27" t="s">
        <v>165</v>
      </c>
      <c r="D42" s="27" t="s">
        <v>166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2080</f>
        <v>2080.0</v>
      </c>
      <c r="L42" s="34" t="s">
        <v>48</v>
      </c>
      <c r="M42" s="33" t="n">
        <f>2122</f>
        <v>2122.0</v>
      </c>
      <c r="N42" s="34" t="s">
        <v>48</v>
      </c>
      <c r="O42" s="33" t="n">
        <f>1898</f>
        <v>1898.0</v>
      </c>
      <c r="P42" s="34" t="s">
        <v>49</v>
      </c>
      <c r="Q42" s="33" t="n">
        <f>1899</f>
        <v>1899.0</v>
      </c>
      <c r="R42" s="34" t="s">
        <v>49</v>
      </c>
      <c r="S42" s="35" t="n">
        <f>1981.28</f>
        <v>1981.28</v>
      </c>
      <c r="T42" s="32" t="n">
        <f>15670895</f>
        <v>1.5670895E7</v>
      </c>
      <c r="U42" s="32" t="n">
        <f>15544046</f>
        <v>1.5544046E7</v>
      </c>
      <c r="V42" s="32" t="n">
        <f>30824045116</f>
        <v>3.0824045116E10</v>
      </c>
      <c r="W42" s="32" t="n">
        <f>30572211144</f>
        <v>3.0572211144E10</v>
      </c>
      <c r="X42" s="36" t="n">
        <f>18</f>
        <v>18.0</v>
      </c>
    </row>
    <row r="43">
      <c r="A43" s="27" t="s">
        <v>42</v>
      </c>
      <c r="B43" s="27" t="s">
        <v>167</v>
      </c>
      <c r="C43" s="27" t="s">
        <v>168</v>
      </c>
      <c r="D43" s="27" t="s">
        <v>169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57690</f>
        <v>57690.0</v>
      </c>
      <c r="L43" s="34" t="s">
        <v>48</v>
      </c>
      <c r="M43" s="33" t="n">
        <f>70440</f>
        <v>70440.0</v>
      </c>
      <c r="N43" s="34" t="s">
        <v>68</v>
      </c>
      <c r="O43" s="33" t="n">
        <f>55680</f>
        <v>55680.0</v>
      </c>
      <c r="P43" s="34" t="s">
        <v>48</v>
      </c>
      <c r="Q43" s="33" t="n">
        <f>69280</f>
        <v>69280.0</v>
      </c>
      <c r="R43" s="34" t="s">
        <v>49</v>
      </c>
      <c r="S43" s="35" t="n">
        <f>63991.11</f>
        <v>63991.11</v>
      </c>
      <c r="T43" s="32" t="n">
        <f>4463026</f>
        <v>4463026.0</v>
      </c>
      <c r="U43" s="32" t="n">
        <f>9568</f>
        <v>9568.0</v>
      </c>
      <c r="V43" s="32" t="n">
        <f>284250838214</f>
        <v>2.84250838214E11</v>
      </c>
      <c r="W43" s="32" t="n">
        <f>600788014</f>
        <v>6.00788014E8</v>
      </c>
      <c r="X43" s="36" t="n">
        <f>18</f>
        <v>18.0</v>
      </c>
    </row>
    <row r="44">
      <c r="A44" s="27" t="s">
        <v>42</v>
      </c>
      <c r="B44" s="27" t="s">
        <v>170</v>
      </c>
      <c r="C44" s="27" t="s">
        <v>171</v>
      </c>
      <c r="D44" s="27" t="s">
        <v>172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206</f>
        <v>206.0</v>
      </c>
      <c r="L44" s="34" t="s">
        <v>48</v>
      </c>
      <c r="M44" s="33" t="n">
        <f>213</f>
        <v>213.0</v>
      </c>
      <c r="N44" s="34" t="s">
        <v>48</v>
      </c>
      <c r="O44" s="33" t="n">
        <f>165</f>
        <v>165.0</v>
      </c>
      <c r="P44" s="34" t="s">
        <v>68</v>
      </c>
      <c r="Q44" s="33" t="n">
        <f>168</f>
        <v>168.0</v>
      </c>
      <c r="R44" s="34" t="s">
        <v>49</v>
      </c>
      <c r="S44" s="35" t="n">
        <f>183.56</f>
        <v>183.56</v>
      </c>
      <c r="T44" s="32" t="n">
        <f>226151515</f>
        <v>2.26151515E8</v>
      </c>
      <c r="U44" s="32" t="n">
        <f>4617764</f>
        <v>4617764.0</v>
      </c>
      <c r="V44" s="32" t="n">
        <f>41592638787</f>
        <v>4.1592638787E10</v>
      </c>
      <c r="W44" s="32" t="n">
        <f>843445735</f>
        <v>8.43445735E8</v>
      </c>
      <c r="X44" s="36" t="n">
        <f>18</f>
        <v>18.0</v>
      </c>
    </row>
    <row r="45">
      <c r="A45" s="27" t="s">
        <v>42</v>
      </c>
      <c r="B45" s="27" t="s">
        <v>173</v>
      </c>
      <c r="C45" s="27" t="s">
        <v>174</v>
      </c>
      <c r="D45" s="27" t="s">
        <v>175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287</f>
        <v>287.0</v>
      </c>
      <c r="L45" s="34" t="s">
        <v>48</v>
      </c>
      <c r="M45" s="33" t="n">
        <f>296</f>
        <v>296.0</v>
      </c>
      <c r="N45" s="34" t="s">
        <v>48</v>
      </c>
      <c r="O45" s="33" t="n">
        <f>236</f>
        <v>236.0</v>
      </c>
      <c r="P45" s="34" t="s">
        <v>49</v>
      </c>
      <c r="Q45" s="33" t="n">
        <f>236</f>
        <v>236.0</v>
      </c>
      <c r="R45" s="34" t="s">
        <v>49</v>
      </c>
      <c r="S45" s="35" t="n">
        <f>258.11</f>
        <v>258.11</v>
      </c>
      <c r="T45" s="32" t="n">
        <f>177614</f>
        <v>177614.0</v>
      </c>
      <c r="U45" s="32" t="str">
        <f>"－"</f>
        <v>－</v>
      </c>
      <c r="V45" s="32" t="n">
        <f>44596015</f>
        <v>4.4596015E7</v>
      </c>
      <c r="W45" s="32" t="str">
        <f>"－"</f>
        <v>－</v>
      </c>
      <c r="X45" s="36" t="n">
        <f>18</f>
        <v>18.0</v>
      </c>
    </row>
    <row r="46">
      <c r="A46" s="27" t="s">
        <v>42</v>
      </c>
      <c r="B46" s="27" t="s">
        <v>176</v>
      </c>
      <c r="C46" s="27" t="s">
        <v>177</v>
      </c>
      <c r="D46" s="27" t="s">
        <v>178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10.0</v>
      </c>
      <c r="K46" s="33" t="n">
        <f>274.7</f>
        <v>274.7</v>
      </c>
      <c r="L46" s="34" t="s">
        <v>48</v>
      </c>
      <c r="M46" s="33" t="n">
        <f>280.6</f>
        <v>280.6</v>
      </c>
      <c r="N46" s="34" t="s">
        <v>48</v>
      </c>
      <c r="O46" s="33" t="n">
        <f>224</f>
        <v>224.0</v>
      </c>
      <c r="P46" s="34" t="s">
        <v>49</v>
      </c>
      <c r="Q46" s="33" t="n">
        <f>224</f>
        <v>224.0</v>
      </c>
      <c r="R46" s="34" t="s">
        <v>49</v>
      </c>
      <c r="S46" s="35" t="n">
        <f>245.48</f>
        <v>245.48</v>
      </c>
      <c r="T46" s="32" t="n">
        <f>363080</f>
        <v>363080.0</v>
      </c>
      <c r="U46" s="32" t="n">
        <f>3850</f>
        <v>3850.0</v>
      </c>
      <c r="V46" s="32" t="n">
        <f>86495859</f>
        <v>8.6495859E7</v>
      </c>
      <c r="W46" s="32" t="n">
        <f>929666</f>
        <v>929666.0</v>
      </c>
      <c r="X46" s="36" t="n">
        <f>18</f>
        <v>18.0</v>
      </c>
    </row>
    <row r="47">
      <c r="A47" s="27" t="s">
        <v>42</v>
      </c>
      <c r="B47" s="27" t="s">
        <v>179</v>
      </c>
      <c r="C47" s="27" t="s">
        <v>180</v>
      </c>
      <c r="D47" s="27" t="s">
        <v>181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114</f>
        <v>114.0</v>
      </c>
      <c r="L47" s="34" t="s">
        <v>48</v>
      </c>
      <c r="M47" s="33" t="n">
        <f>116</f>
        <v>116.0</v>
      </c>
      <c r="N47" s="34" t="s">
        <v>48</v>
      </c>
      <c r="O47" s="33" t="n">
        <f>92</f>
        <v>92.0</v>
      </c>
      <c r="P47" s="34" t="s">
        <v>49</v>
      </c>
      <c r="Q47" s="33" t="n">
        <f>92</f>
        <v>92.0</v>
      </c>
      <c r="R47" s="34" t="s">
        <v>49</v>
      </c>
      <c r="S47" s="35" t="n">
        <f>101.72</f>
        <v>101.72</v>
      </c>
      <c r="T47" s="32" t="n">
        <f>343398</f>
        <v>343398.0</v>
      </c>
      <c r="U47" s="32" t="str">
        <f>"－"</f>
        <v>－</v>
      </c>
      <c r="V47" s="32" t="n">
        <f>33967842</f>
        <v>3.3967842E7</v>
      </c>
      <c r="W47" s="32" t="str">
        <f>"－"</f>
        <v>－</v>
      </c>
      <c r="X47" s="36" t="n">
        <f>18</f>
        <v>18.0</v>
      </c>
    </row>
    <row r="48">
      <c r="A48" s="27" t="s">
        <v>42</v>
      </c>
      <c r="B48" s="27" t="s">
        <v>182</v>
      </c>
      <c r="C48" s="27" t="s">
        <v>183</v>
      </c>
      <c r="D48" s="27" t="s">
        <v>184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10.0</v>
      </c>
      <c r="K48" s="33" t="n">
        <f>3672</f>
        <v>3672.0</v>
      </c>
      <c r="L48" s="34" t="s">
        <v>48</v>
      </c>
      <c r="M48" s="33" t="n">
        <f>4008</f>
        <v>4008.0</v>
      </c>
      <c r="N48" s="34" t="s">
        <v>49</v>
      </c>
      <c r="O48" s="33" t="n">
        <f>3593</f>
        <v>3593.0</v>
      </c>
      <c r="P48" s="34" t="s">
        <v>48</v>
      </c>
      <c r="Q48" s="33" t="n">
        <f>4008</f>
        <v>4008.0</v>
      </c>
      <c r="R48" s="34" t="s">
        <v>49</v>
      </c>
      <c r="S48" s="35" t="n">
        <f>3846.89</f>
        <v>3846.89</v>
      </c>
      <c r="T48" s="32" t="n">
        <f>21608100</f>
        <v>2.16081E7</v>
      </c>
      <c r="U48" s="32" t="n">
        <f>21147540</f>
        <v>2.114754E7</v>
      </c>
      <c r="V48" s="32" t="n">
        <f>83414319865</f>
        <v>8.3414319865E10</v>
      </c>
      <c r="W48" s="32" t="n">
        <f>81653084615</f>
        <v>8.1653084615E10</v>
      </c>
      <c r="X48" s="36" t="n">
        <f>18</f>
        <v>18.0</v>
      </c>
    </row>
    <row r="49">
      <c r="A49" s="27" t="s">
        <v>42</v>
      </c>
      <c r="B49" s="27" t="s">
        <v>185</v>
      </c>
      <c r="C49" s="27" t="s">
        <v>186</v>
      </c>
      <c r="D49" s="27" t="s">
        <v>187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32980</f>
        <v>32980.0</v>
      </c>
      <c r="L49" s="34" t="s">
        <v>48</v>
      </c>
      <c r="M49" s="33" t="n">
        <f>36020</f>
        <v>36020.0</v>
      </c>
      <c r="N49" s="34" t="s">
        <v>49</v>
      </c>
      <c r="O49" s="33" t="n">
        <f>32150</f>
        <v>32150.0</v>
      </c>
      <c r="P49" s="34" t="s">
        <v>48</v>
      </c>
      <c r="Q49" s="33" t="n">
        <f>35980</f>
        <v>35980.0</v>
      </c>
      <c r="R49" s="34" t="s">
        <v>49</v>
      </c>
      <c r="S49" s="35" t="n">
        <f>34503.33</f>
        <v>34503.33</v>
      </c>
      <c r="T49" s="32" t="n">
        <f>10585</f>
        <v>10585.0</v>
      </c>
      <c r="U49" s="32" t="str">
        <f>"－"</f>
        <v>－</v>
      </c>
      <c r="V49" s="32" t="n">
        <f>369970580</f>
        <v>3.6997058E8</v>
      </c>
      <c r="W49" s="32" t="str">
        <f>"－"</f>
        <v>－</v>
      </c>
      <c r="X49" s="36" t="n">
        <f>18</f>
        <v>18.0</v>
      </c>
    </row>
    <row r="50">
      <c r="A50" s="27" t="s">
        <v>42</v>
      </c>
      <c r="B50" s="27" t="s">
        <v>188</v>
      </c>
      <c r="C50" s="27" t="s">
        <v>189</v>
      </c>
      <c r="D50" s="27" t="s">
        <v>190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10.0</v>
      </c>
      <c r="K50" s="33" t="n">
        <f>373.2</f>
        <v>373.2</v>
      </c>
      <c r="L50" s="34" t="s">
        <v>48</v>
      </c>
      <c r="M50" s="33" t="n">
        <f>404</f>
        <v>404.0</v>
      </c>
      <c r="N50" s="34" t="s">
        <v>49</v>
      </c>
      <c r="O50" s="33" t="n">
        <f>365.4</f>
        <v>365.4</v>
      </c>
      <c r="P50" s="34" t="s">
        <v>48</v>
      </c>
      <c r="Q50" s="33" t="n">
        <f>404</f>
        <v>404.0</v>
      </c>
      <c r="R50" s="34" t="s">
        <v>49</v>
      </c>
      <c r="S50" s="35" t="n">
        <f>388.55</f>
        <v>388.55</v>
      </c>
      <c r="T50" s="32" t="n">
        <f>213047930</f>
        <v>2.1304793E8</v>
      </c>
      <c r="U50" s="32" t="n">
        <f>41148240</f>
        <v>4.114824E7</v>
      </c>
      <c r="V50" s="32" t="n">
        <f>83332402975</f>
        <v>8.3332402975E10</v>
      </c>
      <c r="W50" s="32" t="n">
        <f>16137871241</f>
        <v>1.6137871241E10</v>
      </c>
      <c r="X50" s="36" t="n">
        <f>18</f>
        <v>18.0</v>
      </c>
    </row>
    <row r="51">
      <c r="A51" s="27" t="s">
        <v>42</v>
      </c>
      <c r="B51" s="27" t="s">
        <v>191</v>
      </c>
      <c r="C51" s="27" t="s">
        <v>192</v>
      </c>
      <c r="D51" s="27" t="s">
        <v>193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2077</f>
        <v>2077.0</v>
      </c>
      <c r="L51" s="34" t="s">
        <v>48</v>
      </c>
      <c r="M51" s="33" t="n">
        <f>2109</f>
        <v>2109.0</v>
      </c>
      <c r="N51" s="34" t="s">
        <v>68</v>
      </c>
      <c r="O51" s="33" t="n">
        <f>2035</f>
        <v>2035.0</v>
      </c>
      <c r="P51" s="34" t="s">
        <v>160</v>
      </c>
      <c r="Q51" s="33" t="n">
        <f>2076</f>
        <v>2076.0</v>
      </c>
      <c r="R51" s="34" t="s">
        <v>49</v>
      </c>
      <c r="S51" s="35" t="n">
        <f>2071.61</f>
        <v>2071.61</v>
      </c>
      <c r="T51" s="32" t="n">
        <f>7109856</f>
        <v>7109856.0</v>
      </c>
      <c r="U51" s="32" t="n">
        <f>4212809</f>
        <v>4212809.0</v>
      </c>
      <c r="V51" s="32" t="n">
        <f>14692005048</f>
        <v>1.4692005048E10</v>
      </c>
      <c r="W51" s="32" t="n">
        <f>8697464662</f>
        <v>8.697464662E9</v>
      </c>
      <c r="X51" s="36" t="n">
        <f>18</f>
        <v>18.0</v>
      </c>
    </row>
    <row r="52">
      <c r="A52" s="27" t="s">
        <v>42</v>
      </c>
      <c r="B52" s="27" t="s">
        <v>194</v>
      </c>
      <c r="C52" s="27" t="s">
        <v>195</v>
      </c>
      <c r="D52" s="27" t="s">
        <v>196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3123</f>
        <v>3123.0</v>
      </c>
      <c r="L52" s="34" t="s">
        <v>48</v>
      </c>
      <c r="M52" s="33" t="n">
        <f>3385</f>
        <v>3385.0</v>
      </c>
      <c r="N52" s="34" t="s">
        <v>48</v>
      </c>
      <c r="O52" s="33" t="n">
        <f>3080</f>
        <v>3080.0</v>
      </c>
      <c r="P52" s="34" t="s">
        <v>48</v>
      </c>
      <c r="Q52" s="33" t="n">
        <f>3329</f>
        <v>3329.0</v>
      </c>
      <c r="R52" s="34" t="s">
        <v>49</v>
      </c>
      <c r="S52" s="35" t="n">
        <f>3228.17</f>
        <v>3228.17</v>
      </c>
      <c r="T52" s="32" t="n">
        <f>696499</f>
        <v>696499.0</v>
      </c>
      <c r="U52" s="32" t="n">
        <f>366789</f>
        <v>366789.0</v>
      </c>
      <c r="V52" s="32" t="n">
        <f>2236100997</f>
        <v>2.236100997E9</v>
      </c>
      <c r="W52" s="32" t="n">
        <f>1185611385</f>
        <v>1.185611385E9</v>
      </c>
      <c r="X52" s="36" t="n">
        <f>18</f>
        <v>18.0</v>
      </c>
    </row>
    <row r="53">
      <c r="A53" s="27" t="s">
        <v>42</v>
      </c>
      <c r="B53" s="27" t="s">
        <v>197</v>
      </c>
      <c r="C53" s="27" t="s">
        <v>198</v>
      </c>
      <c r="D53" s="27" t="s">
        <v>199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4850</f>
        <v>4850.0</v>
      </c>
      <c r="L53" s="34" t="s">
        <v>48</v>
      </c>
      <c r="M53" s="33" t="n">
        <f>5274</f>
        <v>5274.0</v>
      </c>
      <c r="N53" s="34" t="s">
        <v>49</v>
      </c>
      <c r="O53" s="33" t="n">
        <f>4777</f>
        <v>4777.0</v>
      </c>
      <c r="P53" s="34" t="s">
        <v>48</v>
      </c>
      <c r="Q53" s="33" t="n">
        <f>5259</f>
        <v>5259.0</v>
      </c>
      <c r="R53" s="34" t="s">
        <v>49</v>
      </c>
      <c r="S53" s="35" t="n">
        <f>5092.28</f>
        <v>5092.28</v>
      </c>
      <c r="T53" s="32" t="n">
        <f>3006098</f>
        <v>3006098.0</v>
      </c>
      <c r="U53" s="32" t="n">
        <f>1625353</f>
        <v>1625353.0</v>
      </c>
      <c r="V53" s="32" t="n">
        <f>15315000430</f>
        <v>1.531500043E10</v>
      </c>
      <c r="W53" s="32" t="n">
        <f>8273029789</f>
        <v>8.273029789E9</v>
      </c>
      <c r="X53" s="36" t="n">
        <f>18</f>
        <v>18.0</v>
      </c>
    </row>
    <row r="54">
      <c r="A54" s="27" t="s">
        <v>42</v>
      </c>
      <c r="B54" s="27" t="s">
        <v>200</v>
      </c>
      <c r="C54" s="27" t="s">
        <v>201</v>
      </c>
      <c r="D54" s="27" t="s">
        <v>202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45960</f>
        <v>45960.0</v>
      </c>
      <c r="L54" s="34" t="s">
        <v>101</v>
      </c>
      <c r="M54" s="33" t="n">
        <f>49650</f>
        <v>49650.0</v>
      </c>
      <c r="N54" s="34" t="s">
        <v>203</v>
      </c>
      <c r="O54" s="33" t="n">
        <f>45960</f>
        <v>45960.0</v>
      </c>
      <c r="P54" s="34" t="s">
        <v>101</v>
      </c>
      <c r="Q54" s="33" t="n">
        <f>47990</f>
        <v>47990.0</v>
      </c>
      <c r="R54" s="34" t="s">
        <v>49</v>
      </c>
      <c r="S54" s="35" t="n">
        <f>47916</f>
        <v>47916.0</v>
      </c>
      <c r="T54" s="32" t="n">
        <f>78</f>
        <v>78.0</v>
      </c>
      <c r="U54" s="32" t="n">
        <f>3</f>
        <v>3.0</v>
      </c>
      <c r="V54" s="32" t="n">
        <f>3701023</f>
        <v>3701023.0</v>
      </c>
      <c r="W54" s="32" t="n">
        <f>141903</f>
        <v>141903.0</v>
      </c>
      <c r="X54" s="36" t="n">
        <f>10</f>
        <v>10.0</v>
      </c>
    </row>
    <row r="55">
      <c r="A55" s="27" t="s">
        <v>42</v>
      </c>
      <c r="B55" s="27" t="s">
        <v>204</v>
      </c>
      <c r="C55" s="27" t="s">
        <v>205</v>
      </c>
      <c r="D55" s="27" t="s">
        <v>206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34850</f>
        <v>34850.0</v>
      </c>
      <c r="L55" s="34" t="s">
        <v>48</v>
      </c>
      <c r="M55" s="33" t="n">
        <f>37830</f>
        <v>37830.0</v>
      </c>
      <c r="N55" s="34" t="s">
        <v>49</v>
      </c>
      <c r="O55" s="33" t="n">
        <f>34240</f>
        <v>34240.0</v>
      </c>
      <c r="P55" s="34" t="s">
        <v>48</v>
      </c>
      <c r="Q55" s="33" t="n">
        <f>37830</f>
        <v>37830.0</v>
      </c>
      <c r="R55" s="34" t="s">
        <v>49</v>
      </c>
      <c r="S55" s="35" t="n">
        <f>36138.33</f>
        <v>36138.33</v>
      </c>
      <c r="T55" s="32" t="n">
        <f>147</f>
        <v>147.0</v>
      </c>
      <c r="U55" s="32" t="n">
        <f>4</f>
        <v>4.0</v>
      </c>
      <c r="V55" s="32" t="n">
        <f>5135634</f>
        <v>5135634.0</v>
      </c>
      <c r="W55" s="32" t="n">
        <f>146724</f>
        <v>146724.0</v>
      </c>
      <c r="X55" s="36" t="n">
        <f>12</f>
        <v>12.0</v>
      </c>
    </row>
    <row r="56">
      <c r="A56" s="27" t="s">
        <v>42</v>
      </c>
      <c r="B56" s="27" t="s">
        <v>207</v>
      </c>
      <c r="C56" s="27" t="s">
        <v>208</v>
      </c>
      <c r="D56" s="27" t="s">
        <v>209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3376</f>
        <v>3376.0</v>
      </c>
      <c r="L56" s="34" t="s">
        <v>48</v>
      </c>
      <c r="M56" s="33" t="n">
        <f>3635</f>
        <v>3635.0</v>
      </c>
      <c r="N56" s="34" t="s">
        <v>160</v>
      </c>
      <c r="O56" s="33" t="n">
        <f>3350</f>
        <v>3350.0</v>
      </c>
      <c r="P56" s="34" t="s">
        <v>48</v>
      </c>
      <c r="Q56" s="33" t="n">
        <f>3588</f>
        <v>3588.0</v>
      </c>
      <c r="R56" s="34" t="s">
        <v>49</v>
      </c>
      <c r="S56" s="35" t="n">
        <f>3471.47</f>
        <v>3471.47</v>
      </c>
      <c r="T56" s="32" t="n">
        <f>5964</f>
        <v>5964.0</v>
      </c>
      <c r="U56" s="32" t="str">
        <f>"－"</f>
        <v>－</v>
      </c>
      <c r="V56" s="32" t="n">
        <f>20890134</f>
        <v>2.0890134E7</v>
      </c>
      <c r="W56" s="32" t="str">
        <f>"－"</f>
        <v>－</v>
      </c>
      <c r="X56" s="36" t="n">
        <f>15</f>
        <v>15.0</v>
      </c>
    </row>
    <row r="57">
      <c r="A57" s="27" t="s">
        <v>42</v>
      </c>
      <c r="B57" s="27" t="s">
        <v>210</v>
      </c>
      <c r="C57" s="27" t="s">
        <v>211</v>
      </c>
      <c r="D57" s="27" t="s">
        <v>212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1614</f>
        <v>1614.0</v>
      </c>
      <c r="L57" s="34" t="s">
        <v>48</v>
      </c>
      <c r="M57" s="33" t="n">
        <f>1646</f>
        <v>1646.0</v>
      </c>
      <c r="N57" s="34" t="s">
        <v>49</v>
      </c>
      <c r="O57" s="33" t="n">
        <f>1609</f>
        <v>1609.0</v>
      </c>
      <c r="P57" s="34" t="s">
        <v>60</v>
      </c>
      <c r="Q57" s="33" t="n">
        <f>1646</f>
        <v>1646.0</v>
      </c>
      <c r="R57" s="34" t="s">
        <v>49</v>
      </c>
      <c r="S57" s="35" t="n">
        <f>1627.61</f>
        <v>1627.61</v>
      </c>
      <c r="T57" s="32" t="n">
        <f>7832462</f>
        <v>7832462.0</v>
      </c>
      <c r="U57" s="32" t="n">
        <f>5724011</f>
        <v>5724011.0</v>
      </c>
      <c r="V57" s="32" t="n">
        <f>12780405331</f>
        <v>1.2780405331E10</v>
      </c>
      <c r="W57" s="32" t="n">
        <f>9355329600</f>
        <v>9.3553296E9</v>
      </c>
      <c r="X57" s="36" t="n">
        <f>18</f>
        <v>18.0</v>
      </c>
    </row>
    <row r="58">
      <c r="A58" s="27" t="s">
        <v>42</v>
      </c>
      <c r="B58" s="27" t="s">
        <v>213</v>
      </c>
      <c r="C58" s="27" t="s">
        <v>214</v>
      </c>
      <c r="D58" s="27" t="s">
        <v>215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3400</f>
        <v>3400.0</v>
      </c>
      <c r="L58" s="34" t="s">
        <v>60</v>
      </c>
      <c r="M58" s="33" t="n">
        <f>3513</f>
        <v>3513.0</v>
      </c>
      <c r="N58" s="34" t="s">
        <v>105</v>
      </c>
      <c r="O58" s="33" t="n">
        <f>3367</f>
        <v>3367.0</v>
      </c>
      <c r="P58" s="34" t="s">
        <v>94</v>
      </c>
      <c r="Q58" s="33" t="n">
        <f>3497</f>
        <v>3497.0</v>
      </c>
      <c r="R58" s="34" t="s">
        <v>68</v>
      </c>
      <c r="S58" s="35" t="n">
        <f>3439.14</f>
        <v>3439.14</v>
      </c>
      <c r="T58" s="32" t="n">
        <f>382</f>
        <v>382.0</v>
      </c>
      <c r="U58" s="32" t="str">
        <f>"－"</f>
        <v>－</v>
      </c>
      <c r="V58" s="32" t="n">
        <f>1311762</f>
        <v>1311762.0</v>
      </c>
      <c r="W58" s="32" t="str">
        <f>"－"</f>
        <v>－</v>
      </c>
      <c r="X58" s="36" t="n">
        <f>14</f>
        <v>14.0</v>
      </c>
    </row>
    <row r="59">
      <c r="A59" s="27" t="s">
        <v>42</v>
      </c>
      <c r="B59" s="27" t="s">
        <v>216</v>
      </c>
      <c r="C59" s="27" t="s">
        <v>217</v>
      </c>
      <c r="D59" s="27" t="s">
        <v>218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10.0</v>
      </c>
      <c r="K59" s="33" t="n">
        <f>3301</f>
        <v>3301.0</v>
      </c>
      <c r="L59" s="34" t="s">
        <v>48</v>
      </c>
      <c r="M59" s="33" t="n">
        <f>3660</f>
        <v>3660.0</v>
      </c>
      <c r="N59" s="34" t="s">
        <v>59</v>
      </c>
      <c r="O59" s="33" t="n">
        <f>3301</f>
        <v>3301.0</v>
      </c>
      <c r="P59" s="34" t="s">
        <v>48</v>
      </c>
      <c r="Q59" s="33" t="n">
        <f>3550</f>
        <v>3550.0</v>
      </c>
      <c r="R59" s="34" t="s">
        <v>49</v>
      </c>
      <c r="S59" s="35" t="n">
        <f>3434.72</f>
        <v>3434.72</v>
      </c>
      <c r="T59" s="32" t="n">
        <f>16110</f>
        <v>16110.0</v>
      </c>
      <c r="U59" s="32" t="str">
        <f>"－"</f>
        <v>－</v>
      </c>
      <c r="V59" s="32" t="n">
        <f>55285030</f>
        <v>5.528503E7</v>
      </c>
      <c r="W59" s="32" t="str">
        <f>"－"</f>
        <v>－</v>
      </c>
      <c r="X59" s="36" t="n">
        <f>18</f>
        <v>18.0</v>
      </c>
    </row>
    <row r="60">
      <c r="A60" s="27" t="s">
        <v>42</v>
      </c>
      <c r="B60" s="27" t="s">
        <v>219</v>
      </c>
      <c r="C60" s="27" t="s">
        <v>220</v>
      </c>
      <c r="D60" s="27" t="s">
        <v>221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53120</f>
        <v>53120.0</v>
      </c>
      <c r="L60" s="34" t="s">
        <v>64</v>
      </c>
      <c r="M60" s="33" t="n">
        <f>54600</f>
        <v>54600.0</v>
      </c>
      <c r="N60" s="34" t="s">
        <v>49</v>
      </c>
      <c r="O60" s="33" t="n">
        <f>51260</f>
        <v>51260.0</v>
      </c>
      <c r="P60" s="34" t="s">
        <v>90</v>
      </c>
      <c r="Q60" s="33" t="n">
        <f>54600</f>
        <v>54600.0</v>
      </c>
      <c r="R60" s="34" t="s">
        <v>49</v>
      </c>
      <c r="S60" s="35" t="n">
        <f>53040</f>
        <v>53040.0</v>
      </c>
      <c r="T60" s="32" t="n">
        <f>16</f>
        <v>16.0</v>
      </c>
      <c r="U60" s="32" t="str">
        <f>"－"</f>
        <v>－</v>
      </c>
      <c r="V60" s="32" t="n">
        <f>849670</f>
        <v>849670.0</v>
      </c>
      <c r="W60" s="32" t="str">
        <f>"－"</f>
        <v>－</v>
      </c>
      <c r="X60" s="36" t="n">
        <f>3</f>
        <v>3.0</v>
      </c>
    </row>
    <row r="61">
      <c r="A61" s="27" t="s">
        <v>42</v>
      </c>
      <c r="B61" s="27" t="s">
        <v>222</v>
      </c>
      <c r="C61" s="27" t="s">
        <v>223</v>
      </c>
      <c r="D61" s="27" t="s">
        <v>224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23950</f>
        <v>23950.0</v>
      </c>
      <c r="L61" s="34" t="s">
        <v>48</v>
      </c>
      <c r="M61" s="33" t="n">
        <f>24565</f>
        <v>24565.0</v>
      </c>
      <c r="N61" s="34" t="s">
        <v>49</v>
      </c>
      <c r="O61" s="33" t="n">
        <f>23670</f>
        <v>23670.0</v>
      </c>
      <c r="P61" s="34" t="s">
        <v>64</v>
      </c>
      <c r="Q61" s="33" t="n">
        <f>24550</f>
        <v>24550.0</v>
      </c>
      <c r="R61" s="34" t="s">
        <v>49</v>
      </c>
      <c r="S61" s="35" t="n">
        <f>24173.06</f>
        <v>24173.06</v>
      </c>
      <c r="T61" s="32" t="n">
        <f>84614</f>
        <v>84614.0</v>
      </c>
      <c r="U61" s="32" t="n">
        <f>45620</f>
        <v>45620.0</v>
      </c>
      <c r="V61" s="32" t="n">
        <f>2034357079</f>
        <v>2.034357079E9</v>
      </c>
      <c r="W61" s="32" t="n">
        <f>1094691869</f>
        <v>1.094691869E9</v>
      </c>
      <c r="X61" s="36" t="n">
        <f>18</f>
        <v>18.0</v>
      </c>
    </row>
    <row r="62">
      <c r="A62" s="27" t="s">
        <v>42</v>
      </c>
      <c r="B62" s="27" t="s">
        <v>225</v>
      </c>
      <c r="C62" s="27" t="s">
        <v>226</v>
      </c>
      <c r="D62" s="27" t="s">
        <v>227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12355</f>
        <v>12355.0</v>
      </c>
      <c r="L62" s="34" t="s">
        <v>48</v>
      </c>
      <c r="M62" s="33" t="n">
        <f>12610</f>
        <v>12610.0</v>
      </c>
      <c r="N62" s="34" t="s">
        <v>49</v>
      </c>
      <c r="O62" s="33" t="n">
        <f>12315</f>
        <v>12315.0</v>
      </c>
      <c r="P62" s="34" t="s">
        <v>60</v>
      </c>
      <c r="Q62" s="33" t="n">
        <f>12610</f>
        <v>12610.0</v>
      </c>
      <c r="R62" s="34" t="s">
        <v>49</v>
      </c>
      <c r="S62" s="35" t="n">
        <f>12467.5</f>
        <v>12467.5</v>
      </c>
      <c r="T62" s="32" t="n">
        <f>445679</f>
        <v>445679.0</v>
      </c>
      <c r="U62" s="32" t="n">
        <f>320132</f>
        <v>320132.0</v>
      </c>
      <c r="V62" s="32" t="n">
        <f>5570282195</f>
        <v>5.570282195E9</v>
      </c>
      <c r="W62" s="32" t="n">
        <f>4008654710</f>
        <v>4.00865471E9</v>
      </c>
      <c r="X62" s="36" t="n">
        <f>18</f>
        <v>18.0</v>
      </c>
    </row>
    <row r="63">
      <c r="A63" s="27" t="s">
        <v>42</v>
      </c>
      <c r="B63" s="27" t="s">
        <v>228</v>
      </c>
      <c r="C63" s="27" t="s">
        <v>229</v>
      </c>
      <c r="D63" s="27" t="s">
        <v>230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2070</f>
        <v>2070.0</v>
      </c>
      <c r="L63" s="34" t="s">
        <v>48</v>
      </c>
      <c r="M63" s="33" t="n">
        <f>2129</f>
        <v>2129.0</v>
      </c>
      <c r="N63" s="34" t="s">
        <v>68</v>
      </c>
      <c r="O63" s="33" t="n">
        <f>2054</f>
        <v>2054.0</v>
      </c>
      <c r="P63" s="34" t="s">
        <v>48</v>
      </c>
      <c r="Q63" s="33" t="n">
        <f>2103</f>
        <v>2103.0</v>
      </c>
      <c r="R63" s="34" t="s">
        <v>49</v>
      </c>
      <c r="S63" s="35" t="n">
        <f>2085.72</f>
        <v>2085.72</v>
      </c>
      <c r="T63" s="32" t="n">
        <f>14118798</f>
        <v>1.4118798E7</v>
      </c>
      <c r="U63" s="32" t="n">
        <f>12186469</f>
        <v>1.2186469E7</v>
      </c>
      <c r="V63" s="32" t="n">
        <f>29374189915</f>
        <v>2.9374189915E10</v>
      </c>
      <c r="W63" s="32" t="n">
        <f>25358438245</f>
        <v>2.5358438245E10</v>
      </c>
      <c r="X63" s="36" t="n">
        <f>18</f>
        <v>18.0</v>
      </c>
    </row>
    <row r="64">
      <c r="A64" s="27" t="s">
        <v>42</v>
      </c>
      <c r="B64" s="27" t="s">
        <v>231</v>
      </c>
      <c r="C64" s="27" t="s">
        <v>232</v>
      </c>
      <c r="D64" s="27" t="s">
        <v>233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3067</f>
        <v>3067.0</v>
      </c>
      <c r="L64" s="34" t="s">
        <v>48</v>
      </c>
      <c r="M64" s="33" t="n">
        <f>3399</f>
        <v>3399.0</v>
      </c>
      <c r="N64" s="34" t="s">
        <v>49</v>
      </c>
      <c r="O64" s="33" t="n">
        <f>2985</f>
        <v>2985.0</v>
      </c>
      <c r="P64" s="34" t="s">
        <v>48</v>
      </c>
      <c r="Q64" s="33" t="n">
        <f>3398</f>
        <v>3398.0</v>
      </c>
      <c r="R64" s="34" t="s">
        <v>49</v>
      </c>
      <c r="S64" s="35" t="n">
        <f>3247.56</f>
        <v>3247.56</v>
      </c>
      <c r="T64" s="32" t="n">
        <f>24624120</f>
        <v>2.462412E7</v>
      </c>
      <c r="U64" s="32" t="n">
        <f>9275426</f>
        <v>9275426.0</v>
      </c>
      <c r="V64" s="32" t="n">
        <f>79494680916</f>
        <v>7.9494680916E10</v>
      </c>
      <c r="W64" s="32" t="n">
        <f>29888226091</f>
        <v>2.9888226091E10</v>
      </c>
      <c r="X64" s="36" t="n">
        <f>18</f>
        <v>18.0</v>
      </c>
    </row>
    <row r="65">
      <c r="A65" s="27" t="s">
        <v>42</v>
      </c>
      <c r="B65" s="27" t="s">
        <v>234</v>
      </c>
      <c r="C65" s="27" t="s">
        <v>235</v>
      </c>
      <c r="D65" s="27" t="s">
        <v>236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7650</f>
        <v>7650.0</v>
      </c>
      <c r="L65" s="34" t="s">
        <v>48</v>
      </c>
      <c r="M65" s="33" t="n">
        <f>9150</f>
        <v>9150.0</v>
      </c>
      <c r="N65" s="34" t="s">
        <v>64</v>
      </c>
      <c r="O65" s="33" t="n">
        <f>7350</f>
        <v>7350.0</v>
      </c>
      <c r="P65" s="34" t="s">
        <v>60</v>
      </c>
      <c r="Q65" s="33" t="n">
        <f>7935</f>
        <v>7935.0</v>
      </c>
      <c r="R65" s="34" t="s">
        <v>49</v>
      </c>
      <c r="S65" s="35" t="n">
        <f>7829.62</f>
        <v>7829.62</v>
      </c>
      <c r="T65" s="32" t="n">
        <f>28400</f>
        <v>28400.0</v>
      </c>
      <c r="U65" s="32" t="n">
        <f>28003</f>
        <v>28003.0</v>
      </c>
      <c r="V65" s="32" t="n">
        <f>223415268</f>
        <v>2.23415268E8</v>
      </c>
      <c r="W65" s="32" t="n">
        <f>220077825</f>
        <v>2.20077825E8</v>
      </c>
      <c r="X65" s="36" t="n">
        <f>13</f>
        <v>13.0</v>
      </c>
    </row>
    <row r="66">
      <c r="A66" s="27" t="s">
        <v>42</v>
      </c>
      <c r="B66" s="27" t="s">
        <v>237</v>
      </c>
      <c r="C66" s="27" t="s">
        <v>238</v>
      </c>
      <c r="D66" s="27" t="s">
        <v>239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23055</f>
        <v>23055.0</v>
      </c>
      <c r="L66" s="34" t="s">
        <v>48</v>
      </c>
      <c r="M66" s="33" t="n">
        <f>26380</f>
        <v>26380.0</v>
      </c>
      <c r="N66" s="34" t="s">
        <v>49</v>
      </c>
      <c r="O66" s="33" t="n">
        <f>22625</f>
        <v>22625.0</v>
      </c>
      <c r="P66" s="34" t="s">
        <v>48</v>
      </c>
      <c r="Q66" s="33" t="n">
        <f>26380</f>
        <v>26380.0</v>
      </c>
      <c r="R66" s="34" t="s">
        <v>49</v>
      </c>
      <c r="S66" s="35" t="n">
        <f>24223.61</f>
        <v>24223.61</v>
      </c>
      <c r="T66" s="32" t="n">
        <f>3671</f>
        <v>3671.0</v>
      </c>
      <c r="U66" s="32" t="n">
        <f>59</f>
        <v>59.0</v>
      </c>
      <c r="V66" s="32" t="n">
        <f>88900886</f>
        <v>8.8900886E7</v>
      </c>
      <c r="W66" s="32" t="n">
        <f>1378936</f>
        <v>1378936.0</v>
      </c>
      <c r="X66" s="36" t="n">
        <f>18</f>
        <v>18.0</v>
      </c>
    </row>
    <row r="67">
      <c r="A67" s="27" t="s">
        <v>42</v>
      </c>
      <c r="B67" s="27" t="s">
        <v>240</v>
      </c>
      <c r="C67" s="27" t="s">
        <v>241</v>
      </c>
      <c r="D67" s="27" t="s">
        <v>242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41660</f>
        <v>41660.0</v>
      </c>
      <c r="L67" s="34" t="s">
        <v>48</v>
      </c>
      <c r="M67" s="33" t="n">
        <f>45800</f>
        <v>45800.0</v>
      </c>
      <c r="N67" s="34" t="s">
        <v>49</v>
      </c>
      <c r="O67" s="33" t="n">
        <f>41010</f>
        <v>41010.0</v>
      </c>
      <c r="P67" s="34" t="s">
        <v>48</v>
      </c>
      <c r="Q67" s="33" t="n">
        <f>45800</f>
        <v>45800.0</v>
      </c>
      <c r="R67" s="34" t="s">
        <v>49</v>
      </c>
      <c r="S67" s="35" t="n">
        <f>43961.11</f>
        <v>43961.11</v>
      </c>
      <c r="T67" s="32" t="n">
        <f>86444</f>
        <v>86444.0</v>
      </c>
      <c r="U67" s="32" t="n">
        <f>52511</f>
        <v>52511.0</v>
      </c>
      <c r="V67" s="32" t="n">
        <f>3781627092</f>
        <v>3.781627092E9</v>
      </c>
      <c r="W67" s="32" t="n">
        <f>2294689702</f>
        <v>2.294689702E9</v>
      </c>
      <c r="X67" s="36" t="n">
        <f>18</f>
        <v>18.0</v>
      </c>
    </row>
    <row r="68">
      <c r="A68" s="27" t="s">
        <v>42</v>
      </c>
      <c r="B68" s="27" t="s">
        <v>243</v>
      </c>
      <c r="C68" s="27" t="s">
        <v>244</v>
      </c>
      <c r="D68" s="27" t="s">
        <v>245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11600</f>
        <v>11600.0</v>
      </c>
      <c r="L68" s="34" t="s">
        <v>48</v>
      </c>
      <c r="M68" s="33" t="n">
        <f>12120</f>
        <v>12120.0</v>
      </c>
      <c r="N68" s="34" t="s">
        <v>68</v>
      </c>
      <c r="O68" s="33" t="n">
        <f>11515</f>
        <v>11515.0</v>
      </c>
      <c r="P68" s="34" t="s">
        <v>94</v>
      </c>
      <c r="Q68" s="33" t="n">
        <f>12040</f>
        <v>12040.0</v>
      </c>
      <c r="R68" s="34" t="s">
        <v>49</v>
      </c>
      <c r="S68" s="35" t="n">
        <f>11804.17</f>
        <v>11804.17</v>
      </c>
      <c r="T68" s="32" t="n">
        <f>6304</f>
        <v>6304.0</v>
      </c>
      <c r="U68" s="32" t="n">
        <f>143</f>
        <v>143.0</v>
      </c>
      <c r="V68" s="32" t="n">
        <f>74423966</f>
        <v>7.4423966E7</v>
      </c>
      <c r="W68" s="32" t="n">
        <f>1681561</f>
        <v>1681561.0</v>
      </c>
      <c r="X68" s="36" t="n">
        <f>18</f>
        <v>18.0</v>
      </c>
    </row>
    <row r="69">
      <c r="A69" s="27" t="s">
        <v>42</v>
      </c>
      <c r="B69" s="27" t="s">
        <v>246</v>
      </c>
      <c r="C69" s="27" t="s">
        <v>247</v>
      </c>
      <c r="D69" s="27" t="s">
        <v>248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1721</f>
        <v>1721.0</v>
      </c>
      <c r="L69" s="34" t="s">
        <v>48</v>
      </c>
      <c r="M69" s="33" t="n">
        <f>1748</f>
        <v>1748.0</v>
      </c>
      <c r="N69" s="34" t="s">
        <v>49</v>
      </c>
      <c r="O69" s="33" t="n">
        <f>1719</f>
        <v>1719.0</v>
      </c>
      <c r="P69" s="34" t="s">
        <v>69</v>
      </c>
      <c r="Q69" s="33" t="n">
        <f>1744</f>
        <v>1744.0</v>
      </c>
      <c r="R69" s="34" t="s">
        <v>49</v>
      </c>
      <c r="S69" s="35" t="n">
        <f>1734.72</f>
        <v>1734.72</v>
      </c>
      <c r="T69" s="32" t="n">
        <f>922334</f>
        <v>922334.0</v>
      </c>
      <c r="U69" s="32" t="n">
        <f>146786</f>
        <v>146786.0</v>
      </c>
      <c r="V69" s="32" t="n">
        <f>1597640452</f>
        <v>1.597640452E9</v>
      </c>
      <c r="W69" s="32" t="n">
        <f>255984403</f>
        <v>2.55984403E8</v>
      </c>
      <c r="X69" s="36" t="n">
        <f>18</f>
        <v>18.0</v>
      </c>
    </row>
    <row r="70">
      <c r="A70" s="27" t="s">
        <v>42</v>
      </c>
      <c r="B70" s="27" t="s">
        <v>249</v>
      </c>
      <c r="C70" s="27" t="s">
        <v>250</v>
      </c>
      <c r="D70" s="27" t="s">
        <v>251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1788</f>
        <v>1788.0</v>
      </c>
      <c r="L70" s="34" t="s">
        <v>48</v>
      </c>
      <c r="M70" s="33" t="n">
        <f>1796</f>
        <v>1796.0</v>
      </c>
      <c r="N70" s="34" t="s">
        <v>64</v>
      </c>
      <c r="O70" s="33" t="n">
        <f>1784</f>
        <v>1784.0</v>
      </c>
      <c r="P70" s="34" t="s">
        <v>94</v>
      </c>
      <c r="Q70" s="33" t="n">
        <f>1790</f>
        <v>1790.0</v>
      </c>
      <c r="R70" s="34" t="s">
        <v>49</v>
      </c>
      <c r="S70" s="35" t="n">
        <f>1791.44</f>
        <v>1791.44</v>
      </c>
      <c r="T70" s="32" t="n">
        <f>230129</f>
        <v>230129.0</v>
      </c>
      <c r="U70" s="32" t="str">
        <f>"－"</f>
        <v>－</v>
      </c>
      <c r="V70" s="32" t="n">
        <f>412193212</f>
        <v>4.12193212E8</v>
      </c>
      <c r="W70" s="32" t="str">
        <f>"－"</f>
        <v>－</v>
      </c>
      <c r="X70" s="36" t="n">
        <f>18</f>
        <v>18.0</v>
      </c>
    </row>
    <row r="71">
      <c r="A71" s="27" t="s">
        <v>42</v>
      </c>
      <c r="B71" s="27" t="s">
        <v>252</v>
      </c>
      <c r="C71" s="27" t="s">
        <v>253</v>
      </c>
      <c r="D71" s="27" t="s">
        <v>254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28845</f>
        <v>28845.0</v>
      </c>
      <c r="L71" s="34" t="s">
        <v>48</v>
      </c>
      <c r="M71" s="33" t="n">
        <f>32180</f>
        <v>32180.0</v>
      </c>
      <c r="N71" s="34" t="s">
        <v>64</v>
      </c>
      <c r="O71" s="33" t="n">
        <f>28655</f>
        <v>28655.0</v>
      </c>
      <c r="P71" s="34" t="s">
        <v>48</v>
      </c>
      <c r="Q71" s="33" t="n">
        <f>32080</f>
        <v>32080.0</v>
      </c>
      <c r="R71" s="34" t="s">
        <v>49</v>
      </c>
      <c r="S71" s="35" t="n">
        <f>30810.56</f>
        <v>30810.56</v>
      </c>
      <c r="T71" s="32" t="n">
        <f>14824</f>
        <v>14824.0</v>
      </c>
      <c r="U71" s="32" t="n">
        <f>12003</f>
        <v>12003.0</v>
      </c>
      <c r="V71" s="32" t="n">
        <f>438889461</f>
        <v>4.38889461E8</v>
      </c>
      <c r="W71" s="32" t="n">
        <f>352573356</f>
        <v>3.52573356E8</v>
      </c>
      <c r="X71" s="36" t="n">
        <f>18</f>
        <v>18.0</v>
      </c>
    </row>
    <row r="72">
      <c r="A72" s="27" t="s">
        <v>42</v>
      </c>
      <c r="B72" s="27" t="s">
        <v>255</v>
      </c>
      <c r="C72" s="27" t="s">
        <v>256</v>
      </c>
      <c r="D72" s="27" t="s">
        <v>257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9186</f>
        <v>9186.0</v>
      </c>
      <c r="L72" s="34" t="s">
        <v>48</v>
      </c>
      <c r="M72" s="33" t="n">
        <f>9500</f>
        <v>9500.0</v>
      </c>
      <c r="N72" s="34" t="s">
        <v>258</v>
      </c>
      <c r="O72" s="33" t="n">
        <f>9000</f>
        <v>9000.0</v>
      </c>
      <c r="P72" s="34" t="s">
        <v>60</v>
      </c>
      <c r="Q72" s="33" t="n">
        <f>9421</f>
        <v>9421.0</v>
      </c>
      <c r="R72" s="34" t="s">
        <v>49</v>
      </c>
      <c r="S72" s="35" t="n">
        <f>9344.39</f>
        <v>9344.39</v>
      </c>
      <c r="T72" s="32" t="n">
        <f>43922</f>
        <v>43922.0</v>
      </c>
      <c r="U72" s="32" t="n">
        <f>40000</f>
        <v>40000.0</v>
      </c>
      <c r="V72" s="32" t="n">
        <f>411770433</f>
        <v>4.11770433E8</v>
      </c>
      <c r="W72" s="32" t="n">
        <f>375200000</f>
        <v>3.752E8</v>
      </c>
      <c r="X72" s="36" t="n">
        <f>18</f>
        <v>18.0</v>
      </c>
    </row>
    <row r="73">
      <c r="A73" s="27" t="s">
        <v>42</v>
      </c>
      <c r="B73" s="27" t="s">
        <v>259</v>
      </c>
      <c r="C73" s="27" t="s">
        <v>260</v>
      </c>
      <c r="D73" s="27" t="s">
        <v>261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22885</f>
        <v>22885.0</v>
      </c>
      <c r="L73" s="34" t="s">
        <v>48</v>
      </c>
      <c r="M73" s="33" t="n">
        <f>24990</f>
        <v>24990.0</v>
      </c>
      <c r="N73" s="34" t="s">
        <v>69</v>
      </c>
      <c r="O73" s="33" t="n">
        <f>21175</f>
        <v>21175.0</v>
      </c>
      <c r="P73" s="34" t="s">
        <v>48</v>
      </c>
      <c r="Q73" s="33" t="n">
        <f>24610</f>
        <v>24610.0</v>
      </c>
      <c r="R73" s="34" t="s">
        <v>49</v>
      </c>
      <c r="S73" s="35" t="n">
        <f>23821.39</f>
        <v>23821.39</v>
      </c>
      <c r="T73" s="32" t="n">
        <f>21950490</f>
        <v>2.195049E7</v>
      </c>
      <c r="U73" s="32" t="n">
        <f>90405</f>
        <v>90405.0</v>
      </c>
      <c r="V73" s="32" t="n">
        <f>518062161796</f>
        <v>5.18062161796E11</v>
      </c>
      <c r="W73" s="32" t="n">
        <f>2123261961</f>
        <v>2.123261961E9</v>
      </c>
      <c r="X73" s="36" t="n">
        <f>18</f>
        <v>18.0</v>
      </c>
    </row>
    <row r="74">
      <c r="A74" s="27" t="s">
        <v>42</v>
      </c>
      <c r="B74" s="27" t="s">
        <v>262</v>
      </c>
      <c r="C74" s="27" t="s">
        <v>263</v>
      </c>
      <c r="D74" s="27" t="s">
        <v>264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11400</f>
        <v>11400.0</v>
      </c>
      <c r="L74" s="34" t="s">
        <v>48</v>
      </c>
      <c r="M74" s="33" t="n">
        <f>12190</f>
        <v>12190.0</v>
      </c>
      <c r="N74" s="34" t="s">
        <v>69</v>
      </c>
      <c r="O74" s="33" t="n">
        <f>9130</f>
        <v>9130.0</v>
      </c>
      <c r="P74" s="34" t="s">
        <v>94</v>
      </c>
      <c r="Q74" s="33" t="n">
        <f>11110</f>
        <v>11110.0</v>
      </c>
      <c r="R74" s="34" t="s">
        <v>49</v>
      </c>
      <c r="S74" s="35" t="n">
        <f>10197.44</f>
        <v>10197.44</v>
      </c>
      <c r="T74" s="32" t="n">
        <f>4430021</f>
        <v>4430021.0</v>
      </c>
      <c r="U74" s="32" t="n">
        <f>5523</f>
        <v>5523.0</v>
      </c>
      <c r="V74" s="32" t="n">
        <f>46590096345</f>
        <v>4.6590096345E10</v>
      </c>
      <c r="W74" s="32" t="n">
        <f>57744575</f>
        <v>5.7744575E7</v>
      </c>
      <c r="X74" s="36" t="n">
        <f>18</f>
        <v>18.0</v>
      </c>
    </row>
    <row r="75">
      <c r="A75" s="27" t="s">
        <v>42</v>
      </c>
      <c r="B75" s="27" t="s">
        <v>265</v>
      </c>
      <c r="C75" s="27" t="s">
        <v>266</v>
      </c>
      <c r="D75" s="27" t="s">
        <v>267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46800</f>
        <v>46800.0</v>
      </c>
      <c r="L75" s="34" t="s">
        <v>48</v>
      </c>
      <c r="M75" s="33" t="n">
        <f>49680</f>
        <v>49680.0</v>
      </c>
      <c r="N75" s="34" t="s">
        <v>69</v>
      </c>
      <c r="O75" s="33" t="n">
        <f>32500</f>
        <v>32500.0</v>
      </c>
      <c r="P75" s="34" t="s">
        <v>203</v>
      </c>
      <c r="Q75" s="33" t="n">
        <f>41210</f>
        <v>41210.0</v>
      </c>
      <c r="R75" s="34" t="s">
        <v>49</v>
      </c>
      <c r="S75" s="35" t="n">
        <f>39111.67</f>
        <v>39111.67</v>
      </c>
      <c r="T75" s="32" t="n">
        <f>9627468</f>
        <v>9627468.0</v>
      </c>
      <c r="U75" s="32" t="n">
        <f>19883</f>
        <v>19883.0</v>
      </c>
      <c r="V75" s="32" t="n">
        <f>390585201688</f>
        <v>3.90585201688E11</v>
      </c>
      <c r="W75" s="32" t="n">
        <f>842393768</f>
        <v>8.42393768E8</v>
      </c>
      <c r="X75" s="36" t="n">
        <f>18</f>
        <v>18.0</v>
      </c>
    </row>
    <row r="76">
      <c r="A76" s="27" t="s">
        <v>42</v>
      </c>
      <c r="B76" s="27" t="s">
        <v>268</v>
      </c>
      <c r="C76" s="27" t="s">
        <v>269</v>
      </c>
      <c r="D76" s="27" t="s">
        <v>270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75700</f>
        <v>75700.0</v>
      </c>
      <c r="L76" s="34" t="s">
        <v>48</v>
      </c>
      <c r="M76" s="33" t="n">
        <f>82500</f>
        <v>82500.0</v>
      </c>
      <c r="N76" s="34" t="s">
        <v>69</v>
      </c>
      <c r="O76" s="33" t="n">
        <f>69750</f>
        <v>69750.0</v>
      </c>
      <c r="P76" s="34" t="s">
        <v>94</v>
      </c>
      <c r="Q76" s="33" t="n">
        <f>81130</f>
        <v>81130.0</v>
      </c>
      <c r="R76" s="34" t="s">
        <v>49</v>
      </c>
      <c r="S76" s="35" t="n">
        <f>76813.89</f>
        <v>76813.89</v>
      </c>
      <c r="T76" s="32" t="n">
        <f>57414</f>
        <v>57414.0</v>
      </c>
      <c r="U76" s="32" t="n">
        <f>1264</f>
        <v>1264.0</v>
      </c>
      <c r="V76" s="32" t="n">
        <f>4369237148</f>
        <v>4.369237148E9</v>
      </c>
      <c r="W76" s="32" t="n">
        <f>97353168</f>
        <v>9.7353168E7</v>
      </c>
      <c r="X76" s="36" t="n">
        <f>18</f>
        <v>18.0</v>
      </c>
    </row>
    <row r="77">
      <c r="A77" s="27" t="s">
        <v>42</v>
      </c>
      <c r="B77" s="27" t="s">
        <v>271</v>
      </c>
      <c r="C77" s="27" t="s">
        <v>272</v>
      </c>
      <c r="D77" s="27" t="s">
        <v>273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39850</f>
        <v>39850.0</v>
      </c>
      <c r="L77" s="34" t="s">
        <v>48</v>
      </c>
      <c r="M77" s="33" t="n">
        <f>40650</f>
        <v>40650.0</v>
      </c>
      <c r="N77" s="34" t="s">
        <v>60</v>
      </c>
      <c r="O77" s="33" t="n">
        <f>37850</f>
        <v>37850.0</v>
      </c>
      <c r="P77" s="34" t="s">
        <v>274</v>
      </c>
      <c r="Q77" s="33" t="n">
        <f>39330</f>
        <v>39330.0</v>
      </c>
      <c r="R77" s="34" t="s">
        <v>49</v>
      </c>
      <c r="S77" s="35" t="n">
        <f>39145</f>
        <v>39145.0</v>
      </c>
      <c r="T77" s="32" t="n">
        <f>465703</f>
        <v>465703.0</v>
      </c>
      <c r="U77" s="32" t="n">
        <f>47729</f>
        <v>47729.0</v>
      </c>
      <c r="V77" s="32" t="n">
        <f>18251894387</f>
        <v>1.8251894387E10</v>
      </c>
      <c r="W77" s="32" t="n">
        <f>1872239937</f>
        <v>1.872239937E9</v>
      </c>
      <c r="X77" s="36" t="n">
        <f>18</f>
        <v>18.0</v>
      </c>
    </row>
    <row r="78">
      <c r="A78" s="27" t="s">
        <v>42</v>
      </c>
      <c r="B78" s="27" t="s">
        <v>275</v>
      </c>
      <c r="C78" s="27" t="s">
        <v>276</v>
      </c>
      <c r="D78" s="27" t="s">
        <v>277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73870</f>
        <v>73870.0</v>
      </c>
      <c r="L78" s="34" t="s">
        <v>48</v>
      </c>
      <c r="M78" s="33" t="n">
        <f>76920</f>
        <v>76920.0</v>
      </c>
      <c r="N78" s="34" t="s">
        <v>59</v>
      </c>
      <c r="O78" s="33" t="n">
        <f>73060</f>
        <v>73060.0</v>
      </c>
      <c r="P78" s="34" t="s">
        <v>48</v>
      </c>
      <c r="Q78" s="33" t="n">
        <f>74740</f>
        <v>74740.0</v>
      </c>
      <c r="R78" s="34" t="s">
        <v>49</v>
      </c>
      <c r="S78" s="35" t="n">
        <f>74700</f>
        <v>74700.0</v>
      </c>
      <c r="T78" s="32" t="n">
        <f>35025</f>
        <v>35025.0</v>
      </c>
      <c r="U78" s="32" t="n">
        <f>259</f>
        <v>259.0</v>
      </c>
      <c r="V78" s="32" t="n">
        <f>2618910821</f>
        <v>2.618910821E9</v>
      </c>
      <c r="W78" s="32" t="n">
        <f>19494991</f>
        <v>1.9494991E7</v>
      </c>
      <c r="X78" s="36" t="n">
        <f>18</f>
        <v>18.0</v>
      </c>
    </row>
    <row r="79">
      <c r="A79" s="27" t="s">
        <v>42</v>
      </c>
      <c r="B79" s="27" t="s">
        <v>278</v>
      </c>
      <c r="C79" s="27" t="s">
        <v>279</v>
      </c>
      <c r="D79" s="27" t="s">
        <v>280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11630</f>
        <v>11630.0</v>
      </c>
      <c r="L79" s="34" t="s">
        <v>48</v>
      </c>
      <c r="M79" s="33" t="n">
        <f>11840</f>
        <v>11840.0</v>
      </c>
      <c r="N79" s="34" t="s">
        <v>59</v>
      </c>
      <c r="O79" s="33" t="n">
        <f>11255</f>
        <v>11255.0</v>
      </c>
      <c r="P79" s="34" t="s">
        <v>274</v>
      </c>
      <c r="Q79" s="33" t="n">
        <f>11615</f>
        <v>11615.0</v>
      </c>
      <c r="R79" s="34" t="s">
        <v>49</v>
      </c>
      <c r="S79" s="35" t="n">
        <f>11553.61</f>
        <v>11553.61</v>
      </c>
      <c r="T79" s="32" t="n">
        <f>466566</f>
        <v>466566.0</v>
      </c>
      <c r="U79" s="32" t="n">
        <f>107030</f>
        <v>107030.0</v>
      </c>
      <c r="V79" s="32" t="n">
        <f>5381291945</f>
        <v>5.381291945E9</v>
      </c>
      <c r="W79" s="32" t="n">
        <f>1222660300</f>
        <v>1.2226603E9</v>
      </c>
      <c r="X79" s="36" t="n">
        <f>18</f>
        <v>18.0</v>
      </c>
    </row>
    <row r="80">
      <c r="A80" s="27" t="s">
        <v>42</v>
      </c>
      <c r="B80" s="27" t="s">
        <v>281</v>
      </c>
      <c r="C80" s="27" t="s">
        <v>282</v>
      </c>
      <c r="D80" s="27" t="s">
        <v>283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7241</f>
        <v>7241.0</v>
      </c>
      <c r="L80" s="34" t="s">
        <v>48</v>
      </c>
      <c r="M80" s="33" t="n">
        <f>7389</f>
        <v>7389.0</v>
      </c>
      <c r="N80" s="34" t="s">
        <v>59</v>
      </c>
      <c r="O80" s="33" t="n">
        <f>7077</f>
        <v>7077.0</v>
      </c>
      <c r="P80" s="34" t="s">
        <v>274</v>
      </c>
      <c r="Q80" s="33" t="n">
        <f>7340</f>
        <v>7340.0</v>
      </c>
      <c r="R80" s="34" t="s">
        <v>49</v>
      </c>
      <c r="S80" s="35" t="n">
        <f>7254.56</f>
        <v>7254.56</v>
      </c>
      <c r="T80" s="32" t="n">
        <f>192664</f>
        <v>192664.0</v>
      </c>
      <c r="U80" s="32" t="n">
        <f>64431</f>
        <v>64431.0</v>
      </c>
      <c r="V80" s="32" t="n">
        <f>1396907287</f>
        <v>1.396907287E9</v>
      </c>
      <c r="W80" s="32" t="n">
        <f>464658603</f>
        <v>4.64658603E8</v>
      </c>
      <c r="X80" s="36" t="n">
        <f>18</f>
        <v>18.0</v>
      </c>
    </row>
    <row r="81">
      <c r="A81" s="27" t="s">
        <v>42</v>
      </c>
      <c r="B81" s="27" t="s">
        <v>284</v>
      </c>
      <c r="C81" s="27" t="s">
        <v>285</v>
      </c>
      <c r="D81" s="27" t="s">
        <v>286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10.0</v>
      </c>
      <c r="K81" s="33" t="n">
        <f>6235</f>
        <v>6235.0</v>
      </c>
      <c r="L81" s="34" t="s">
        <v>48</v>
      </c>
      <c r="M81" s="33" t="n">
        <f>8599</f>
        <v>8599.0</v>
      </c>
      <c r="N81" s="34" t="s">
        <v>258</v>
      </c>
      <c r="O81" s="33" t="n">
        <f>6233</f>
        <v>6233.0</v>
      </c>
      <c r="P81" s="34" t="s">
        <v>48</v>
      </c>
      <c r="Q81" s="33" t="n">
        <f>7113</f>
        <v>7113.0</v>
      </c>
      <c r="R81" s="34" t="s">
        <v>49</v>
      </c>
      <c r="S81" s="35" t="n">
        <f>6833.06</f>
        <v>6833.06</v>
      </c>
      <c r="T81" s="32" t="n">
        <f>13580</f>
        <v>13580.0</v>
      </c>
      <c r="U81" s="32" t="n">
        <f>1030</f>
        <v>1030.0</v>
      </c>
      <c r="V81" s="32" t="n">
        <f>97924883</f>
        <v>9.7924883E7</v>
      </c>
      <c r="W81" s="32" t="n">
        <f>8177483</f>
        <v>8177483.0</v>
      </c>
      <c r="X81" s="36" t="n">
        <f>17</f>
        <v>17.0</v>
      </c>
    </row>
    <row r="82">
      <c r="A82" s="27" t="s">
        <v>42</v>
      </c>
      <c r="B82" s="27" t="s">
        <v>287</v>
      </c>
      <c r="C82" s="27" t="s">
        <v>288</v>
      </c>
      <c r="D82" s="27" t="s">
        <v>289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6028</f>
        <v>6028.0</v>
      </c>
      <c r="L82" s="34" t="s">
        <v>48</v>
      </c>
      <c r="M82" s="33" t="n">
        <f>6200</f>
        <v>6200.0</v>
      </c>
      <c r="N82" s="34" t="s">
        <v>68</v>
      </c>
      <c r="O82" s="33" t="n">
        <f>5925</f>
        <v>5925.0</v>
      </c>
      <c r="P82" s="34" t="s">
        <v>274</v>
      </c>
      <c r="Q82" s="33" t="n">
        <f>6136</f>
        <v>6136.0</v>
      </c>
      <c r="R82" s="34" t="s">
        <v>49</v>
      </c>
      <c r="S82" s="35" t="n">
        <f>6060.56</f>
        <v>6060.56</v>
      </c>
      <c r="T82" s="32" t="n">
        <f>47343</f>
        <v>47343.0</v>
      </c>
      <c r="U82" s="32" t="n">
        <f>1264</f>
        <v>1264.0</v>
      </c>
      <c r="V82" s="32" t="n">
        <f>286421903</f>
        <v>2.86421903E8</v>
      </c>
      <c r="W82" s="32" t="n">
        <f>7682427</f>
        <v>7682427.0</v>
      </c>
      <c r="X82" s="36" t="n">
        <f>18</f>
        <v>18.0</v>
      </c>
    </row>
    <row r="83">
      <c r="A83" s="27" t="s">
        <v>42</v>
      </c>
      <c r="B83" s="27" t="s">
        <v>290</v>
      </c>
      <c r="C83" s="27" t="s">
        <v>291</v>
      </c>
      <c r="D83" s="27" t="s">
        <v>292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2515</f>
        <v>2515.0</v>
      </c>
      <c r="L83" s="34" t="s">
        <v>48</v>
      </c>
      <c r="M83" s="33" t="n">
        <f>2590</f>
        <v>2590.0</v>
      </c>
      <c r="N83" s="34" t="s">
        <v>79</v>
      </c>
      <c r="O83" s="33" t="n">
        <f>2427</f>
        <v>2427.0</v>
      </c>
      <c r="P83" s="34" t="s">
        <v>90</v>
      </c>
      <c r="Q83" s="33" t="n">
        <f>2509</f>
        <v>2509.0</v>
      </c>
      <c r="R83" s="34" t="s">
        <v>49</v>
      </c>
      <c r="S83" s="35" t="n">
        <f>2511.83</f>
        <v>2511.83</v>
      </c>
      <c r="T83" s="32" t="n">
        <f>48047</f>
        <v>48047.0</v>
      </c>
      <c r="U83" s="32" t="n">
        <f>1460</f>
        <v>1460.0</v>
      </c>
      <c r="V83" s="32" t="n">
        <f>120077167</f>
        <v>1.20077167E8</v>
      </c>
      <c r="W83" s="32" t="n">
        <f>3669520</f>
        <v>3669520.0</v>
      </c>
      <c r="X83" s="36" t="n">
        <f>18</f>
        <v>18.0</v>
      </c>
    </row>
    <row r="84">
      <c r="A84" s="27" t="s">
        <v>42</v>
      </c>
      <c r="B84" s="27" t="s">
        <v>293</v>
      </c>
      <c r="C84" s="27" t="s">
        <v>294</v>
      </c>
      <c r="D84" s="27" t="s">
        <v>295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107050</f>
        <v>107050.0</v>
      </c>
      <c r="L84" s="34" t="s">
        <v>48</v>
      </c>
      <c r="M84" s="33" t="n">
        <f>109150</f>
        <v>109150.0</v>
      </c>
      <c r="N84" s="34" t="s">
        <v>59</v>
      </c>
      <c r="O84" s="33" t="n">
        <f>103650</f>
        <v>103650.0</v>
      </c>
      <c r="P84" s="34" t="s">
        <v>274</v>
      </c>
      <c r="Q84" s="33" t="n">
        <f>107050</f>
        <v>107050.0</v>
      </c>
      <c r="R84" s="34" t="s">
        <v>49</v>
      </c>
      <c r="S84" s="35" t="n">
        <f>106527.78</f>
        <v>106527.78</v>
      </c>
      <c r="T84" s="32" t="n">
        <f>38116</f>
        <v>38116.0</v>
      </c>
      <c r="U84" s="32" t="n">
        <f>1579</f>
        <v>1579.0</v>
      </c>
      <c r="V84" s="32" t="n">
        <f>4062036054</f>
        <v>4.062036054E9</v>
      </c>
      <c r="W84" s="32" t="n">
        <f>166178654</f>
        <v>1.66178654E8</v>
      </c>
      <c r="X84" s="36" t="n">
        <f>18</f>
        <v>18.0</v>
      </c>
    </row>
    <row r="85">
      <c r="A85" s="27" t="s">
        <v>42</v>
      </c>
      <c r="B85" s="27" t="s">
        <v>296</v>
      </c>
      <c r="C85" s="27" t="s">
        <v>297</v>
      </c>
      <c r="D85" s="27" t="s">
        <v>298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3991</f>
        <v>3991.0</v>
      </c>
      <c r="L85" s="34" t="s">
        <v>48</v>
      </c>
      <c r="M85" s="33" t="n">
        <f>4880</f>
        <v>4880.0</v>
      </c>
      <c r="N85" s="34" t="s">
        <v>49</v>
      </c>
      <c r="O85" s="33" t="n">
        <f>3871</f>
        <v>3871.0</v>
      </c>
      <c r="P85" s="34" t="s">
        <v>48</v>
      </c>
      <c r="Q85" s="33" t="n">
        <f>4875</f>
        <v>4875.0</v>
      </c>
      <c r="R85" s="34" t="s">
        <v>49</v>
      </c>
      <c r="S85" s="35" t="n">
        <f>4415.33</f>
        <v>4415.33</v>
      </c>
      <c r="T85" s="32" t="n">
        <f>26009</f>
        <v>26009.0</v>
      </c>
      <c r="U85" s="32" t="str">
        <f>"－"</f>
        <v>－</v>
      </c>
      <c r="V85" s="32" t="n">
        <f>116744138</f>
        <v>1.16744138E8</v>
      </c>
      <c r="W85" s="32" t="str">
        <f>"－"</f>
        <v>－</v>
      </c>
      <c r="X85" s="36" t="n">
        <f>18</f>
        <v>18.0</v>
      </c>
    </row>
    <row r="86">
      <c r="A86" s="27" t="s">
        <v>42</v>
      </c>
      <c r="B86" s="27" t="s">
        <v>299</v>
      </c>
      <c r="C86" s="27" t="s">
        <v>300</v>
      </c>
      <c r="D86" s="27" t="s">
        <v>301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6700</f>
        <v>6700.0</v>
      </c>
      <c r="L86" s="34" t="s">
        <v>48</v>
      </c>
      <c r="M86" s="33" t="n">
        <f>7190</f>
        <v>7190.0</v>
      </c>
      <c r="N86" s="34" t="s">
        <v>49</v>
      </c>
      <c r="O86" s="33" t="n">
        <f>6650</f>
        <v>6650.0</v>
      </c>
      <c r="P86" s="34" t="s">
        <v>48</v>
      </c>
      <c r="Q86" s="33" t="n">
        <f>7189</f>
        <v>7189.0</v>
      </c>
      <c r="R86" s="34" t="s">
        <v>49</v>
      </c>
      <c r="S86" s="35" t="n">
        <f>6930.44</f>
        <v>6930.44</v>
      </c>
      <c r="T86" s="32" t="n">
        <f>19467</f>
        <v>19467.0</v>
      </c>
      <c r="U86" s="32" t="str">
        <f>"－"</f>
        <v>－</v>
      </c>
      <c r="V86" s="32" t="n">
        <f>135227720</f>
        <v>1.3522772E8</v>
      </c>
      <c r="W86" s="32" t="str">
        <f>"－"</f>
        <v>－</v>
      </c>
      <c r="X86" s="36" t="n">
        <f>18</f>
        <v>18.0</v>
      </c>
    </row>
    <row r="87">
      <c r="A87" s="27" t="s">
        <v>42</v>
      </c>
      <c r="B87" s="27" t="s">
        <v>302</v>
      </c>
      <c r="C87" s="27" t="s">
        <v>303</v>
      </c>
      <c r="D87" s="27" t="s">
        <v>304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2215</f>
        <v>2215.0</v>
      </c>
      <c r="L87" s="34" t="s">
        <v>48</v>
      </c>
      <c r="M87" s="33" t="n">
        <f>2433</f>
        <v>2433.0</v>
      </c>
      <c r="N87" s="34" t="s">
        <v>49</v>
      </c>
      <c r="O87" s="33" t="n">
        <f>2149</f>
        <v>2149.0</v>
      </c>
      <c r="P87" s="34" t="s">
        <v>94</v>
      </c>
      <c r="Q87" s="33" t="n">
        <f>2433</f>
        <v>2433.0</v>
      </c>
      <c r="R87" s="34" t="s">
        <v>49</v>
      </c>
      <c r="S87" s="35" t="n">
        <f>2279.39</f>
        <v>2279.39</v>
      </c>
      <c r="T87" s="32" t="n">
        <f>454476</f>
        <v>454476.0</v>
      </c>
      <c r="U87" s="32" t="n">
        <f>640</f>
        <v>640.0</v>
      </c>
      <c r="V87" s="32" t="n">
        <f>1033103791</f>
        <v>1.033103791E9</v>
      </c>
      <c r="W87" s="32" t="n">
        <f>1453188</f>
        <v>1453188.0</v>
      </c>
      <c r="X87" s="36" t="n">
        <f>18</f>
        <v>18.0</v>
      </c>
    </row>
    <row r="88">
      <c r="A88" s="27" t="s">
        <v>42</v>
      </c>
      <c r="B88" s="27" t="s">
        <v>305</v>
      </c>
      <c r="C88" s="27" t="s">
        <v>306</v>
      </c>
      <c r="D88" s="27" t="s">
        <v>307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53910</f>
        <v>53910.0</v>
      </c>
      <c r="L88" s="34" t="s">
        <v>48</v>
      </c>
      <c r="M88" s="33" t="n">
        <f>55500</f>
        <v>55500.0</v>
      </c>
      <c r="N88" s="34" t="s">
        <v>79</v>
      </c>
      <c r="O88" s="33" t="n">
        <f>53600</f>
        <v>53600.0</v>
      </c>
      <c r="P88" s="34" t="s">
        <v>105</v>
      </c>
      <c r="Q88" s="33" t="n">
        <f>55270</f>
        <v>55270.0</v>
      </c>
      <c r="R88" s="34" t="s">
        <v>49</v>
      </c>
      <c r="S88" s="35" t="n">
        <f>54515.56</f>
        <v>54515.56</v>
      </c>
      <c r="T88" s="32" t="n">
        <f>16561</f>
        <v>16561.0</v>
      </c>
      <c r="U88" s="32" t="n">
        <f>1056</f>
        <v>1056.0</v>
      </c>
      <c r="V88" s="32" t="n">
        <f>903641783</f>
        <v>9.03641783E8</v>
      </c>
      <c r="W88" s="32" t="n">
        <f>57701933</f>
        <v>5.7701933E7</v>
      </c>
      <c r="X88" s="36" t="n">
        <f>18</f>
        <v>18.0</v>
      </c>
    </row>
    <row r="89">
      <c r="A89" s="27" t="s">
        <v>42</v>
      </c>
      <c r="B89" s="27" t="s">
        <v>308</v>
      </c>
      <c r="C89" s="27" t="s">
        <v>309</v>
      </c>
      <c r="D89" s="27" t="s">
        <v>310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10.0</v>
      </c>
      <c r="K89" s="33" t="n">
        <f>795.2</f>
        <v>795.2</v>
      </c>
      <c r="L89" s="34" t="s">
        <v>48</v>
      </c>
      <c r="M89" s="33" t="n">
        <f>945.8</f>
        <v>945.8</v>
      </c>
      <c r="N89" s="34" t="s">
        <v>49</v>
      </c>
      <c r="O89" s="33" t="n">
        <f>763.8</f>
        <v>763.8</v>
      </c>
      <c r="P89" s="34" t="s">
        <v>48</v>
      </c>
      <c r="Q89" s="33" t="n">
        <f>945.8</f>
        <v>945.8</v>
      </c>
      <c r="R89" s="34" t="s">
        <v>49</v>
      </c>
      <c r="S89" s="35" t="n">
        <f>872.53</f>
        <v>872.53</v>
      </c>
      <c r="T89" s="32" t="n">
        <f>146005770</f>
        <v>1.4600577E8</v>
      </c>
      <c r="U89" s="32" t="n">
        <f>1260350</f>
        <v>1260350.0</v>
      </c>
      <c r="V89" s="32" t="n">
        <f>126336173072</f>
        <v>1.26336173072E11</v>
      </c>
      <c r="W89" s="32" t="n">
        <f>1100007256</f>
        <v>1.100007256E9</v>
      </c>
      <c r="X89" s="36" t="n">
        <f>18</f>
        <v>18.0</v>
      </c>
    </row>
    <row r="90">
      <c r="A90" s="27" t="s">
        <v>42</v>
      </c>
      <c r="B90" s="27" t="s">
        <v>311</v>
      </c>
      <c r="C90" s="27" t="s">
        <v>312</v>
      </c>
      <c r="D90" s="27" t="s">
        <v>313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870.5</f>
        <v>870.5</v>
      </c>
      <c r="L90" s="34" t="s">
        <v>48</v>
      </c>
      <c r="M90" s="33" t="n">
        <f>888.3</f>
        <v>888.3</v>
      </c>
      <c r="N90" s="34" t="s">
        <v>48</v>
      </c>
      <c r="O90" s="33" t="n">
        <f>794</f>
        <v>794.0</v>
      </c>
      <c r="P90" s="34" t="s">
        <v>49</v>
      </c>
      <c r="Q90" s="33" t="n">
        <f>794</f>
        <v>794.0</v>
      </c>
      <c r="R90" s="34" t="s">
        <v>49</v>
      </c>
      <c r="S90" s="35" t="n">
        <f>829.39</f>
        <v>829.39</v>
      </c>
      <c r="T90" s="32" t="n">
        <f>1015450</f>
        <v>1015450.0</v>
      </c>
      <c r="U90" s="32" t="n">
        <f>2280</f>
        <v>2280.0</v>
      </c>
      <c r="V90" s="32" t="n">
        <f>843034498</f>
        <v>8.43034498E8</v>
      </c>
      <c r="W90" s="32" t="n">
        <f>1878508</f>
        <v>1878508.0</v>
      </c>
      <c r="X90" s="36" t="n">
        <f>18</f>
        <v>18.0</v>
      </c>
    </row>
    <row r="91">
      <c r="A91" s="27" t="s">
        <v>42</v>
      </c>
      <c r="B91" s="27" t="s">
        <v>314</v>
      </c>
      <c r="C91" s="27" t="s">
        <v>315</v>
      </c>
      <c r="D91" s="27" t="s">
        <v>316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48550</f>
        <v>48550.0</v>
      </c>
      <c r="L91" s="34" t="s">
        <v>48</v>
      </c>
      <c r="M91" s="33" t="n">
        <f>59220</f>
        <v>59220.0</v>
      </c>
      <c r="N91" s="34" t="s">
        <v>68</v>
      </c>
      <c r="O91" s="33" t="n">
        <f>46900</f>
        <v>46900.0</v>
      </c>
      <c r="P91" s="34" t="s">
        <v>48</v>
      </c>
      <c r="Q91" s="33" t="n">
        <f>58200</f>
        <v>58200.0</v>
      </c>
      <c r="R91" s="34" t="s">
        <v>49</v>
      </c>
      <c r="S91" s="35" t="n">
        <f>53816.11</f>
        <v>53816.11</v>
      </c>
      <c r="T91" s="32" t="n">
        <f>70351037</f>
        <v>7.0351037E7</v>
      </c>
      <c r="U91" s="32" t="n">
        <f>773682</f>
        <v>773682.0</v>
      </c>
      <c r="V91" s="32" t="n">
        <f>3761293077522</f>
        <v>3.761293077522E12</v>
      </c>
      <c r="W91" s="32" t="n">
        <f>41365841652</f>
        <v>4.1365841652E10</v>
      </c>
      <c r="X91" s="36" t="n">
        <f>18</f>
        <v>18.0</v>
      </c>
    </row>
    <row r="92">
      <c r="A92" s="27" t="s">
        <v>42</v>
      </c>
      <c r="B92" s="27" t="s">
        <v>317</v>
      </c>
      <c r="C92" s="27" t="s">
        <v>318</v>
      </c>
      <c r="D92" s="27" t="s">
        <v>319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390</f>
        <v>390.0</v>
      </c>
      <c r="L92" s="34" t="s">
        <v>48</v>
      </c>
      <c r="M92" s="33" t="n">
        <f>397</f>
        <v>397.0</v>
      </c>
      <c r="N92" s="34" t="s">
        <v>48</v>
      </c>
      <c r="O92" s="33" t="n">
        <f>350</f>
        <v>350.0</v>
      </c>
      <c r="P92" s="34" t="s">
        <v>68</v>
      </c>
      <c r="Q92" s="33" t="n">
        <f>353</f>
        <v>353.0</v>
      </c>
      <c r="R92" s="34" t="s">
        <v>49</v>
      </c>
      <c r="S92" s="35" t="n">
        <f>369</f>
        <v>369.0</v>
      </c>
      <c r="T92" s="32" t="n">
        <f>57187481</f>
        <v>5.7187481E7</v>
      </c>
      <c r="U92" s="32" t="n">
        <f>12796815</f>
        <v>1.2796815E7</v>
      </c>
      <c r="V92" s="32" t="n">
        <f>21130007585</f>
        <v>2.1130007585E10</v>
      </c>
      <c r="W92" s="32" t="n">
        <f>4678944443</f>
        <v>4.678944443E9</v>
      </c>
      <c r="X92" s="36" t="n">
        <f>18</f>
        <v>18.0</v>
      </c>
    </row>
    <row r="93">
      <c r="A93" s="27" t="s">
        <v>42</v>
      </c>
      <c r="B93" s="27" t="s">
        <v>320</v>
      </c>
      <c r="C93" s="27" t="s">
        <v>321</v>
      </c>
      <c r="D93" s="27" t="s">
        <v>322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10.0</v>
      </c>
      <c r="K93" s="33" t="n">
        <f>8289</f>
        <v>8289.0</v>
      </c>
      <c r="L93" s="34" t="s">
        <v>48</v>
      </c>
      <c r="M93" s="33" t="n">
        <f>8416</f>
        <v>8416.0</v>
      </c>
      <c r="N93" s="34" t="s">
        <v>79</v>
      </c>
      <c r="O93" s="33" t="n">
        <f>7498</f>
        <v>7498.0</v>
      </c>
      <c r="P93" s="34" t="s">
        <v>49</v>
      </c>
      <c r="Q93" s="33" t="n">
        <f>7637</f>
        <v>7637.0</v>
      </c>
      <c r="R93" s="34" t="s">
        <v>49</v>
      </c>
      <c r="S93" s="35" t="n">
        <f>7957.56</f>
        <v>7957.56</v>
      </c>
      <c r="T93" s="32" t="n">
        <f>121790</f>
        <v>121790.0</v>
      </c>
      <c r="U93" s="32" t="str">
        <f>"－"</f>
        <v>－</v>
      </c>
      <c r="V93" s="32" t="n">
        <f>968864870</f>
        <v>9.6886487E8</v>
      </c>
      <c r="W93" s="32" t="str">
        <f>"－"</f>
        <v>－</v>
      </c>
      <c r="X93" s="36" t="n">
        <f>18</f>
        <v>18.0</v>
      </c>
    </row>
    <row r="94">
      <c r="A94" s="27" t="s">
        <v>42</v>
      </c>
      <c r="B94" s="27" t="s">
        <v>323</v>
      </c>
      <c r="C94" s="27" t="s">
        <v>324</v>
      </c>
      <c r="D94" s="27" t="s">
        <v>325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10.0</v>
      </c>
      <c r="K94" s="33" t="n">
        <f>7584</f>
        <v>7584.0</v>
      </c>
      <c r="L94" s="34" t="s">
        <v>48</v>
      </c>
      <c r="M94" s="33" t="n">
        <f>8029</f>
        <v>8029.0</v>
      </c>
      <c r="N94" s="34" t="s">
        <v>49</v>
      </c>
      <c r="O94" s="33" t="n">
        <f>7491</f>
        <v>7491.0</v>
      </c>
      <c r="P94" s="34" t="s">
        <v>64</v>
      </c>
      <c r="Q94" s="33" t="n">
        <f>7944</f>
        <v>7944.0</v>
      </c>
      <c r="R94" s="34" t="s">
        <v>49</v>
      </c>
      <c r="S94" s="35" t="n">
        <f>7755.61</f>
        <v>7755.61</v>
      </c>
      <c r="T94" s="32" t="n">
        <f>24040</f>
        <v>24040.0</v>
      </c>
      <c r="U94" s="32" t="str">
        <f>"－"</f>
        <v>－</v>
      </c>
      <c r="V94" s="32" t="n">
        <f>187139800</f>
        <v>1.871398E8</v>
      </c>
      <c r="W94" s="32" t="str">
        <f>"－"</f>
        <v>－</v>
      </c>
      <c r="X94" s="36" t="n">
        <f>18</f>
        <v>18.0</v>
      </c>
    </row>
    <row r="95">
      <c r="A95" s="27" t="s">
        <v>42</v>
      </c>
      <c r="B95" s="27" t="s">
        <v>326</v>
      </c>
      <c r="C95" s="27" t="s">
        <v>327</v>
      </c>
      <c r="D95" s="27" t="s">
        <v>328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52440</f>
        <v>52440.0</v>
      </c>
      <c r="L95" s="34" t="s">
        <v>48</v>
      </c>
      <c r="M95" s="33" t="n">
        <f>57900</f>
        <v>57900.0</v>
      </c>
      <c r="N95" s="34" t="s">
        <v>49</v>
      </c>
      <c r="O95" s="33" t="n">
        <f>51240</f>
        <v>51240.0</v>
      </c>
      <c r="P95" s="34" t="s">
        <v>48</v>
      </c>
      <c r="Q95" s="33" t="n">
        <f>57900</f>
        <v>57900.0</v>
      </c>
      <c r="R95" s="34" t="s">
        <v>49</v>
      </c>
      <c r="S95" s="35" t="n">
        <f>55732.22</f>
        <v>55732.22</v>
      </c>
      <c r="T95" s="32" t="n">
        <f>178825</f>
        <v>178825.0</v>
      </c>
      <c r="U95" s="32" t="n">
        <f>66012</f>
        <v>66012.0</v>
      </c>
      <c r="V95" s="32" t="n">
        <f>9811001433</f>
        <v>9.811001433E9</v>
      </c>
      <c r="W95" s="32" t="n">
        <f>3595650723</f>
        <v>3.595650723E9</v>
      </c>
      <c r="X95" s="36" t="n">
        <f>18</f>
        <v>18.0</v>
      </c>
    </row>
    <row r="96">
      <c r="A96" s="27" t="s">
        <v>42</v>
      </c>
      <c r="B96" s="27" t="s">
        <v>329</v>
      </c>
      <c r="C96" s="27" t="s">
        <v>330</v>
      </c>
      <c r="D96" s="27" t="s">
        <v>331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4282</f>
        <v>4282.0</v>
      </c>
      <c r="L96" s="34" t="s">
        <v>48</v>
      </c>
      <c r="M96" s="33" t="n">
        <f>4736</f>
        <v>4736.0</v>
      </c>
      <c r="N96" s="34" t="s">
        <v>68</v>
      </c>
      <c r="O96" s="33" t="n">
        <f>4200</f>
        <v>4200.0</v>
      </c>
      <c r="P96" s="34" t="s">
        <v>48</v>
      </c>
      <c r="Q96" s="33" t="n">
        <f>4686</f>
        <v>4686.0</v>
      </c>
      <c r="R96" s="34" t="s">
        <v>49</v>
      </c>
      <c r="S96" s="35" t="n">
        <f>4507.06</f>
        <v>4507.06</v>
      </c>
      <c r="T96" s="32" t="n">
        <f>209750</f>
        <v>209750.0</v>
      </c>
      <c r="U96" s="32" t="n">
        <f>240</f>
        <v>240.0</v>
      </c>
      <c r="V96" s="32" t="n">
        <f>948759316</f>
        <v>9.48759316E8</v>
      </c>
      <c r="W96" s="32" t="n">
        <f>1069100</f>
        <v>1069100.0</v>
      </c>
      <c r="X96" s="36" t="n">
        <f>18</f>
        <v>18.0</v>
      </c>
    </row>
    <row r="97">
      <c r="A97" s="27" t="s">
        <v>42</v>
      </c>
      <c r="B97" s="27" t="s">
        <v>332</v>
      </c>
      <c r="C97" s="27" t="s">
        <v>333</v>
      </c>
      <c r="D97" s="27" t="s">
        <v>334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522.7</f>
        <v>522.7</v>
      </c>
      <c r="L97" s="34" t="s">
        <v>48</v>
      </c>
      <c r="M97" s="33" t="n">
        <f>638.1</f>
        <v>638.1</v>
      </c>
      <c r="N97" s="34" t="s">
        <v>68</v>
      </c>
      <c r="O97" s="33" t="n">
        <f>504.7</f>
        <v>504.7</v>
      </c>
      <c r="P97" s="34" t="s">
        <v>48</v>
      </c>
      <c r="Q97" s="33" t="n">
        <f>627.6</f>
        <v>627.6</v>
      </c>
      <c r="R97" s="34" t="s">
        <v>49</v>
      </c>
      <c r="S97" s="35" t="n">
        <f>579.79</f>
        <v>579.79</v>
      </c>
      <c r="T97" s="32" t="n">
        <f>400147300</f>
        <v>4.001473E8</v>
      </c>
      <c r="U97" s="32" t="n">
        <f>7594500</f>
        <v>7594500.0</v>
      </c>
      <c r="V97" s="32" t="n">
        <f>230546925664</f>
        <v>2.30546925664E11</v>
      </c>
      <c r="W97" s="32" t="n">
        <f>4326767213</f>
        <v>4.326767213E9</v>
      </c>
      <c r="X97" s="36" t="n">
        <f>18</f>
        <v>18.0</v>
      </c>
    </row>
    <row r="98">
      <c r="A98" s="27" t="s">
        <v>42</v>
      </c>
      <c r="B98" s="27" t="s">
        <v>335</v>
      </c>
      <c r="C98" s="27" t="s">
        <v>336</v>
      </c>
      <c r="D98" s="27" t="s">
        <v>337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1035</f>
        <v>1035.0</v>
      </c>
      <c r="L98" s="34" t="s">
        <v>48</v>
      </c>
      <c r="M98" s="33" t="n">
        <f>1052.5</f>
        <v>1052.5</v>
      </c>
      <c r="N98" s="34" t="s">
        <v>48</v>
      </c>
      <c r="O98" s="33" t="n">
        <f>930</f>
        <v>930.0</v>
      </c>
      <c r="P98" s="34" t="s">
        <v>68</v>
      </c>
      <c r="Q98" s="33" t="n">
        <f>938.5</f>
        <v>938.5</v>
      </c>
      <c r="R98" s="34" t="s">
        <v>49</v>
      </c>
      <c r="S98" s="35" t="n">
        <f>979.29</f>
        <v>979.29</v>
      </c>
      <c r="T98" s="32" t="n">
        <f>9243580</f>
        <v>9243580.0</v>
      </c>
      <c r="U98" s="32" t="n">
        <f>3186590</f>
        <v>3186590.0</v>
      </c>
      <c r="V98" s="32" t="n">
        <f>8953383169</f>
        <v>8.953383169E9</v>
      </c>
      <c r="W98" s="32" t="n">
        <f>3037132077</f>
        <v>3.037132077E9</v>
      </c>
      <c r="X98" s="36" t="n">
        <f>18</f>
        <v>18.0</v>
      </c>
    </row>
    <row r="99">
      <c r="A99" s="27" t="s">
        <v>42</v>
      </c>
      <c r="B99" s="27" t="s">
        <v>338</v>
      </c>
      <c r="C99" s="27" t="s">
        <v>339</v>
      </c>
      <c r="D99" s="27" t="s">
        <v>340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2436.5</f>
        <v>2436.5</v>
      </c>
      <c r="L99" s="34" t="s">
        <v>48</v>
      </c>
      <c r="M99" s="33" t="n">
        <f>2596</f>
        <v>2596.0</v>
      </c>
      <c r="N99" s="34" t="s">
        <v>258</v>
      </c>
      <c r="O99" s="33" t="n">
        <f>2395</f>
        <v>2395.0</v>
      </c>
      <c r="P99" s="34" t="s">
        <v>48</v>
      </c>
      <c r="Q99" s="33" t="n">
        <f>2571</f>
        <v>2571.0</v>
      </c>
      <c r="R99" s="34" t="s">
        <v>83</v>
      </c>
      <c r="S99" s="35" t="n">
        <f>2501.87</f>
        <v>2501.87</v>
      </c>
      <c r="T99" s="32" t="n">
        <f>3180</f>
        <v>3180.0</v>
      </c>
      <c r="U99" s="32" t="n">
        <f>800</f>
        <v>800.0</v>
      </c>
      <c r="V99" s="32" t="n">
        <f>8072576</f>
        <v>8072576.0</v>
      </c>
      <c r="W99" s="32" t="n">
        <f>2046256</f>
        <v>2046256.0</v>
      </c>
      <c r="X99" s="36" t="n">
        <f>15</f>
        <v>15.0</v>
      </c>
    </row>
    <row r="100">
      <c r="A100" s="27" t="s">
        <v>42</v>
      </c>
      <c r="B100" s="27" t="s">
        <v>341</v>
      </c>
      <c r="C100" s="27" t="s">
        <v>342</v>
      </c>
      <c r="D100" s="27" t="s">
        <v>343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2758</f>
        <v>2758.0</v>
      </c>
      <c r="L100" s="34" t="s">
        <v>48</v>
      </c>
      <c r="M100" s="33" t="n">
        <f>3035</f>
        <v>3035.0</v>
      </c>
      <c r="N100" s="34" t="s">
        <v>49</v>
      </c>
      <c r="O100" s="33" t="n">
        <f>2730</f>
        <v>2730.0</v>
      </c>
      <c r="P100" s="34" t="s">
        <v>48</v>
      </c>
      <c r="Q100" s="33" t="n">
        <f>3035</f>
        <v>3035.0</v>
      </c>
      <c r="R100" s="34" t="s">
        <v>49</v>
      </c>
      <c r="S100" s="35" t="n">
        <f>2906.22</f>
        <v>2906.22</v>
      </c>
      <c r="T100" s="32" t="n">
        <f>13475</f>
        <v>13475.0</v>
      </c>
      <c r="U100" s="32" t="str">
        <f>"－"</f>
        <v>－</v>
      </c>
      <c r="V100" s="32" t="n">
        <f>39252873</f>
        <v>3.9252873E7</v>
      </c>
      <c r="W100" s="32" t="str">
        <f>"－"</f>
        <v>－</v>
      </c>
      <c r="X100" s="36" t="n">
        <f>18</f>
        <v>18.0</v>
      </c>
    </row>
    <row r="101">
      <c r="A101" s="27" t="s">
        <v>42</v>
      </c>
      <c r="B101" s="27" t="s">
        <v>344</v>
      </c>
      <c r="C101" s="27" t="s">
        <v>345</v>
      </c>
      <c r="D101" s="27" t="s">
        <v>346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1.0</v>
      </c>
      <c r="K101" s="33" t="n">
        <f>32650</f>
        <v>32650.0</v>
      </c>
      <c r="L101" s="34" t="s">
        <v>48</v>
      </c>
      <c r="M101" s="33" t="n">
        <f>35730</f>
        <v>35730.0</v>
      </c>
      <c r="N101" s="34" t="s">
        <v>49</v>
      </c>
      <c r="O101" s="33" t="n">
        <f>31940</f>
        <v>31940.0</v>
      </c>
      <c r="P101" s="34" t="s">
        <v>48</v>
      </c>
      <c r="Q101" s="33" t="n">
        <f>35720</f>
        <v>35720.0</v>
      </c>
      <c r="R101" s="34" t="s">
        <v>49</v>
      </c>
      <c r="S101" s="35" t="n">
        <f>34259.44</f>
        <v>34259.44</v>
      </c>
      <c r="T101" s="32" t="n">
        <f>107027</f>
        <v>107027.0</v>
      </c>
      <c r="U101" s="32" t="n">
        <f>61454</f>
        <v>61454.0</v>
      </c>
      <c r="V101" s="32" t="n">
        <f>3580881355</f>
        <v>3.580881355E9</v>
      </c>
      <c r="W101" s="32" t="n">
        <f>2039196185</f>
        <v>2.039196185E9</v>
      </c>
      <c r="X101" s="36" t="n">
        <f>18</f>
        <v>18.0</v>
      </c>
    </row>
    <row r="102">
      <c r="A102" s="27" t="s">
        <v>42</v>
      </c>
      <c r="B102" s="27" t="s">
        <v>347</v>
      </c>
      <c r="C102" s="27" t="s">
        <v>348</v>
      </c>
      <c r="D102" s="27" t="s">
        <v>349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2989</f>
        <v>2989.0</v>
      </c>
      <c r="L102" s="34" t="s">
        <v>48</v>
      </c>
      <c r="M102" s="33" t="n">
        <f>3274</f>
        <v>3274.0</v>
      </c>
      <c r="N102" s="34" t="s">
        <v>49</v>
      </c>
      <c r="O102" s="33" t="n">
        <f>2924</f>
        <v>2924.0</v>
      </c>
      <c r="P102" s="34" t="s">
        <v>48</v>
      </c>
      <c r="Q102" s="33" t="n">
        <f>3274</f>
        <v>3274.0</v>
      </c>
      <c r="R102" s="34" t="s">
        <v>49</v>
      </c>
      <c r="S102" s="35" t="n">
        <f>3136.94</f>
        <v>3136.94</v>
      </c>
      <c r="T102" s="32" t="n">
        <f>566580</f>
        <v>566580.0</v>
      </c>
      <c r="U102" s="32" t="n">
        <f>393054</f>
        <v>393054.0</v>
      </c>
      <c r="V102" s="32" t="n">
        <f>1788526143</f>
        <v>1.788526143E9</v>
      </c>
      <c r="W102" s="32" t="n">
        <f>1249996267</f>
        <v>1.249996267E9</v>
      </c>
      <c r="X102" s="36" t="n">
        <f>18</f>
        <v>18.0</v>
      </c>
    </row>
    <row r="103">
      <c r="A103" s="27" t="s">
        <v>42</v>
      </c>
      <c r="B103" s="27" t="s">
        <v>350</v>
      </c>
      <c r="C103" s="27" t="s">
        <v>351</v>
      </c>
      <c r="D103" s="27" t="s">
        <v>352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33320</f>
        <v>33320.0</v>
      </c>
      <c r="L103" s="34" t="s">
        <v>48</v>
      </c>
      <c r="M103" s="33" t="n">
        <f>36620</f>
        <v>36620.0</v>
      </c>
      <c r="N103" s="34" t="s">
        <v>49</v>
      </c>
      <c r="O103" s="33" t="n">
        <f>32730</f>
        <v>32730.0</v>
      </c>
      <c r="P103" s="34" t="s">
        <v>48</v>
      </c>
      <c r="Q103" s="33" t="n">
        <f>36580</f>
        <v>36580.0</v>
      </c>
      <c r="R103" s="34" t="s">
        <v>49</v>
      </c>
      <c r="S103" s="35" t="n">
        <f>35086.67</f>
        <v>35086.67</v>
      </c>
      <c r="T103" s="32" t="n">
        <f>86813</f>
        <v>86813.0</v>
      </c>
      <c r="U103" s="32" t="n">
        <f>73089</f>
        <v>73089.0</v>
      </c>
      <c r="V103" s="32" t="n">
        <f>3069366999</f>
        <v>3.069366999E9</v>
      </c>
      <c r="W103" s="32" t="n">
        <f>2590159719</f>
        <v>2.590159719E9</v>
      </c>
      <c r="X103" s="36" t="n">
        <f>18</f>
        <v>18.0</v>
      </c>
    </row>
    <row r="104">
      <c r="A104" s="27" t="s">
        <v>42</v>
      </c>
      <c r="B104" s="27" t="s">
        <v>353</v>
      </c>
      <c r="C104" s="27" t="s">
        <v>354</v>
      </c>
      <c r="D104" s="27" t="s">
        <v>355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2029</f>
        <v>2029.0</v>
      </c>
      <c r="L104" s="34" t="s">
        <v>48</v>
      </c>
      <c r="M104" s="33" t="n">
        <f>2094</f>
        <v>2094.0</v>
      </c>
      <c r="N104" s="34" t="s">
        <v>68</v>
      </c>
      <c r="O104" s="33" t="n">
        <f>2020</f>
        <v>2020.0</v>
      </c>
      <c r="P104" s="34" t="s">
        <v>48</v>
      </c>
      <c r="Q104" s="33" t="n">
        <f>2059</f>
        <v>2059.0</v>
      </c>
      <c r="R104" s="34" t="s">
        <v>49</v>
      </c>
      <c r="S104" s="35" t="n">
        <f>2049.56</f>
        <v>2049.56</v>
      </c>
      <c r="T104" s="32" t="n">
        <f>4394442</f>
        <v>4394442.0</v>
      </c>
      <c r="U104" s="32" t="n">
        <f>3421820</f>
        <v>3421820.0</v>
      </c>
      <c r="V104" s="32" t="n">
        <f>8983090361</f>
        <v>8.983090361E9</v>
      </c>
      <c r="W104" s="32" t="n">
        <f>6983956566</f>
        <v>6.983956566E9</v>
      </c>
      <c r="X104" s="36" t="n">
        <f>18</f>
        <v>18.0</v>
      </c>
    </row>
    <row r="105">
      <c r="A105" s="27" t="s">
        <v>42</v>
      </c>
      <c r="B105" s="27" t="s">
        <v>356</v>
      </c>
      <c r="C105" s="27" t="s">
        <v>357</v>
      </c>
      <c r="D105" s="27" t="s">
        <v>358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2849.5</f>
        <v>2849.5</v>
      </c>
      <c r="L105" s="34" t="s">
        <v>69</v>
      </c>
      <c r="M105" s="33" t="n">
        <f>2940</f>
        <v>2940.0</v>
      </c>
      <c r="N105" s="34" t="s">
        <v>68</v>
      </c>
      <c r="O105" s="33" t="n">
        <f>2749.5</f>
        <v>2749.5</v>
      </c>
      <c r="P105" s="34" t="s">
        <v>59</v>
      </c>
      <c r="Q105" s="33" t="n">
        <f>2851</f>
        <v>2851.0</v>
      </c>
      <c r="R105" s="34" t="s">
        <v>49</v>
      </c>
      <c r="S105" s="35" t="n">
        <f>2834.67</f>
        <v>2834.67</v>
      </c>
      <c r="T105" s="32" t="n">
        <f>780</f>
        <v>780.0</v>
      </c>
      <c r="U105" s="32" t="str">
        <f>"－"</f>
        <v>－</v>
      </c>
      <c r="V105" s="32" t="n">
        <f>2215790</f>
        <v>2215790.0</v>
      </c>
      <c r="W105" s="32" t="str">
        <f>"－"</f>
        <v>－</v>
      </c>
      <c r="X105" s="36" t="n">
        <f>12</f>
        <v>12.0</v>
      </c>
    </row>
    <row r="106">
      <c r="A106" s="27" t="s">
        <v>42</v>
      </c>
      <c r="B106" s="27" t="s">
        <v>359</v>
      </c>
      <c r="C106" s="27" t="s">
        <v>360</v>
      </c>
      <c r="D106" s="27" t="s">
        <v>361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2059</f>
        <v>2059.0</v>
      </c>
      <c r="L106" s="34" t="s">
        <v>48</v>
      </c>
      <c r="M106" s="33" t="n">
        <f>2119</f>
        <v>2119.0</v>
      </c>
      <c r="N106" s="34" t="s">
        <v>68</v>
      </c>
      <c r="O106" s="33" t="n">
        <f>2043</f>
        <v>2043.0</v>
      </c>
      <c r="P106" s="34" t="s">
        <v>48</v>
      </c>
      <c r="Q106" s="33" t="n">
        <f>2089</f>
        <v>2089.0</v>
      </c>
      <c r="R106" s="34" t="s">
        <v>49</v>
      </c>
      <c r="S106" s="35" t="n">
        <f>2072.61</f>
        <v>2072.61</v>
      </c>
      <c r="T106" s="32" t="n">
        <f>2703399</f>
        <v>2703399.0</v>
      </c>
      <c r="U106" s="32" t="n">
        <f>446390</f>
        <v>446390.0</v>
      </c>
      <c r="V106" s="32" t="n">
        <f>5608267851</f>
        <v>5.608267851E9</v>
      </c>
      <c r="W106" s="32" t="n">
        <f>928949339</f>
        <v>9.28949339E8</v>
      </c>
      <c r="X106" s="36" t="n">
        <f>18</f>
        <v>18.0</v>
      </c>
    </row>
    <row r="107">
      <c r="A107" s="27" t="s">
        <v>42</v>
      </c>
      <c r="B107" s="27" t="s">
        <v>362</v>
      </c>
      <c r="C107" s="27" t="s">
        <v>363</v>
      </c>
      <c r="D107" s="27" t="s">
        <v>364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33000</f>
        <v>33000.0</v>
      </c>
      <c r="L107" s="34" t="s">
        <v>48</v>
      </c>
      <c r="M107" s="33" t="n">
        <f>36200</f>
        <v>36200.0</v>
      </c>
      <c r="N107" s="34" t="s">
        <v>49</v>
      </c>
      <c r="O107" s="33" t="n">
        <f>32360</f>
        <v>32360.0</v>
      </c>
      <c r="P107" s="34" t="s">
        <v>48</v>
      </c>
      <c r="Q107" s="33" t="n">
        <f>36200</f>
        <v>36200.0</v>
      </c>
      <c r="R107" s="34" t="s">
        <v>49</v>
      </c>
      <c r="S107" s="35" t="n">
        <f>34694.71</f>
        <v>34694.71</v>
      </c>
      <c r="T107" s="32" t="n">
        <f>89535</f>
        <v>89535.0</v>
      </c>
      <c r="U107" s="32" t="n">
        <f>34013</f>
        <v>34013.0</v>
      </c>
      <c r="V107" s="32" t="n">
        <f>3075604252</f>
        <v>3.075604252E9</v>
      </c>
      <c r="W107" s="32" t="n">
        <f>1176621062</f>
        <v>1.176621062E9</v>
      </c>
      <c r="X107" s="36" t="n">
        <f>17</f>
        <v>17.0</v>
      </c>
    </row>
    <row r="108">
      <c r="A108" s="27" t="s">
        <v>42</v>
      </c>
      <c r="B108" s="27" t="s">
        <v>365</v>
      </c>
      <c r="C108" s="27" t="s">
        <v>366</v>
      </c>
      <c r="D108" s="27" t="s">
        <v>367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650</f>
        <v>650.0</v>
      </c>
      <c r="L108" s="34" t="s">
        <v>48</v>
      </c>
      <c r="M108" s="33" t="n">
        <f>700.3</f>
        <v>700.3</v>
      </c>
      <c r="N108" s="34" t="s">
        <v>49</v>
      </c>
      <c r="O108" s="33" t="n">
        <f>638.5</f>
        <v>638.5</v>
      </c>
      <c r="P108" s="34" t="s">
        <v>48</v>
      </c>
      <c r="Q108" s="33" t="n">
        <f>698.6</f>
        <v>698.6</v>
      </c>
      <c r="R108" s="34" t="s">
        <v>49</v>
      </c>
      <c r="S108" s="35" t="n">
        <f>674.11</f>
        <v>674.11</v>
      </c>
      <c r="T108" s="32" t="n">
        <f>207710</f>
        <v>207710.0</v>
      </c>
      <c r="U108" s="32" t="str">
        <f>"－"</f>
        <v>－</v>
      </c>
      <c r="V108" s="32" t="n">
        <f>139296339</f>
        <v>1.39296339E8</v>
      </c>
      <c r="W108" s="32" t="str">
        <f>"－"</f>
        <v>－</v>
      </c>
      <c r="X108" s="36" t="n">
        <f>18</f>
        <v>18.0</v>
      </c>
    </row>
    <row r="109">
      <c r="A109" s="27" t="s">
        <v>42</v>
      </c>
      <c r="B109" s="27" t="s">
        <v>368</v>
      </c>
      <c r="C109" s="27" t="s">
        <v>369</v>
      </c>
      <c r="D109" s="27" t="s">
        <v>370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10.0</v>
      </c>
      <c r="K109" s="33" t="n">
        <f>605</f>
        <v>605.0</v>
      </c>
      <c r="L109" s="34" t="s">
        <v>48</v>
      </c>
      <c r="M109" s="33" t="n">
        <f>683.5</f>
        <v>683.5</v>
      </c>
      <c r="N109" s="34" t="s">
        <v>64</v>
      </c>
      <c r="O109" s="33" t="n">
        <f>583.5</f>
        <v>583.5</v>
      </c>
      <c r="P109" s="34" t="s">
        <v>48</v>
      </c>
      <c r="Q109" s="33" t="n">
        <f>647.9</f>
        <v>647.9</v>
      </c>
      <c r="R109" s="34" t="s">
        <v>49</v>
      </c>
      <c r="S109" s="35" t="n">
        <f>639.96</f>
        <v>639.96</v>
      </c>
      <c r="T109" s="32" t="n">
        <f>127094740</f>
        <v>1.2709474E8</v>
      </c>
      <c r="U109" s="32" t="n">
        <f>33818530</f>
        <v>3.381853E7</v>
      </c>
      <c r="V109" s="32" t="n">
        <f>81293948874</f>
        <v>8.1293948874E10</v>
      </c>
      <c r="W109" s="32" t="n">
        <f>21566190518</f>
        <v>2.1566190518E10</v>
      </c>
      <c r="X109" s="36" t="n">
        <f>18</f>
        <v>18.0</v>
      </c>
    </row>
    <row r="110">
      <c r="A110" s="27" t="s">
        <v>42</v>
      </c>
      <c r="B110" s="27" t="s">
        <v>371</v>
      </c>
      <c r="C110" s="27" t="s">
        <v>372</v>
      </c>
      <c r="D110" s="27" t="s">
        <v>373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42640</f>
        <v>42640.0</v>
      </c>
      <c r="L110" s="34" t="s">
        <v>48</v>
      </c>
      <c r="M110" s="33" t="n">
        <f>47020</f>
        <v>47020.0</v>
      </c>
      <c r="N110" s="34" t="s">
        <v>68</v>
      </c>
      <c r="O110" s="33" t="n">
        <f>42240</f>
        <v>42240.0</v>
      </c>
      <c r="P110" s="34" t="s">
        <v>48</v>
      </c>
      <c r="Q110" s="33" t="n">
        <f>46960</f>
        <v>46960.0</v>
      </c>
      <c r="R110" s="34" t="s">
        <v>49</v>
      </c>
      <c r="S110" s="35" t="n">
        <f>45260.56</f>
        <v>45260.56</v>
      </c>
      <c r="T110" s="32" t="n">
        <f>12102</f>
        <v>12102.0</v>
      </c>
      <c r="U110" s="32" t="n">
        <f>4033</f>
        <v>4033.0</v>
      </c>
      <c r="V110" s="32" t="n">
        <f>551734098</f>
        <v>5.51734098E8</v>
      </c>
      <c r="W110" s="32" t="n">
        <f>188522298</f>
        <v>1.88522298E8</v>
      </c>
      <c r="X110" s="36" t="n">
        <f>18</f>
        <v>18.0</v>
      </c>
    </row>
    <row r="111">
      <c r="A111" s="27" t="s">
        <v>42</v>
      </c>
      <c r="B111" s="27" t="s">
        <v>374</v>
      </c>
      <c r="C111" s="27" t="s">
        <v>375</v>
      </c>
      <c r="D111" s="27" t="s">
        <v>376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34190</f>
        <v>34190.0</v>
      </c>
      <c r="L111" s="34" t="s">
        <v>48</v>
      </c>
      <c r="M111" s="33" t="n">
        <f>38810</f>
        <v>38810.0</v>
      </c>
      <c r="N111" s="34" t="s">
        <v>64</v>
      </c>
      <c r="O111" s="33" t="n">
        <f>32780</f>
        <v>32780.0</v>
      </c>
      <c r="P111" s="34" t="s">
        <v>48</v>
      </c>
      <c r="Q111" s="33" t="n">
        <f>38020</f>
        <v>38020.0</v>
      </c>
      <c r="R111" s="34" t="s">
        <v>49</v>
      </c>
      <c r="S111" s="35" t="n">
        <f>36309.44</f>
        <v>36309.44</v>
      </c>
      <c r="T111" s="32" t="n">
        <f>72515</f>
        <v>72515.0</v>
      </c>
      <c r="U111" s="32" t="n">
        <f>7217</f>
        <v>7217.0</v>
      </c>
      <c r="V111" s="32" t="n">
        <f>2639933832</f>
        <v>2.639933832E9</v>
      </c>
      <c r="W111" s="32" t="n">
        <f>262946722</f>
        <v>2.62946722E8</v>
      </c>
      <c r="X111" s="36" t="n">
        <f>18</f>
        <v>18.0</v>
      </c>
    </row>
    <row r="112">
      <c r="A112" s="27" t="s">
        <v>42</v>
      </c>
      <c r="B112" s="27" t="s">
        <v>377</v>
      </c>
      <c r="C112" s="27" t="s">
        <v>378</v>
      </c>
      <c r="D112" s="27" t="s">
        <v>379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1.0</v>
      </c>
      <c r="K112" s="33" t="n">
        <f>45960</f>
        <v>45960.0</v>
      </c>
      <c r="L112" s="34" t="s">
        <v>48</v>
      </c>
      <c r="M112" s="33" t="n">
        <f>53140</f>
        <v>53140.0</v>
      </c>
      <c r="N112" s="34" t="s">
        <v>49</v>
      </c>
      <c r="O112" s="33" t="n">
        <f>45180</f>
        <v>45180.0</v>
      </c>
      <c r="P112" s="34" t="s">
        <v>48</v>
      </c>
      <c r="Q112" s="33" t="n">
        <f>53140</f>
        <v>53140.0</v>
      </c>
      <c r="R112" s="34" t="s">
        <v>49</v>
      </c>
      <c r="S112" s="35" t="n">
        <f>50059.44</f>
        <v>50059.44</v>
      </c>
      <c r="T112" s="32" t="n">
        <f>53802</f>
        <v>53802.0</v>
      </c>
      <c r="U112" s="32" t="n">
        <f>27567</f>
        <v>27567.0</v>
      </c>
      <c r="V112" s="32" t="n">
        <f>2741397575</f>
        <v>2.741397575E9</v>
      </c>
      <c r="W112" s="32" t="n">
        <f>1423126855</f>
        <v>1.423126855E9</v>
      </c>
      <c r="X112" s="36" t="n">
        <f>18</f>
        <v>18.0</v>
      </c>
    </row>
    <row r="113">
      <c r="A113" s="27" t="s">
        <v>42</v>
      </c>
      <c r="B113" s="27" t="s">
        <v>380</v>
      </c>
      <c r="C113" s="27" t="s">
        <v>381</v>
      </c>
      <c r="D113" s="27" t="s">
        <v>382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32870</f>
        <v>32870.0</v>
      </c>
      <c r="L113" s="34" t="s">
        <v>48</v>
      </c>
      <c r="M113" s="33" t="n">
        <f>37460</f>
        <v>37460.0</v>
      </c>
      <c r="N113" s="34" t="s">
        <v>49</v>
      </c>
      <c r="O113" s="33" t="n">
        <f>32500</f>
        <v>32500.0</v>
      </c>
      <c r="P113" s="34" t="s">
        <v>48</v>
      </c>
      <c r="Q113" s="33" t="n">
        <f>37460</f>
        <v>37460.0</v>
      </c>
      <c r="R113" s="34" t="s">
        <v>49</v>
      </c>
      <c r="S113" s="35" t="n">
        <f>35160.56</f>
        <v>35160.56</v>
      </c>
      <c r="T113" s="32" t="n">
        <f>10362</f>
        <v>10362.0</v>
      </c>
      <c r="U113" s="32" t="n">
        <f>248</f>
        <v>248.0</v>
      </c>
      <c r="V113" s="32" t="n">
        <f>366240754</f>
        <v>3.66240754E8</v>
      </c>
      <c r="W113" s="32" t="n">
        <f>8753764</f>
        <v>8753764.0</v>
      </c>
      <c r="X113" s="36" t="n">
        <f>18</f>
        <v>18.0</v>
      </c>
    </row>
    <row r="114">
      <c r="A114" s="27" t="s">
        <v>42</v>
      </c>
      <c r="B114" s="27" t="s">
        <v>383</v>
      </c>
      <c r="C114" s="27" t="s">
        <v>384</v>
      </c>
      <c r="D114" s="27" t="s">
        <v>385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30860</f>
        <v>30860.0</v>
      </c>
      <c r="L114" s="34" t="s">
        <v>48</v>
      </c>
      <c r="M114" s="33" t="n">
        <f>34180</f>
        <v>34180.0</v>
      </c>
      <c r="N114" s="34" t="s">
        <v>83</v>
      </c>
      <c r="O114" s="33" t="n">
        <f>30320</f>
        <v>30320.0</v>
      </c>
      <c r="P114" s="34" t="s">
        <v>101</v>
      </c>
      <c r="Q114" s="33" t="n">
        <f>34080</f>
        <v>34080.0</v>
      </c>
      <c r="R114" s="34" t="s">
        <v>49</v>
      </c>
      <c r="S114" s="35" t="n">
        <f>32350</f>
        <v>32350.0</v>
      </c>
      <c r="T114" s="32" t="n">
        <f>13717</f>
        <v>13717.0</v>
      </c>
      <c r="U114" s="32" t="n">
        <f>200</f>
        <v>200.0</v>
      </c>
      <c r="V114" s="32" t="n">
        <f>443548091</f>
        <v>4.43548091E8</v>
      </c>
      <c r="W114" s="32" t="n">
        <f>6558371</f>
        <v>6558371.0</v>
      </c>
      <c r="X114" s="36" t="n">
        <f>18</f>
        <v>18.0</v>
      </c>
    </row>
    <row r="115">
      <c r="A115" s="27" t="s">
        <v>42</v>
      </c>
      <c r="B115" s="27" t="s">
        <v>386</v>
      </c>
      <c r="C115" s="27" t="s">
        <v>387</v>
      </c>
      <c r="D115" s="27" t="s">
        <v>388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38000</f>
        <v>38000.0</v>
      </c>
      <c r="L115" s="34" t="s">
        <v>48</v>
      </c>
      <c r="M115" s="33" t="n">
        <f>41050</f>
        <v>41050.0</v>
      </c>
      <c r="N115" s="34" t="s">
        <v>59</v>
      </c>
      <c r="O115" s="33" t="n">
        <f>37150</f>
        <v>37150.0</v>
      </c>
      <c r="P115" s="34" t="s">
        <v>48</v>
      </c>
      <c r="Q115" s="33" t="n">
        <f>40190</f>
        <v>40190.0</v>
      </c>
      <c r="R115" s="34" t="s">
        <v>49</v>
      </c>
      <c r="S115" s="35" t="n">
        <f>39238.89</f>
        <v>39238.89</v>
      </c>
      <c r="T115" s="32" t="n">
        <f>10018</f>
        <v>10018.0</v>
      </c>
      <c r="U115" s="32" t="n">
        <f>122</f>
        <v>122.0</v>
      </c>
      <c r="V115" s="32" t="n">
        <f>392709872</f>
        <v>3.92709872E8</v>
      </c>
      <c r="W115" s="32" t="n">
        <f>4819832</f>
        <v>4819832.0</v>
      </c>
      <c r="X115" s="36" t="n">
        <f>18</f>
        <v>18.0</v>
      </c>
    </row>
    <row r="116">
      <c r="A116" s="27" t="s">
        <v>42</v>
      </c>
      <c r="B116" s="27" t="s">
        <v>389</v>
      </c>
      <c r="C116" s="27" t="s">
        <v>390</v>
      </c>
      <c r="D116" s="27" t="s">
        <v>391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49570</f>
        <v>49570.0</v>
      </c>
      <c r="L116" s="34" t="s">
        <v>48</v>
      </c>
      <c r="M116" s="33" t="n">
        <f>69030</f>
        <v>69030.0</v>
      </c>
      <c r="N116" s="34" t="s">
        <v>68</v>
      </c>
      <c r="O116" s="33" t="n">
        <f>49010</f>
        <v>49010.0</v>
      </c>
      <c r="P116" s="34" t="s">
        <v>48</v>
      </c>
      <c r="Q116" s="33" t="n">
        <f>67670</f>
        <v>67670.0</v>
      </c>
      <c r="R116" s="34" t="s">
        <v>49</v>
      </c>
      <c r="S116" s="35" t="n">
        <f>58833.33</f>
        <v>58833.33</v>
      </c>
      <c r="T116" s="32" t="n">
        <f>131416</f>
        <v>131416.0</v>
      </c>
      <c r="U116" s="32" t="n">
        <f>27619</f>
        <v>27619.0</v>
      </c>
      <c r="V116" s="32" t="n">
        <f>7721746635</f>
        <v>7.721746635E9</v>
      </c>
      <c r="W116" s="32" t="n">
        <f>1522528385</f>
        <v>1.522528385E9</v>
      </c>
      <c r="X116" s="36" t="n">
        <f>18</f>
        <v>18.0</v>
      </c>
    </row>
    <row r="117">
      <c r="A117" s="27" t="s">
        <v>42</v>
      </c>
      <c r="B117" s="27" t="s">
        <v>392</v>
      </c>
      <c r="C117" s="27" t="s">
        <v>393</v>
      </c>
      <c r="D117" s="27" t="s">
        <v>394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85130</f>
        <v>85130.0</v>
      </c>
      <c r="L117" s="34" t="s">
        <v>48</v>
      </c>
      <c r="M117" s="33" t="n">
        <f>100550</f>
        <v>100550.0</v>
      </c>
      <c r="N117" s="34" t="s">
        <v>59</v>
      </c>
      <c r="O117" s="33" t="n">
        <f>82770</f>
        <v>82770.0</v>
      </c>
      <c r="P117" s="34" t="s">
        <v>48</v>
      </c>
      <c r="Q117" s="33" t="n">
        <f>96940</f>
        <v>96940.0</v>
      </c>
      <c r="R117" s="34" t="s">
        <v>49</v>
      </c>
      <c r="S117" s="35" t="n">
        <f>92620.56</f>
        <v>92620.56</v>
      </c>
      <c r="T117" s="32" t="n">
        <f>11971</f>
        <v>11971.0</v>
      </c>
      <c r="U117" s="32" t="n">
        <f>3485</f>
        <v>3485.0</v>
      </c>
      <c r="V117" s="32" t="n">
        <f>1119476798</f>
        <v>1.119476798E9</v>
      </c>
      <c r="W117" s="32" t="n">
        <f>335288528</f>
        <v>3.35288528E8</v>
      </c>
      <c r="X117" s="36" t="n">
        <f>18</f>
        <v>18.0</v>
      </c>
    </row>
    <row r="118">
      <c r="A118" s="27" t="s">
        <v>42</v>
      </c>
      <c r="B118" s="27" t="s">
        <v>395</v>
      </c>
      <c r="C118" s="27" t="s">
        <v>396</v>
      </c>
      <c r="D118" s="27" t="s">
        <v>397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51760</f>
        <v>51760.0</v>
      </c>
      <c r="L118" s="34" t="s">
        <v>48</v>
      </c>
      <c r="M118" s="33" t="n">
        <f>55430</f>
        <v>55430.0</v>
      </c>
      <c r="N118" s="34" t="s">
        <v>68</v>
      </c>
      <c r="O118" s="33" t="n">
        <f>50340</f>
        <v>50340.0</v>
      </c>
      <c r="P118" s="34" t="s">
        <v>94</v>
      </c>
      <c r="Q118" s="33" t="n">
        <f>55300</f>
        <v>55300.0</v>
      </c>
      <c r="R118" s="34" t="s">
        <v>49</v>
      </c>
      <c r="S118" s="35" t="n">
        <f>52990</f>
        <v>52990.0</v>
      </c>
      <c r="T118" s="32" t="n">
        <f>10472</f>
        <v>10472.0</v>
      </c>
      <c r="U118" s="32" t="n">
        <f>95</f>
        <v>95.0</v>
      </c>
      <c r="V118" s="32" t="n">
        <f>558390626</f>
        <v>5.58390626E8</v>
      </c>
      <c r="W118" s="32" t="n">
        <f>5042036</f>
        <v>5042036.0</v>
      </c>
      <c r="X118" s="36" t="n">
        <f>18</f>
        <v>18.0</v>
      </c>
    </row>
    <row r="119">
      <c r="A119" s="27" t="s">
        <v>42</v>
      </c>
      <c r="B119" s="27" t="s">
        <v>398</v>
      </c>
      <c r="C119" s="27" t="s">
        <v>399</v>
      </c>
      <c r="D119" s="27" t="s">
        <v>400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40790</f>
        <v>40790.0</v>
      </c>
      <c r="L119" s="34" t="s">
        <v>48</v>
      </c>
      <c r="M119" s="33" t="n">
        <f>41090</f>
        <v>41090.0</v>
      </c>
      <c r="N119" s="34" t="s">
        <v>60</v>
      </c>
      <c r="O119" s="33" t="n">
        <f>37830</f>
        <v>37830.0</v>
      </c>
      <c r="P119" s="34" t="s">
        <v>90</v>
      </c>
      <c r="Q119" s="33" t="n">
        <f>39550</f>
        <v>39550.0</v>
      </c>
      <c r="R119" s="34" t="s">
        <v>49</v>
      </c>
      <c r="S119" s="35" t="n">
        <f>39226.67</f>
        <v>39226.67</v>
      </c>
      <c r="T119" s="32" t="n">
        <f>11239</f>
        <v>11239.0</v>
      </c>
      <c r="U119" s="32" t="n">
        <f>170</f>
        <v>170.0</v>
      </c>
      <c r="V119" s="32" t="n">
        <f>442759427</f>
        <v>4.42759427E8</v>
      </c>
      <c r="W119" s="32" t="n">
        <f>6709967</f>
        <v>6709967.0</v>
      </c>
      <c r="X119" s="36" t="n">
        <f>18</f>
        <v>18.0</v>
      </c>
    </row>
    <row r="120">
      <c r="A120" s="27" t="s">
        <v>42</v>
      </c>
      <c r="B120" s="27" t="s">
        <v>401</v>
      </c>
      <c r="C120" s="27" t="s">
        <v>402</v>
      </c>
      <c r="D120" s="27" t="s">
        <v>403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11675</f>
        <v>11675.0</v>
      </c>
      <c r="L120" s="34" t="s">
        <v>48</v>
      </c>
      <c r="M120" s="33" t="n">
        <f>13745</f>
        <v>13745.0</v>
      </c>
      <c r="N120" s="34" t="s">
        <v>160</v>
      </c>
      <c r="O120" s="33" t="n">
        <f>11400</f>
        <v>11400.0</v>
      </c>
      <c r="P120" s="34" t="s">
        <v>48</v>
      </c>
      <c r="Q120" s="33" t="n">
        <f>13215</f>
        <v>13215.0</v>
      </c>
      <c r="R120" s="34" t="s">
        <v>49</v>
      </c>
      <c r="S120" s="35" t="n">
        <f>12621.94</f>
        <v>12621.94</v>
      </c>
      <c r="T120" s="32" t="n">
        <f>198579</f>
        <v>198579.0</v>
      </c>
      <c r="U120" s="32" t="n">
        <f>74274</f>
        <v>74274.0</v>
      </c>
      <c r="V120" s="32" t="n">
        <f>2526965818</f>
        <v>2.526965818E9</v>
      </c>
      <c r="W120" s="32" t="n">
        <f>944674618</f>
        <v>9.44674618E8</v>
      </c>
      <c r="X120" s="36" t="n">
        <f>18</f>
        <v>18.0</v>
      </c>
    </row>
    <row r="121">
      <c r="A121" s="27" t="s">
        <v>42</v>
      </c>
      <c r="B121" s="27" t="s">
        <v>404</v>
      </c>
      <c r="C121" s="27" t="s">
        <v>405</v>
      </c>
      <c r="D121" s="27" t="s">
        <v>406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20990</f>
        <v>20990.0</v>
      </c>
      <c r="L121" s="34" t="s">
        <v>48</v>
      </c>
      <c r="M121" s="33" t="n">
        <f>22505</f>
        <v>22505.0</v>
      </c>
      <c r="N121" s="34" t="s">
        <v>49</v>
      </c>
      <c r="O121" s="33" t="n">
        <f>20890</f>
        <v>20890.0</v>
      </c>
      <c r="P121" s="34" t="s">
        <v>60</v>
      </c>
      <c r="Q121" s="33" t="n">
        <f>22505</f>
        <v>22505.0</v>
      </c>
      <c r="R121" s="34" t="s">
        <v>49</v>
      </c>
      <c r="S121" s="35" t="n">
        <f>21904.44</f>
        <v>21904.44</v>
      </c>
      <c r="T121" s="32" t="n">
        <f>7070</f>
        <v>7070.0</v>
      </c>
      <c r="U121" s="32" t="n">
        <f>102</f>
        <v>102.0</v>
      </c>
      <c r="V121" s="32" t="n">
        <f>154867571</f>
        <v>1.54867571E8</v>
      </c>
      <c r="W121" s="32" t="n">
        <f>2238846</f>
        <v>2238846.0</v>
      </c>
      <c r="X121" s="36" t="n">
        <f>18</f>
        <v>18.0</v>
      </c>
    </row>
    <row r="122">
      <c r="A122" s="27" t="s">
        <v>42</v>
      </c>
      <c r="B122" s="27" t="s">
        <v>407</v>
      </c>
      <c r="C122" s="27" t="s">
        <v>408</v>
      </c>
      <c r="D122" s="27" t="s">
        <v>409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124950</f>
        <v>124950.0</v>
      </c>
      <c r="L122" s="34" t="s">
        <v>48</v>
      </c>
      <c r="M122" s="33" t="n">
        <f>146800</f>
        <v>146800.0</v>
      </c>
      <c r="N122" s="34" t="s">
        <v>49</v>
      </c>
      <c r="O122" s="33" t="n">
        <f>122000</f>
        <v>122000.0</v>
      </c>
      <c r="P122" s="34" t="s">
        <v>48</v>
      </c>
      <c r="Q122" s="33" t="n">
        <f>146800</f>
        <v>146800.0</v>
      </c>
      <c r="R122" s="34" t="s">
        <v>49</v>
      </c>
      <c r="S122" s="35" t="n">
        <f>136841.67</f>
        <v>136841.67</v>
      </c>
      <c r="T122" s="32" t="n">
        <f>52723</f>
        <v>52723.0</v>
      </c>
      <c r="U122" s="32" t="n">
        <f>9366</f>
        <v>9366.0</v>
      </c>
      <c r="V122" s="32" t="n">
        <f>7235584621</f>
        <v>7.235584621E9</v>
      </c>
      <c r="W122" s="32" t="n">
        <f>1301334671</f>
        <v>1.301334671E9</v>
      </c>
      <c r="X122" s="36" t="n">
        <f>18</f>
        <v>18.0</v>
      </c>
    </row>
    <row r="123">
      <c r="A123" s="27" t="s">
        <v>42</v>
      </c>
      <c r="B123" s="27" t="s">
        <v>410</v>
      </c>
      <c r="C123" s="27" t="s">
        <v>411</v>
      </c>
      <c r="D123" s="27" t="s">
        <v>412</v>
      </c>
      <c r="E123" s="28" t="s">
        <v>46</v>
      </c>
      <c r="F123" s="29" t="s">
        <v>46</v>
      </c>
      <c r="G123" s="30" t="s">
        <v>46</v>
      </c>
      <c r="H123" s="31"/>
      <c r="I123" s="31" t="s">
        <v>413</v>
      </c>
      <c r="J123" s="32" t="n">
        <v>1.0</v>
      </c>
      <c r="K123" s="33" t="n">
        <f>13690</f>
        <v>13690.0</v>
      </c>
      <c r="L123" s="34" t="s">
        <v>48</v>
      </c>
      <c r="M123" s="33" t="n">
        <f>15725</f>
        <v>15725.0</v>
      </c>
      <c r="N123" s="34" t="s">
        <v>68</v>
      </c>
      <c r="O123" s="33" t="n">
        <f>13520</f>
        <v>13520.0</v>
      </c>
      <c r="P123" s="34" t="s">
        <v>48</v>
      </c>
      <c r="Q123" s="33" t="n">
        <f>15695</f>
        <v>15695.0</v>
      </c>
      <c r="R123" s="34" t="s">
        <v>49</v>
      </c>
      <c r="S123" s="35" t="n">
        <f>14774.44</f>
        <v>14774.44</v>
      </c>
      <c r="T123" s="32" t="n">
        <f>17024</f>
        <v>17024.0</v>
      </c>
      <c r="U123" s="32" t="str">
        <f>"－"</f>
        <v>－</v>
      </c>
      <c r="V123" s="32" t="n">
        <f>248633560</f>
        <v>2.4863356E8</v>
      </c>
      <c r="W123" s="32" t="str">
        <f>"－"</f>
        <v>－</v>
      </c>
      <c r="X123" s="36" t="n">
        <f>18</f>
        <v>18.0</v>
      </c>
    </row>
    <row r="124">
      <c r="A124" s="27" t="s">
        <v>42</v>
      </c>
      <c r="B124" s="27" t="s">
        <v>414</v>
      </c>
      <c r="C124" s="27" t="s">
        <v>415</v>
      </c>
      <c r="D124" s="27" t="s">
        <v>416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36300</f>
        <v>36300.0</v>
      </c>
      <c r="L124" s="34" t="s">
        <v>48</v>
      </c>
      <c r="M124" s="33" t="n">
        <f>40200</f>
        <v>40200.0</v>
      </c>
      <c r="N124" s="34" t="s">
        <v>160</v>
      </c>
      <c r="O124" s="33" t="n">
        <f>36290</f>
        <v>36290.0</v>
      </c>
      <c r="P124" s="34" t="s">
        <v>48</v>
      </c>
      <c r="Q124" s="33" t="n">
        <f>39640</f>
        <v>39640.0</v>
      </c>
      <c r="R124" s="34" t="s">
        <v>49</v>
      </c>
      <c r="S124" s="35" t="n">
        <f>39007.78</f>
        <v>39007.78</v>
      </c>
      <c r="T124" s="32" t="n">
        <f>5229</f>
        <v>5229.0</v>
      </c>
      <c r="U124" s="32" t="n">
        <f>209</f>
        <v>209.0</v>
      </c>
      <c r="V124" s="32" t="n">
        <f>203255667</f>
        <v>2.03255667E8</v>
      </c>
      <c r="W124" s="32" t="n">
        <f>8212507</f>
        <v>8212507.0</v>
      </c>
      <c r="X124" s="36" t="n">
        <f>18</f>
        <v>18.0</v>
      </c>
    </row>
    <row r="125">
      <c r="A125" s="27" t="s">
        <v>42</v>
      </c>
      <c r="B125" s="27" t="s">
        <v>417</v>
      </c>
      <c r="C125" s="27" t="s">
        <v>418</v>
      </c>
      <c r="D125" s="27" t="s">
        <v>419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32520</f>
        <v>32520.0</v>
      </c>
      <c r="L125" s="34" t="s">
        <v>48</v>
      </c>
      <c r="M125" s="33" t="n">
        <f>36990</f>
        <v>36990.0</v>
      </c>
      <c r="N125" s="34" t="s">
        <v>59</v>
      </c>
      <c r="O125" s="33" t="n">
        <f>31310</f>
        <v>31310.0</v>
      </c>
      <c r="P125" s="34" t="s">
        <v>48</v>
      </c>
      <c r="Q125" s="33" t="n">
        <f>34650</f>
        <v>34650.0</v>
      </c>
      <c r="R125" s="34" t="s">
        <v>49</v>
      </c>
      <c r="S125" s="35" t="n">
        <f>34297.22</f>
        <v>34297.22</v>
      </c>
      <c r="T125" s="32" t="n">
        <f>195738</f>
        <v>195738.0</v>
      </c>
      <c r="U125" s="32" t="n">
        <f>86332</f>
        <v>86332.0</v>
      </c>
      <c r="V125" s="32" t="n">
        <f>6691168431</f>
        <v>6.691168431E9</v>
      </c>
      <c r="W125" s="32" t="n">
        <f>2922697661</f>
        <v>2.922697661E9</v>
      </c>
      <c r="X125" s="36" t="n">
        <f>18</f>
        <v>18.0</v>
      </c>
    </row>
    <row r="126">
      <c r="A126" s="27" t="s">
        <v>42</v>
      </c>
      <c r="B126" s="27" t="s">
        <v>420</v>
      </c>
      <c r="C126" s="27" t="s">
        <v>421</v>
      </c>
      <c r="D126" s="27" t="s">
        <v>422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35330</f>
        <v>35330.0</v>
      </c>
      <c r="L126" s="34" t="s">
        <v>48</v>
      </c>
      <c r="M126" s="33" t="n">
        <f>39100</f>
        <v>39100.0</v>
      </c>
      <c r="N126" s="34" t="s">
        <v>49</v>
      </c>
      <c r="O126" s="33" t="n">
        <f>34170</f>
        <v>34170.0</v>
      </c>
      <c r="P126" s="34" t="s">
        <v>48</v>
      </c>
      <c r="Q126" s="33" t="n">
        <f>38870</f>
        <v>38870.0</v>
      </c>
      <c r="R126" s="34" t="s">
        <v>49</v>
      </c>
      <c r="S126" s="35" t="n">
        <f>37207.78</f>
        <v>37207.78</v>
      </c>
      <c r="T126" s="32" t="n">
        <f>17458</f>
        <v>17458.0</v>
      </c>
      <c r="U126" s="32" t="n">
        <f>466</f>
        <v>466.0</v>
      </c>
      <c r="V126" s="32" t="n">
        <f>658265189</f>
        <v>6.58265189E8</v>
      </c>
      <c r="W126" s="32" t="n">
        <f>17535759</f>
        <v>1.7535759E7</v>
      </c>
      <c r="X126" s="36" t="n">
        <f>18</f>
        <v>18.0</v>
      </c>
    </row>
    <row r="127">
      <c r="A127" s="27" t="s">
        <v>42</v>
      </c>
      <c r="B127" s="27" t="s">
        <v>423</v>
      </c>
      <c r="C127" s="27" t="s">
        <v>424</v>
      </c>
      <c r="D127" s="27" t="s">
        <v>425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55220</f>
        <v>55220.0</v>
      </c>
      <c r="L127" s="34" t="s">
        <v>48</v>
      </c>
      <c r="M127" s="33" t="n">
        <f>66150</f>
        <v>66150.0</v>
      </c>
      <c r="N127" s="34" t="s">
        <v>68</v>
      </c>
      <c r="O127" s="33" t="n">
        <f>53920</f>
        <v>53920.0</v>
      </c>
      <c r="P127" s="34" t="s">
        <v>48</v>
      </c>
      <c r="Q127" s="33" t="n">
        <f>65500</f>
        <v>65500.0</v>
      </c>
      <c r="R127" s="34" t="s">
        <v>49</v>
      </c>
      <c r="S127" s="35" t="n">
        <f>61243.89</f>
        <v>61243.89</v>
      </c>
      <c r="T127" s="32" t="n">
        <f>10147</f>
        <v>10147.0</v>
      </c>
      <c r="U127" s="32" t="n">
        <f>1844</f>
        <v>1844.0</v>
      </c>
      <c r="V127" s="32" t="n">
        <f>603940082</f>
        <v>6.03940082E8</v>
      </c>
      <c r="W127" s="32" t="n">
        <f>102228102</f>
        <v>1.02228102E8</v>
      </c>
      <c r="X127" s="36" t="n">
        <f>18</f>
        <v>18.0</v>
      </c>
    </row>
    <row r="128">
      <c r="A128" s="27" t="s">
        <v>42</v>
      </c>
      <c r="B128" s="27" t="s">
        <v>426</v>
      </c>
      <c r="C128" s="27" t="s">
        <v>427</v>
      </c>
      <c r="D128" s="27" t="s">
        <v>428</v>
      </c>
      <c r="E128" s="28" t="s">
        <v>46</v>
      </c>
      <c r="F128" s="29" t="s">
        <v>46</v>
      </c>
      <c r="G128" s="30" t="s">
        <v>46</v>
      </c>
      <c r="H128" s="31"/>
      <c r="I128" s="31" t="s">
        <v>413</v>
      </c>
      <c r="J128" s="32" t="n">
        <v>1.0</v>
      </c>
      <c r="K128" s="33" t="n">
        <f>14435</f>
        <v>14435.0</v>
      </c>
      <c r="L128" s="34" t="s">
        <v>48</v>
      </c>
      <c r="M128" s="33" t="n">
        <f>16400</f>
        <v>16400.0</v>
      </c>
      <c r="N128" s="34" t="s">
        <v>68</v>
      </c>
      <c r="O128" s="33" t="n">
        <f>14000</f>
        <v>14000.0</v>
      </c>
      <c r="P128" s="34" t="s">
        <v>48</v>
      </c>
      <c r="Q128" s="33" t="n">
        <f>16095</f>
        <v>16095.0</v>
      </c>
      <c r="R128" s="34" t="s">
        <v>49</v>
      </c>
      <c r="S128" s="35" t="n">
        <f>15246.67</f>
        <v>15246.67</v>
      </c>
      <c r="T128" s="32" t="n">
        <f>132280</f>
        <v>132280.0</v>
      </c>
      <c r="U128" s="32" t="n">
        <f>6250</f>
        <v>6250.0</v>
      </c>
      <c r="V128" s="32" t="n">
        <f>2043068775</f>
        <v>2.043068775E9</v>
      </c>
      <c r="W128" s="32" t="n">
        <f>101862500</f>
        <v>1.018625E8</v>
      </c>
      <c r="X128" s="36" t="n">
        <f>18</f>
        <v>18.0</v>
      </c>
    </row>
    <row r="129">
      <c r="A129" s="27" t="s">
        <v>42</v>
      </c>
      <c r="B129" s="27" t="s">
        <v>429</v>
      </c>
      <c r="C129" s="27" t="s">
        <v>430</v>
      </c>
      <c r="D129" s="27" t="s">
        <v>431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2872</f>
        <v>2872.0</v>
      </c>
      <c r="L129" s="34" t="s">
        <v>48</v>
      </c>
      <c r="M129" s="33" t="n">
        <f>3147</f>
        <v>3147.0</v>
      </c>
      <c r="N129" s="34" t="s">
        <v>49</v>
      </c>
      <c r="O129" s="33" t="n">
        <f>2791</f>
        <v>2791.0</v>
      </c>
      <c r="P129" s="34" t="s">
        <v>48</v>
      </c>
      <c r="Q129" s="33" t="n">
        <f>3143</f>
        <v>3143.0</v>
      </c>
      <c r="R129" s="34" t="s">
        <v>49</v>
      </c>
      <c r="S129" s="35" t="n">
        <f>3027.17</f>
        <v>3027.17</v>
      </c>
      <c r="T129" s="32" t="n">
        <f>4100425</f>
        <v>4100425.0</v>
      </c>
      <c r="U129" s="32" t="n">
        <f>2645552</f>
        <v>2645552.0</v>
      </c>
      <c r="V129" s="32" t="n">
        <f>12447718756</f>
        <v>1.2447718756E10</v>
      </c>
      <c r="W129" s="32" t="n">
        <f>8071815007</f>
        <v>8.071815007E9</v>
      </c>
      <c r="X129" s="36" t="n">
        <f>18</f>
        <v>18.0</v>
      </c>
    </row>
    <row r="130">
      <c r="A130" s="27" t="s">
        <v>42</v>
      </c>
      <c r="B130" s="27" t="s">
        <v>432</v>
      </c>
      <c r="C130" s="27" t="s">
        <v>433</v>
      </c>
      <c r="D130" s="27" t="s">
        <v>434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10.0</v>
      </c>
      <c r="K130" s="33" t="n">
        <f>4302</f>
        <v>4302.0</v>
      </c>
      <c r="L130" s="34" t="s">
        <v>69</v>
      </c>
      <c r="M130" s="33" t="n">
        <f>4586</f>
        <v>4586.0</v>
      </c>
      <c r="N130" s="34" t="s">
        <v>49</v>
      </c>
      <c r="O130" s="33" t="n">
        <f>4302</f>
        <v>4302.0</v>
      </c>
      <c r="P130" s="34" t="s">
        <v>69</v>
      </c>
      <c r="Q130" s="33" t="n">
        <f>4581</f>
        <v>4581.0</v>
      </c>
      <c r="R130" s="34" t="s">
        <v>49</v>
      </c>
      <c r="S130" s="35" t="n">
        <f>4468</f>
        <v>4468.0</v>
      </c>
      <c r="T130" s="32" t="n">
        <f>1640</f>
        <v>1640.0</v>
      </c>
      <c r="U130" s="32" t="str">
        <f>"－"</f>
        <v>－</v>
      </c>
      <c r="V130" s="32" t="n">
        <f>7341930</f>
        <v>7341930.0</v>
      </c>
      <c r="W130" s="32" t="str">
        <f>"－"</f>
        <v>－</v>
      </c>
      <c r="X130" s="36" t="n">
        <f>15</f>
        <v>15.0</v>
      </c>
    </row>
    <row r="131">
      <c r="A131" s="27" t="s">
        <v>42</v>
      </c>
      <c r="B131" s="27" t="s">
        <v>435</v>
      </c>
      <c r="C131" s="27" t="s">
        <v>436</v>
      </c>
      <c r="D131" s="27" t="s">
        <v>437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10.0</v>
      </c>
      <c r="K131" s="33" t="n">
        <f>4610</f>
        <v>4610.0</v>
      </c>
      <c r="L131" s="34" t="s">
        <v>48</v>
      </c>
      <c r="M131" s="33" t="n">
        <f>5099</f>
        <v>5099.0</v>
      </c>
      <c r="N131" s="34" t="s">
        <v>105</v>
      </c>
      <c r="O131" s="33" t="n">
        <f>4590</f>
        <v>4590.0</v>
      </c>
      <c r="P131" s="34" t="s">
        <v>48</v>
      </c>
      <c r="Q131" s="33" t="n">
        <f>4930</f>
        <v>4930.0</v>
      </c>
      <c r="R131" s="34" t="s">
        <v>83</v>
      </c>
      <c r="S131" s="35" t="n">
        <f>4850</f>
        <v>4850.0</v>
      </c>
      <c r="T131" s="32" t="n">
        <f>113910</f>
        <v>113910.0</v>
      </c>
      <c r="U131" s="32" t="n">
        <f>55330</f>
        <v>55330.0</v>
      </c>
      <c r="V131" s="32" t="n">
        <f>540659249</f>
        <v>5.40659249E8</v>
      </c>
      <c r="W131" s="32" t="n">
        <f>258905669</f>
        <v>2.58905669E8</v>
      </c>
      <c r="X131" s="36" t="n">
        <f>14</f>
        <v>14.0</v>
      </c>
    </row>
    <row r="132">
      <c r="A132" s="27" t="s">
        <v>42</v>
      </c>
      <c r="B132" s="27" t="s">
        <v>438</v>
      </c>
      <c r="C132" s="27" t="s">
        <v>439</v>
      </c>
      <c r="D132" s="27" t="s">
        <v>440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2949.5</f>
        <v>2949.5</v>
      </c>
      <c r="L132" s="34" t="s">
        <v>60</v>
      </c>
      <c r="M132" s="33" t="n">
        <f>3210</f>
        <v>3210.0</v>
      </c>
      <c r="N132" s="34" t="s">
        <v>68</v>
      </c>
      <c r="O132" s="33" t="n">
        <f>2948</f>
        <v>2948.0</v>
      </c>
      <c r="P132" s="34" t="s">
        <v>60</v>
      </c>
      <c r="Q132" s="33" t="n">
        <f>3210</f>
        <v>3210.0</v>
      </c>
      <c r="R132" s="34" t="s">
        <v>68</v>
      </c>
      <c r="S132" s="35" t="n">
        <f>3127.78</f>
        <v>3127.78</v>
      </c>
      <c r="T132" s="32" t="n">
        <f>11480</f>
        <v>11480.0</v>
      </c>
      <c r="U132" s="32" t="str">
        <f>"－"</f>
        <v>－</v>
      </c>
      <c r="V132" s="32" t="n">
        <f>35067455</f>
        <v>3.5067455E7</v>
      </c>
      <c r="W132" s="32" t="str">
        <f>"－"</f>
        <v>－</v>
      </c>
      <c r="X132" s="36" t="n">
        <f>9</f>
        <v>9.0</v>
      </c>
    </row>
    <row r="133">
      <c r="A133" s="27" t="s">
        <v>42</v>
      </c>
      <c r="B133" s="27" t="s">
        <v>441</v>
      </c>
      <c r="C133" s="27" t="s">
        <v>442</v>
      </c>
      <c r="D133" s="27" t="s">
        <v>443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776.2</f>
        <v>776.2</v>
      </c>
      <c r="L133" s="34" t="s">
        <v>48</v>
      </c>
      <c r="M133" s="33" t="n">
        <f>786.6</f>
        <v>786.6</v>
      </c>
      <c r="N133" s="34" t="s">
        <v>60</v>
      </c>
      <c r="O133" s="33" t="n">
        <f>747.4</f>
        <v>747.4</v>
      </c>
      <c r="P133" s="34" t="s">
        <v>274</v>
      </c>
      <c r="Q133" s="33" t="n">
        <f>772.5</f>
        <v>772.5</v>
      </c>
      <c r="R133" s="34" t="s">
        <v>49</v>
      </c>
      <c r="S133" s="35" t="n">
        <f>769.04</f>
        <v>769.04</v>
      </c>
      <c r="T133" s="32" t="n">
        <f>39906350</f>
        <v>3.990635E7</v>
      </c>
      <c r="U133" s="32" t="n">
        <f>2664160</f>
        <v>2664160.0</v>
      </c>
      <c r="V133" s="32" t="n">
        <f>30655487278</f>
        <v>3.0655487278E10</v>
      </c>
      <c r="W133" s="32" t="n">
        <f>2063345537</f>
        <v>2.063345537E9</v>
      </c>
      <c r="X133" s="36" t="n">
        <f>18</f>
        <v>18.0</v>
      </c>
    </row>
    <row r="134">
      <c r="A134" s="27" t="s">
        <v>42</v>
      </c>
      <c r="B134" s="27" t="s">
        <v>444</v>
      </c>
      <c r="C134" s="27" t="s">
        <v>445</v>
      </c>
      <c r="D134" s="27" t="s">
        <v>446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310.5</f>
        <v>310.5</v>
      </c>
      <c r="L134" s="34" t="s">
        <v>48</v>
      </c>
      <c r="M134" s="33" t="n">
        <f>319.3</f>
        <v>319.3</v>
      </c>
      <c r="N134" s="34" t="s">
        <v>49</v>
      </c>
      <c r="O134" s="33" t="n">
        <f>307.3</f>
        <v>307.3</v>
      </c>
      <c r="P134" s="34" t="s">
        <v>64</v>
      </c>
      <c r="Q134" s="33" t="n">
        <f>319.2</f>
        <v>319.2</v>
      </c>
      <c r="R134" s="34" t="s">
        <v>49</v>
      </c>
      <c r="S134" s="35" t="n">
        <f>313.97</f>
        <v>313.97</v>
      </c>
      <c r="T134" s="32" t="n">
        <f>11350780</f>
        <v>1.135078E7</v>
      </c>
      <c r="U134" s="32" t="n">
        <f>7820250</f>
        <v>7820250.0</v>
      </c>
      <c r="V134" s="32" t="n">
        <f>3555936653</f>
        <v>3.555936653E9</v>
      </c>
      <c r="W134" s="32" t="n">
        <f>2450211032</f>
        <v>2.450211032E9</v>
      </c>
      <c r="X134" s="36" t="n">
        <f>18</f>
        <v>18.0</v>
      </c>
    </row>
    <row r="135">
      <c r="A135" s="27" t="s">
        <v>42</v>
      </c>
      <c r="B135" s="27" t="s">
        <v>447</v>
      </c>
      <c r="C135" s="27" t="s">
        <v>448</v>
      </c>
      <c r="D135" s="27" t="s">
        <v>449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6540</f>
        <v>6540.0</v>
      </c>
      <c r="L135" s="34" t="s">
        <v>48</v>
      </c>
      <c r="M135" s="33" t="n">
        <f>6631</f>
        <v>6631.0</v>
      </c>
      <c r="N135" s="34" t="s">
        <v>60</v>
      </c>
      <c r="O135" s="33" t="n">
        <f>6343</f>
        <v>6343.0</v>
      </c>
      <c r="P135" s="34" t="s">
        <v>274</v>
      </c>
      <c r="Q135" s="33" t="n">
        <f>6572</f>
        <v>6572.0</v>
      </c>
      <c r="R135" s="34" t="s">
        <v>49</v>
      </c>
      <c r="S135" s="35" t="n">
        <f>6512.22</f>
        <v>6512.22</v>
      </c>
      <c r="T135" s="32" t="n">
        <f>74813</f>
        <v>74813.0</v>
      </c>
      <c r="U135" s="32" t="n">
        <f>24812</f>
        <v>24812.0</v>
      </c>
      <c r="V135" s="32" t="n">
        <f>485927653</f>
        <v>4.85927653E8</v>
      </c>
      <c r="W135" s="32" t="n">
        <f>158982798</f>
        <v>1.58982798E8</v>
      </c>
      <c r="X135" s="36" t="n">
        <f>18</f>
        <v>18.0</v>
      </c>
    </row>
    <row r="136">
      <c r="A136" s="27" t="s">
        <v>42</v>
      </c>
      <c r="B136" s="27" t="s">
        <v>450</v>
      </c>
      <c r="C136" s="27" t="s">
        <v>451</v>
      </c>
      <c r="D136" s="27" t="s">
        <v>452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3890</f>
        <v>3890.0</v>
      </c>
      <c r="L136" s="34" t="s">
        <v>48</v>
      </c>
      <c r="M136" s="33" t="n">
        <f>4135</f>
        <v>4135.0</v>
      </c>
      <c r="N136" s="34" t="s">
        <v>68</v>
      </c>
      <c r="O136" s="33" t="n">
        <f>3720</f>
        <v>3720.0</v>
      </c>
      <c r="P136" s="34" t="s">
        <v>94</v>
      </c>
      <c r="Q136" s="33" t="n">
        <f>4054</f>
        <v>4054.0</v>
      </c>
      <c r="R136" s="34" t="s">
        <v>49</v>
      </c>
      <c r="S136" s="35" t="n">
        <f>3920.39</f>
        <v>3920.39</v>
      </c>
      <c r="T136" s="32" t="n">
        <f>571438</f>
        <v>571438.0</v>
      </c>
      <c r="U136" s="32" t="n">
        <f>357152</f>
        <v>357152.0</v>
      </c>
      <c r="V136" s="32" t="n">
        <f>2279923288</f>
        <v>2.279923288E9</v>
      </c>
      <c r="W136" s="32" t="n">
        <f>1443572393</f>
        <v>1.443572393E9</v>
      </c>
      <c r="X136" s="36" t="n">
        <f>18</f>
        <v>18.0</v>
      </c>
    </row>
    <row r="137">
      <c r="A137" s="27" t="s">
        <v>42</v>
      </c>
      <c r="B137" s="27" t="s">
        <v>453</v>
      </c>
      <c r="C137" s="27" t="s">
        <v>454</v>
      </c>
      <c r="D137" s="27" t="s">
        <v>455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3400</f>
        <v>3400.0</v>
      </c>
      <c r="L137" s="34" t="s">
        <v>48</v>
      </c>
      <c r="M137" s="33" t="n">
        <f>3644</f>
        <v>3644.0</v>
      </c>
      <c r="N137" s="34" t="s">
        <v>49</v>
      </c>
      <c r="O137" s="33" t="n">
        <f>3375</f>
        <v>3375.0</v>
      </c>
      <c r="P137" s="34" t="s">
        <v>60</v>
      </c>
      <c r="Q137" s="33" t="n">
        <f>3634</f>
        <v>3634.0</v>
      </c>
      <c r="R137" s="34" t="s">
        <v>49</v>
      </c>
      <c r="S137" s="35" t="n">
        <f>3521.83</f>
        <v>3521.83</v>
      </c>
      <c r="T137" s="32" t="n">
        <f>218818</f>
        <v>218818.0</v>
      </c>
      <c r="U137" s="32" t="n">
        <f>14472</f>
        <v>14472.0</v>
      </c>
      <c r="V137" s="32" t="n">
        <f>763762789</f>
        <v>7.63762789E8</v>
      </c>
      <c r="W137" s="32" t="n">
        <f>50589046</f>
        <v>5.0589046E7</v>
      </c>
      <c r="X137" s="36" t="n">
        <f>18</f>
        <v>18.0</v>
      </c>
    </row>
    <row r="138">
      <c r="A138" s="27" t="s">
        <v>42</v>
      </c>
      <c r="B138" s="27" t="s">
        <v>456</v>
      </c>
      <c r="C138" s="27" t="s">
        <v>457</v>
      </c>
      <c r="D138" s="27" t="s">
        <v>458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11665</f>
        <v>11665.0</v>
      </c>
      <c r="L138" s="34" t="s">
        <v>48</v>
      </c>
      <c r="M138" s="33" t="n">
        <f>11940</f>
        <v>11940.0</v>
      </c>
      <c r="N138" s="34" t="s">
        <v>68</v>
      </c>
      <c r="O138" s="33" t="n">
        <f>11545</f>
        <v>11545.0</v>
      </c>
      <c r="P138" s="34" t="s">
        <v>48</v>
      </c>
      <c r="Q138" s="33" t="n">
        <f>11775</f>
        <v>11775.0</v>
      </c>
      <c r="R138" s="34" t="s">
        <v>49</v>
      </c>
      <c r="S138" s="35" t="n">
        <f>11727.22</f>
        <v>11727.22</v>
      </c>
      <c r="T138" s="32" t="n">
        <f>96025</f>
        <v>96025.0</v>
      </c>
      <c r="U138" s="32" t="n">
        <f>52986</f>
        <v>52986.0</v>
      </c>
      <c r="V138" s="32" t="n">
        <f>1125857603</f>
        <v>1.125857603E9</v>
      </c>
      <c r="W138" s="32" t="n">
        <f>621231843</f>
        <v>6.21231843E8</v>
      </c>
      <c r="X138" s="36" t="n">
        <f>18</f>
        <v>18.0</v>
      </c>
    </row>
    <row r="139">
      <c r="A139" s="27" t="s">
        <v>42</v>
      </c>
      <c r="B139" s="27" t="s">
        <v>459</v>
      </c>
      <c r="C139" s="27" t="s">
        <v>460</v>
      </c>
      <c r="D139" s="27" t="s">
        <v>461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3249</f>
        <v>3249.0</v>
      </c>
      <c r="L139" s="34" t="s">
        <v>48</v>
      </c>
      <c r="M139" s="33" t="n">
        <f>3485</f>
        <v>3485.0</v>
      </c>
      <c r="N139" s="34" t="s">
        <v>90</v>
      </c>
      <c r="O139" s="33" t="n">
        <f>3147</f>
        <v>3147.0</v>
      </c>
      <c r="P139" s="34" t="s">
        <v>48</v>
      </c>
      <c r="Q139" s="33" t="n">
        <f>3421</f>
        <v>3421.0</v>
      </c>
      <c r="R139" s="34" t="s">
        <v>49</v>
      </c>
      <c r="S139" s="35" t="n">
        <f>3307.94</f>
        <v>3307.94</v>
      </c>
      <c r="T139" s="32" t="n">
        <f>4192300</f>
        <v>4192300.0</v>
      </c>
      <c r="U139" s="32" t="n">
        <f>25575</f>
        <v>25575.0</v>
      </c>
      <c r="V139" s="32" t="n">
        <f>13950695834</f>
        <v>1.3950695834E10</v>
      </c>
      <c r="W139" s="32" t="n">
        <f>84976000</f>
        <v>8.4976E7</v>
      </c>
      <c r="X139" s="36" t="n">
        <f>18</f>
        <v>18.0</v>
      </c>
    </row>
    <row r="140">
      <c r="A140" s="27" t="s">
        <v>42</v>
      </c>
      <c r="B140" s="27" t="s">
        <v>462</v>
      </c>
      <c r="C140" s="27" t="s">
        <v>463</v>
      </c>
      <c r="D140" s="27" t="s">
        <v>464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69080</f>
        <v>69080.0</v>
      </c>
      <c r="L140" s="34" t="s">
        <v>48</v>
      </c>
      <c r="M140" s="33" t="n">
        <f>75350</f>
        <v>75350.0</v>
      </c>
      <c r="N140" s="34" t="s">
        <v>90</v>
      </c>
      <c r="O140" s="33" t="n">
        <f>64400</f>
        <v>64400.0</v>
      </c>
      <c r="P140" s="34" t="s">
        <v>48</v>
      </c>
      <c r="Q140" s="33" t="n">
        <f>75210</f>
        <v>75210.0</v>
      </c>
      <c r="R140" s="34" t="s">
        <v>49</v>
      </c>
      <c r="S140" s="35" t="n">
        <f>71941.11</f>
        <v>71941.11</v>
      </c>
      <c r="T140" s="32" t="n">
        <f>49634</f>
        <v>49634.0</v>
      </c>
      <c r="U140" s="32" t="str">
        <f>"－"</f>
        <v>－</v>
      </c>
      <c r="V140" s="32" t="n">
        <f>3504490550</f>
        <v>3.50449055E9</v>
      </c>
      <c r="W140" s="32" t="str">
        <f>"－"</f>
        <v>－</v>
      </c>
      <c r="X140" s="36" t="n">
        <f>18</f>
        <v>18.0</v>
      </c>
    </row>
    <row r="141">
      <c r="A141" s="27" t="s">
        <v>42</v>
      </c>
      <c r="B141" s="27" t="s">
        <v>465</v>
      </c>
      <c r="C141" s="27" t="s">
        <v>466</v>
      </c>
      <c r="D141" s="27" t="s">
        <v>467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10.0</v>
      </c>
      <c r="K141" s="33" t="n">
        <f>12240</f>
        <v>12240.0</v>
      </c>
      <c r="L141" s="34" t="s">
        <v>48</v>
      </c>
      <c r="M141" s="33" t="n">
        <f>12945</f>
        <v>12945.0</v>
      </c>
      <c r="N141" s="34" t="s">
        <v>101</v>
      </c>
      <c r="O141" s="33" t="n">
        <f>9360</f>
        <v>9360.0</v>
      </c>
      <c r="P141" s="34" t="s">
        <v>94</v>
      </c>
      <c r="Q141" s="33" t="n">
        <f>12835</f>
        <v>12835.0</v>
      </c>
      <c r="R141" s="34" t="s">
        <v>49</v>
      </c>
      <c r="S141" s="35" t="n">
        <f>11542.78</f>
        <v>11542.78</v>
      </c>
      <c r="T141" s="32" t="n">
        <f>1460670</f>
        <v>1460670.0</v>
      </c>
      <c r="U141" s="32" t="str">
        <f>"－"</f>
        <v>－</v>
      </c>
      <c r="V141" s="32" t="n">
        <f>16889795930</f>
        <v>1.688979593E10</v>
      </c>
      <c r="W141" s="32" t="str">
        <f>"－"</f>
        <v>－</v>
      </c>
      <c r="X141" s="36" t="n">
        <f>18</f>
        <v>18.0</v>
      </c>
    </row>
    <row r="142">
      <c r="A142" s="27" t="s">
        <v>42</v>
      </c>
      <c r="B142" s="27" t="s">
        <v>468</v>
      </c>
      <c r="C142" s="27" t="s">
        <v>469</v>
      </c>
      <c r="D142" s="27" t="s">
        <v>470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29960</f>
        <v>29960.0</v>
      </c>
      <c r="L142" s="34" t="s">
        <v>48</v>
      </c>
      <c r="M142" s="33" t="n">
        <f>34190</f>
        <v>34190.0</v>
      </c>
      <c r="N142" s="34" t="s">
        <v>49</v>
      </c>
      <c r="O142" s="33" t="n">
        <f>26305</f>
        <v>26305.0</v>
      </c>
      <c r="P142" s="34" t="s">
        <v>94</v>
      </c>
      <c r="Q142" s="33" t="n">
        <f>34040</f>
        <v>34040.0</v>
      </c>
      <c r="R142" s="34" t="s">
        <v>49</v>
      </c>
      <c r="S142" s="35" t="n">
        <f>30070.56</f>
        <v>30070.56</v>
      </c>
      <c r="T142" s="32" t="n">
        <f>146719</f>
        <v>146719.0</v>
      </c>
      <c r="U142" s="32" t="str">
        <f>"－"</f>
        <v>－</v>
      </c>
      <c r="V142" s="32" t="n">
        <f>4388468400</f>
        <v>4.3884684E9</v>
      </c>
      <c r="W142" s="32" t="str">
        <f>"－"</f>
        <v>－</v>
      </c>
      <c r="X142" s="36" t="n">
        <f>18</f>
        <v>18.0</v>
      </c>
    </row>
    <row r="143">
      <c r="A143" s="27" t="s">
        <v>42</v>
      </c>
      <c r="B143" s="27" t="s">
        <v>471</v>
      </c>
      <c r="C143" s="27" t="s">
        <v>472</v>
      </c>
      <c r="D143" s="27" t="s">
        <v>473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23835</f>
        <v>23835.0</v>
      </c>
      <c r="L143" s="34" t="s">
        <v>48</v>
      </c>
      <c r="M143" s="33" t="n">
        <f>26105</f>
        <v>26105.0</v>
      </c>
      <c r="N143" s="34" t="s">
        <v>49</v>
      </c>
      <c r="O143" s="33" t="n">
        <f>22345</f>
        <v>22345.0</v>
      </c>
      <c r="P143" s="34" t="s">
        <v>94</v>
      </c>
      <c r="Q143" s="33" t="n">
        <f>26105</f>
        <v>26105.0</v>
      </c>
      <c r="R143" s="34" t="s">
        <v>49</v>
      </c>
      <c r="S143" s="35" t="n">
        <f>24414.72</f>
        <v>24414.72</v>
      </c>
      <c r="T143" s="32" t="n">
        <f>20490</f>
        <v>20490.0</v>
      </c>
      <c r="U143" s="32" t="str">
        <f>"－"</f>
        <v>－</v>
      </c>
      <c r="V143" s="32" t="n">
        <f>498187095</f>
        <v>4.98187095E8</v>
      </c>
      <c r="W143" s="32" t="str">
        <f>"－"</f>
        <v>－</v>
      </c>
      <c r="X143" s="36" t="n">
        <f>18</f>
        <v>18.0</v>
      </c>
    </row>
    <row r="144">
      <c r="A144" s="27" t="s">
        <v>42</v>
      </c>
      <c r="B144" s="27" t="s">
        <v>474</v>
      </c>
      <c r="C144" s="27" t="s">
        <v>475</v>
      </c>
      <c r="D144" s="27" t="s">
        <v>476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49060</f>
        <v>49060.0</v>
      </c>
      <c r="L144" s="34" t="s">
        <v>48</v>
      </c>
      <c r="M144" s="33" t="n">
        <f>53990</f>
        <v>53990.0</v>
      </c>
      <c r="N144" s="34" t="s">
        <v>69</v>
      </c>
      <c r="O144" s="33" t="n">
        <f>45340</f>
        <v>45340.0</v>
      </c>
      <c r="P144" s="34" t="s">
        <v>94</v>
      </c>
      <c r="Q144" s="33" t="n">
        <f>53440</f>
        <v>53440.0</v>
      </c>
      <c r="R144" s="34" t="s">
        <v>49</v>
      </c>
      <c r="S144" s="35" t="n">
        <f>50387.22</f>
        <v>50387.22</v>
      </c>
      <c r="T144" s="32" t="n">
        <f>10209</f>
        <v>10209.0</v>
      </c>
      <c r="U144" s="32" t="str">
        <f>"－"</f>
        <v>－</v>
      </c>
      <c r="V144" s="32" t="n">
        <f>511755860</f>
        <v>5.1175586E8</v>
      </c>
      <c r="W144" s="32" t="str">
        <f>"－"</f>
        <v>－</v>
      </c>
      <c r="X144" s="36" t="n">
        <f>18</f>
        <v>18.0</v>
      </c>
    </row>
    <row r="145">
      <c r="A145" s="27" t="s">
        <v>42</v>
      </c>
      <c r="B145" s="27" t="s">
        <v>477</v>
      </c>
      <c r="C145" s="27" t="s">
        <v>478</v>
      </c>
      <c r="D145" s="27" t="s">
        <v>479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59850</f>
        <v>59850.0</v>
      </c>
      <c r="L145" s="34" t="s">
        <v>48</v>
      </c>
      <c r="M145" s="33" t="n">
        <f>60890</f>
        <v>60890.0</v>
      </c>
      <c r="N145" s="34" t="s">
        <v>68</v>
      </c>
      <c r="O145" s="33" t="n">
        <f>59210</f>
        <v>59210.0</v>
      </c>
      <c r="P145" s="34" t="s">
        <v>64</v>
      </c>
      <c r="Q145" s="33" t="n">
        <f>60840</f>
        <v>60840.0</v>
      </c>
      <c r="R145" s="34" t="s">
        <v>49</v>
      </c>
      <c r="S145" s="35" t="n">
        <f>60111.11</f>
        <v>60111.11</v>
      </c>
      <c r="T145" s="32" t="n">
        <f>41980</f>
        <v>41980.0</v>
      </c>
      <c r="U145" s="32" t="n">
        <f>39600</f>
        <v>39600.0</v>
      </c>
      <c r="V145" s="32" t="n">
        <f>2498802130</f>
        <v>2.49880213E9</v>
      </c>
      <c r="W145" s="32" t="n">
        <f>2355915030</f>
        <v>2.35591503E9</v>
      </c>
      <c r="X145" s="36" t="n">
        <f>18</f>
        <v>18.0</v>
      </c>
    </row>
    <row r="146">
      <c r="A146" s="27" t="s">
        <v>42</v>
      </c>
      <c r="B146" s="27" t="s">
        <v>480</v>
      </c>
      <c r="C146" s="27" t="s">
        <v>481</v>
      </c>
      <c r="D146" s="27" t="s">
        <v>482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331.5</f>
        <v>331.5</v>
      </c>
      <c r="L146" s="34" t="s">
        <v>48</v>
      </c>
      <c r="M146" s="33" t="n">
        <f>356.4</f>
        <v>356.4</v>
      </c>
      <c r="N146" s="34" t="s">
        <v>60</v>
      </c>
      <c r="O146" s="33" t="n">
        <f>330.1</f>
        <v>330.1</v>
      </c>
      <c r="P146" s="34" t="s">
        <v>48</v>
      </c>
      <c r="Q146" s="33" t="n">
        <f>341</f>
        <v>341.0</v>
      </c>
      <c r="R146" s="34" t="s">
        <v>49</v>
      </c>
      <c r="S146" s="35" t="n">
        <f>344.68</f>
        <v>344.68</v>
      </c>
      <c r="T146" s="32" t="n">
        <f>19592300</f>
        <v>1.95923E7</v>
      </c>
      <c r="U146" s="32" t="n">
        <f>653600</f>
        <v>653600.0</v>
      </c>
      <c r="V146" s="32" t="n">
        <f>6773457598</f>
        <v>6.773457598E9</v>
      </c>
      <c r="W146" s="32" t="n">
        <f>226899731</f>
        <v>2.26899731E8</v>
      </c>
      <c r="X146" s="36" t="n">
        <f>18</f>
        <v>18.0</v>
      </c>
    </row>
    <row r="147">
      <c r="A147" s="27" t="s">
        <v>42</v>
      </c>
      <c r="B147" s="27" t="s">
        <v>483</v>
      </c>
      <c r="C147" s="27" t="s">
        <v>484</v>
      </c>
      <c r="D147" s="27" t="s">
        <v>485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60720</f>
        <v>60720.0</v>
      </c>
      <c r="L147" s="34" t="s">
        <v>48</v>
      </c>
      <c r="M147" s="33" t="n">
        <f>63200</f>
        <v>63200.0</v>
      </c>
      <c r="N147" s="34" t="s">
        <v>101</v>
      </c>
      <c r="O147" s="33" t="n">
        <f>60720</f>
        <v>60720.0</v>
      </c>
      <c r="P147" s="34" t="s">
        <v>48</v>
      </c>
      <c r="Q147" s="33" t="n">
        <f>61990</f>
        <v>61990.0</v>
      </c>
      <c r="R147" s="34" t="s">
        <v>49</v>
      </c>
      <c r="S147" s="35" t="n">
        <f>61838</f>
        <v>61838.0</v>
      </c>
      <c r="T147" s="32" t="n">
        <f>560</f>
        <v>560.0</v>
      </c>
      <c r="U147" s="32" t="str">
        <f>"－"</f>
        <v>－</v>
      </c>
      <c r="V147" s="32" t="n">
        <f>34642200</f>
        <v>3.46422E7</v>
      </c>
      <c r="W147" s="32" t="str">
        <f>"－"</f>
        <v>－</v>
      </c>
      <c r="X147" s="36" t="n">
        <f>15</f>
        <v>15.0</v>
      </c>
    </row>
    <row r="148">
      <c r="A148" s="27" t="s">
        <v>42</v>
      </c>
      <c r="B148" s="27" t="s">
        <v>486</v>
      </c>
      <c r="C148" s="27" t="s">
        <v>487</v>
      </c>
      <c r="D148" s="27" t="s">
        <v>488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7410</f>
        <v>7410.0</v>
      </c>
      <c r="L148" s="34" t="s">
        <v>48</v>
      </c>
      <c r="M148" s="33" t="n">
        <f>7554</f>
        <v>7554.0</v>
      </c>
      <c r="N148" s="34" t="s">
        <v>59</v>
      </c>
      <c r="O148" s="33" t="n">
        <f>7230</f>
        <v>7230.0</v>
      </c>
      <c r="P148" s="34" t="s">
        <v>274</v>
      </c>
      <c r="Q148" s="33" t="n">
        <f>7496</f>
        <v>7496.0</v>
      </c>
      <c r="R148" s="34" t="s">
        <v>49</v>
      </c>
      <c r="S148" s="35" t="n">
        <f>7413.06</f>
        <v>7413.06</v>
      </c>
      <c r="T148" s="32" t="n">
        <f>52383</f>
        <v>52383.0</v>
      </c>
      <c r="U148" s="32" t="n">
        <f>550</f>
        <v>550.0</v>
      </c>
      <c r="V148" s="32" t="n">
        <f>389080516</f>
        <v>3.89080516E8</v>
      </c>
      <c r="W148" s="32" t="n">
        <f>4074957</f>
        <v>4074957.0</v>
      </c>
      <c r="X148" s="36" t="n">
        <f>18</f>
        <v>18.0</v>
      </c>
    </row>
    <row r="149">
      <c r="A149" s="27" t="s">
        <v>42</v>
      </c>
      <c r="B149" s="27" t="s">
        <v>489</v>
      </c>
      <c r="C149" s="27" t="s">
        <v>490</v>
      </c>
      <c r="D149" s="27" t="s">
        <v>491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2924</f>
        <v>2924.0</v>
      </c>
      <c r="L149" s="34" t="s">
        <v>48</v>
      </c>
      <c r="M149" s="33" t="n">
        <f>3169</f>
        <v>3169.0</v>
      </c>
      <c r="N149" s="34" t="s">
        <v>68</v>
      </c>
      <c r="O149" s="33" t="n">
        <f>2840</f>
        <v>2840.0</v>
      </c>
      <c r="P149" s="34" t="s">
        <v>48</v>
      </c>
      <c r="Q149" s="33" t="n">
        <f>3125</f>
        <v>3125.0</v>
      </c>
      <c r="R149" s="34" t="s">
        <v>49</v>
      </c>
      <c r="S149" s="35" t="n">
        <f>2995.06</f>
        <v>2995.06</v>
      </c>
      <c r="T149" s="32" t="n">
        <f>189119</f>
        <v>189119.0</v>
      </c>
      <c r="U149" s="32" t="n">
        <f>19050</f>
        <v>19050.0</v>
      </c>
      <c r="V149" s="32" t="n">
        <f>575388346</f>
        <v>5.75388346E8</v>
      </c>
      <c r="W149" s="32" t="n">
        <f>59026228</f>
        <v>5.9026228E7</v>
      </c>
      <c r="X149" s="36" t="n">
        <f>18</f>
        <v>18.0</v>
      </c>
    </row>
    <row r="150">
      <c r="A150" s="27" t="s">
        <v>42</v>
      </c>
      <c r="B150" s="27" t="s">
        <v>492</v>
      </c>
      <c r="C150" s="27" t="s">
        <v>493</v>
      </c>
      <c r="D150" s="27" t="s">
        <v>494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10.0</v>
      </c>
      <c r="K150" s="33" t="n">
        <f>2180</f>
        <v>2180.0</v>
      </c>
      <c r="L150" s="34" t="s">
        <v>48</v>
      </c>
      <c r="M150" s="33" t="n">
        <f>2299.5</f>
        <v>2299.5</v>
      </c>
      <c r="N150" s="34" t="s">
        <v>68</v>
      </c>
      <c r="O150" s="33" t="n">
        <f>2026</f>
        <v>2026.0</v>
      </c>
      <c r="P150" s="34" t="s">
        <v>203</v>
      </c>
      <c r="Q150" s="33" t="n">
        <f>2197</f>
        <v>2197.0</v>
      </c>
      <c r="R150" s="34" t="s">
        <v>68</v>
      </c>
      <c r="S150" s="35" t="n">
        <f>2172.38</f>
        <v>2172.38</v>
      </c>
      <c r="T150" s="32" t="n">
        <f>12900</f>
        <v>12900.0</v>
      </c>
      <c r="U150" s="32" t="str">
        <f>"－"</f>
        <v>－</v>
      </c>
      <c r="V150" s="32" t="n">
        <f>27820440</f>
        <v>2.782044E7</v>
      </c>
      <c r="W150" s="32" t="str">
        <f>"－"</f>
        <v>－</v>
      </c>
      <c r="X150" s="36" t="n">
        <f>13</f>
        <v>13.0</v>
      </c>
    </row>
    <row r="151">
      <c r="A151" s="27" t="s">
        <v>42</v>
      </c>
      <c r="B151" s="27" t="s">
        <v>495</v>
      </c>
      <c r="C151" s="27" t="s">
        <v>496</v>
      </c>
      <c r="D151" s="27" t="s">
        <v>497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10.0</v>
      </c>
      <c r="K151" s="33" t="n">
        <f>574.9</f>
        <v>574.9</v>
      </c>
      <c r="L151" s="34" t="s">
        <v>48</v>
      </c>
      <c r="M151" s="33" t="n">
        <f>574.9</f>
        <v>574.9</v>
      </c>
      <c r="N151" s="34" t="s">
        <v>48</v>
      </c>
      <c r="O151" s="33" t="n">
        <f>524.8</f>
        <v>524.8</v>
      </c>
      <c r="P151" s="34" t="s">
        <v>203</v>
      </c>
      <c r="Q151" s="33" t="n">
        <f>557.2</f>
        <v>557.2</v>
      </c>
      <c r="R151" s="34" t="s">
        <v>49</v>
      </c>
      <c r="S151" s="35" t="n">
        <f>548.51</f>
        <v>548.51</v>
      </c>
      <c r="T151" s="32" t="n">
        <f>83500</f>
        <v>83500.0</v>
      </c>
      <c r="U151" s="32" t="str">
        <f>"－"</f>
        <v>－</v>
      </c>
      <c r="V151" s="32" t="n">
        <f>45691295</f>
        <v>4.5691295E7</v>
      </c>
      <c r="W151" s="32" t="str">
        <f>"－"</f>
        <v>－</v>
      </c>
      <c r="X151" s="36" t="n">
        <f>18</f>
        <v>18.0</v>
      </c>
    </row>
    <row r="152">
      <c r="A152" s="27" t="s">
        <v>42</v>
      </c>
      <c r="B152" s="27" t="s">
        <v>498</v>
      </c>
      <c r="C152" s="27" t="s">
        <v>499</v>
      </c>
      <c r="D152" s="27" t="s">
        <v>500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10.0</v>
      </c>
      <c r="K152" s="33" t="n">
        <f>2877</f>
        <v>2877.0</v>
      </c>
      <c r="L152" s="34" t="s">
        <v>48</v>
      </c>
      <c r="M152" s="33" t="n">
        <f>2974</f>
        <v>2974.0</v>
      </c>
      <c r="N152" s="34" t="s">
        <v>79</v>
      </c>
      <c r="O152" s="33" t="n">
        <f>2650</f>
        <v>2650.0</v>
      </c>
      <c r="P152" s="34" t="s">
        <v>60</v>
      </c>
      <c r="Q152" s="33" t="n">
        <f>2909</f>
        <v>2909.0</v>
      </c>
      <c r="R152" s="34" t="s">
        <v>49</v>
      </c>
      <c r="S152" s="35" t="n">
        <f>2865.94</f>
        <v>2865.94</v>
      </c>
      <c r="T152" s="32" t="n">
        <f>19200</f>
        <v>19200.0</v>
      </c>
      <c r="U152" s="32" t="str">
        <f>"－"</f>
        <v>－</v>
      </c>
      <c r="V152" s="32" t="n">
        <f>55135375</f>
        <v>5.5135375E7</v>
      </c>
      <c r="W152" s="32" t="str">
        <f>"－"</f>
        <v>－</v>
      </c>
      <c r="X152" s="36" t="n">
        <f>18</f>
        <v>18.0</v>
      </c>
    </row>
    <row r="153">
      <c r="A153" s="27" t="s">
        <v>42</v>
      </c>
      <c r="B153" s="27" t="s">
        <v>501</v>
      </c>
      <c r="C153" s="27" t="s">
        <v>502</v>
      </c>
      <c r="D153" s="27" t="s">
        <v>503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901.2</f>
        <v>901.2</v>
      </c>
      <c r="L153" s="34" t="s">
        <v>48</v>
      </c>
      <c r="M153" s="33" t="n">
        <f>942</f>
        <v>942.0</v>
      </c>
      <c r="N153" s="34" t="s">
        <v>68</v>
      </c>
      <c r="O153" s="33" t="n">
        <f>890.1</f>
        <v>890.1</v>
      </c>
      <c r="P153" s="34" t="s">
        <v>48</v>
      </c>
      <c r="Q153" s="33" t="n">
        <f>932.4</f>
        <v>932.4</v>
      </c>
      <c r="R153" s="34" t="s">
        <v>49</v>
      </c>
      <c r="S153" s="35" t="n">
        <f>913.49</f>
        <v>913.49</v>
      </c>
      <c r="T153" s="32" t="n">
        <f>51540</f>
        <v>51540.0</v>
      </c>
      <c r="U153" s="32" t="str">
        <f>"－"</f>
        <v>－</v>
      </c>
      <c r="V153" s="32" t="n">
        <f>47146397</f>
        <v>4.7146397E7</v>
      </c>
      <c r="W153" s="32" t="str">
        <f>"－"</f>
        <v>－</v>
      </c>
      <c r="X153" s="36" t="n">
        <f>18</f>
        <v>18.0</v>
      </c>
    </row>
    <row r="154">
      <c r="A154" s="27" t="s">
        <v>42</v>
      </c>
      <c r="B154" s="27" t="s">
        <v>504</v>
      </c>
      <c r="C154" s="27" t="s">
        <v>505</v>
      </c>
      <c r="D154" s="27" t="s">
        <v>506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10.0</v>
      </c>
      <c r="K154" s="33" t="n">
        <f>512.7</f>
        <v>512.7</v>
      </c>
      <c r="L154" s="34" t="s">
        <v>48</v>
      </c>
      <c r="M154" s="33" t="n">
        <f>542</f>
        <v>542.0</v>
      </c>
      <c r="N154" s="34" t="s">
        <v>49</v>
      </c>
      <c r="O154" s="33" t="n">
        <f>505.2</f>
        <v>505.2</v>
      </c>
      <c r="P154" s="34" t="s">
        <v>60</v>
      </c>
      <c r="Q154" s="33" t="n">
        <f>539.5</f>
        <v>539.5</v>
      </c>
      <c r="R154" s="34" t="s">
        <v>49</v>
      </c>
      <c r="S154" s="35" t="n">
        <f>524.01</f>
        <v>524.01</v>
      </c>
      <c r="T154" s="32" t="n">
        <f>78110</f>
        <v>78110.0</v>
      </c>
      <c r="U154" s="32" t="str">
        <f>"－"</f>
        <v>－</v>
      </c>
      <c r="V154" s="32" t="n">
        <f>41157372</f>
        <v>4.1157372E7</v>
      </c>
      <c r="W154" s="32" t="str">
        <f>"－"</f>
        <v>－</v>
      </c>
      <c r="X154" s="36" t="n">
        <f>18</f>
        <v>18.0</v>
      </c>
    </row>
    <row r="155">
      <c r="A155" s="27" t="s">
        <v>42</v>
      </c>
      <c r="B155" s="27" t="s">
        <v>507</v>
      </c>
      <c r="C155" s="27" t="s">
        <v>508</v>
      </c>
      <c r="D155" s="27" t="s">
        <v>509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1097</f>
        <v>1097.0</v>
      </c>
      <c r="L155" s="34" t="s">
        <v>48</v>
      </c>
      <c r="M155" s="33" t="n">
        <f>1097</f>
        <v>1097.0</v>
      </c>
      <c r="N155" s="34" t="s">
        <v>48</v>
      </c>
      <c r="O155" s="33" t="n">
        <f>872</f>
        <v>872.0</v>
      </c>
      <c r="P155" s="34" t="s">
        <v>83</v>
      </c>
      <c r="Q155" s="33" t="n">
        <f>879</f>
        <v>879.0</v>
      </c>
      <c r="R155" s="34" t="s">
        <v>49</v>
      </c>
      <c r="S155" s="35" t="n">
        <f>937.56</f>
        <v>937.56</v>
      </c>
      <c r="T155" s="32" t="n">
        <f>1386504</f>
        <v>1386504.0</v>
      </c>
      <c r="U155" s="32" t="str">
        <f>"－"</f>
        <v>－</v>
      </c>
      <c r="V155" s="32" t="n">
        <f>1305499035</f>
        <v>1.305499035E9</v>
      </c>
      <c r="W155" s="32" t="str">
        <f>"－"</f>
        <v>－</v>
      </c>
      <c r="X155" s="36" t="n">
        <f>18</f>
        <v>18.0</v>
      </c>
    </row>
    <row r="156">
      <c r="A156" s="27" t="s">
        <v>42</v>
      </c>
      <c r="B156" s="27" t="s">
        <v>510</v>
      </c>
      <c r="C156" s="27" t="s">
        <v>511</v>
      </c>
      <c r="D156" s="27" t="s">
        <v>512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1550</f>
        <v>1550.0</v>
      </c>
      <c r="L156" s="34" t="s">
        <v>48</v>
      </c>
      <c r="M156" s="33" t="n">
        <f>1990</f>
        <v>1990.0</v>
      </c>
      <c r="N156" s="34" t="s">
        <v>68</v>
      </c>
      <c r="O156" s="33" t="n">
        <f>1450</f>
        <v>1450.0</v>
      </c>
      <c r="P156" s="34" t="s">
        <v>48</v>
      </c>
      <c r="Q156" s="33" t="n">
        <f>1604</f>
        <v>1604.0</v>
      </c>
      <c r="R156" s="34" t="s">
        <v>49</v>
      </c>
      <c r="S156" s="35" t="n">
        <f>1541.33</f>
        <v>1541.33</v>
      </c>
      <c r="T156" s="32" t="n">
        <f>110370</f>
        <v>110370.0</v>
      </c>
      <c r="U156" s="32" t="str">
        <f>"－"</f>
        <v>－</v>
      </c>
      <c r="V156" s="32" t="n">
        <f>175945155</f>
        <v>1.75945155E8</v>
      </c>
      <c r="W156" s="32" t="str">
        <f>"－"</f>
        <v>－</v>
      </c>
      <c r="X156" s="36" t="n">
        <f>18</f>
        <v>18.0</v>
      </c>
    </row>
    <row r="157">
      <c r="A157" s="27" t="s">
        <v>42</v>
      </c>
      <c r="B157" s="27" t="s">
        <v>513</v>
      </c>
      <c r="C157" s="27" t="s">
        <v>514</v>
      </c>
      <c r="D157" s="27" t="s">
        <v>515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8206</f>
        <v>8206.0</v>
      </c>
      <c r="L157" s="34" t="s">
        <v>48</v>
      </c>
      <c r="M157" s="33" t="n">
        <f>9042</f>
        <v>9042.0</v>
      </c>
      <c r="N157" s="34" t="s">
        <v>83</v>
      </c>
      <c r="O157" s="33" t="n">
        <f>8100</f>
        <v>8100.0</v>
      </c>
      <c r="P157" s="34" t="s">
        <v>48</v>
      </c>
      <c r="Q157" s="33" t="n">
        <f>9030</f>
        <v>9030.0</v>
      </c>
      <c r="R157" s="34" t="s">
        <v>49</v>
      </c>
      <c r="S157" s="35" t="n">
        <f>8648.17</f>
        <v>8648.17</v>
      </c>
      <c r="T157" s="32" t="n">
        <f>3172</f>
        <v>3172.0</v>
      </c>
      <c r="U157" s="32" t="str">
        <f>"－"</f>
        <v>－</v>
      </c>
      <c r="V157" s="32" t="n">
        <f>27825274</f>
        <v>2.7825274E7</v>
      </c>
      <c r="W157" s="32" t="str">
        <f>"－"</f>
        <v>－</v>
      </c>
      <c r="X157" s="36" t="n">
        <f>18</f>
        <v>18.0</v>
      </c>
    </row>
    <row r="158">
      <c r="A158" s="27" t="s">
        <v>42</v>
      </c>
      <c r="B158" s="27" t="s">
        <v>516</v>
      </c>
      <c r="C158" s="27" t="s">
        <v>517</v>
      </c>
      <c r="D158" s="27" t="s">
        <v>518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100.0</v>
      </c>
      <c r="K158" s="33" t="n">
        <f>635</f>
        <v>635.0</v>
      </c>
      <c r="L158" s="34" t="s">
        <v>48</v>
      </c>
      <c r="M158" s="33" t="n">
        <f>648</f>
        <v>648.0</v>
      </c>
      <c r="N158" s="34" t="s">
        <v>49</v>
      </c>
      <c r="O158" s="33" t="n">
        <f>576.5</f>
        <v>576.5</v>
      </c>
      <c r="P158" s="34" t="s">
        <v>94</v>
      </c>
      <c r="Q158" s="33" t="n">
        <f>645.8</f>
        <v>645.8</v>
      </c>
      <c r="R158" s="34" t="s">
        <v>49</v>
      </c>
      <c r="S158" s="35" t="n">
        <f>625.82</f>
        <v>625.82</v>
      </c>
      <c r="T158" s="32" t="n">
        <f>222800</f>
        <v>222800.0</v>
      </c>
      <c r="U158" s="32" t="str">
        <f>"－"</f>
        <v>－</v>
      </c>
      <c r="V158" s="32" t="n">
        <f>139154290</f>
        <v>1.3915429E8</v>
      </c>
      <c r="W158" s="32" t="str">
        <f>"－"</f>
        <v>－</v>
      </c>
      <c r="X158" s="36" t="n">
        <f>18</f>
        <v>18.0</v>
      </c>
    </row>
    <row r="159">
      <c r="A159" s="27" t="s">
        <v>42</v>
      </c>
      <c r="B159" s="27" t="s">
        <v>519</v>
      </c>
      <c r="C159" s="27" t="s">
        <v>520</v>
      </c>
      <c r="D159" s="27" t="s">
        <v>521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7900</f>
        <v>7900.0</v>
      </c>
      <c r="L159" s="34" t="s">
        <v>48</v>
      </c>
      <c r="M159" s="33" t="n">
        <f>8336</f>
        <v>8336.0</v>
      </c>
      <c r="N159" s="34" t="s">
        <v>69</v>
      </c>
      <c r="O159" s="33" t="n">
        <f>7550</f>
        <v>7550.0</v>
      </c>
      <c r="P159" s="34" t="s">
        <v>48</v>
      </c>
      <c r="Q159" s="33" t="n">
        <f>8224</f>
        <v>8224.0</v>
      </c>
      <c r="R159" s="34" t="s">
        <v>49</v>
      </c>
      <c r="S159" s="35" t="n">
        <f>7951.06</f>
        <v>7951.06</v>
      </c>
      <c r="T159" s="32" t="n">
        <f>916340</f>
        <v>916340.0</v>
      </c>
      <c r="U159" s="32" t="str">
        <f>"－"</f>
        <v>－</v>
      </c>
      <c r="V159" s="32" t="n">
        <f>7294754130</f>
        <v>7.29475413E9</v>
      </c>
      <c r="W159" s="32" t="str">
        <f>"－"</f>
        <v>－</v>
      </c>
      <c r="X159" s="36" t="n">
        <f>18</f>
        <v>18.0</v>
      </c>
    </row>
    <row r="160">
      <c r="A160" s="27" t="s">
        <v>42</v>
      </c>
      <c r="B160" s="27" t="s">
        <v>522</v>
      </c>
      <c r="C160" s="27" t="s">
        <v>523</v>
      </c>
      <c r="D160" s="27" t="s">
        <v>524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10.0</v>
      </c>
      <c r="K160" s="33" t="n">
        <f>2395</f>
        <v>2395.0</v>
      </c>
      <c r="L160" s="34" t="s">
        <v>48</v>
      </c>
      <c r="M160" s="33" t="n">
        <f>2512</f>
        <v>2512.0</v>
      </c>
      <c r="N160" s="34" t="s">
        <v>68</v>
      </c>
      <c r="O160" s="33" t="n">
        <f>2158</f>
        <v>2158.0</v>
      </c>
      <c r="P160" s="34" t="s">
        <v>48</v>
      </c>
      <c r="Q160" s="33" t="n">
        <f>2460.5</f>
        <v>2460.5</v>
      </c>
      <c r="R160" s="34" t="s">
        <v>49</v>
      </c>
      <c r="S160" s="35" t="n">
        <f>2362.75</f>
        <v>2362.75</v>
      </c>
      <c r="T160" s="32" t="n">
        <f>36060</f>
        <v>36060.0</v>
      </c>
      <c r="U160" s="32" t="str">
        <f>"－"</f>
        <v>－</v>
      </c>
      <c r="V160" s="32" t="n">
        <f>85573100</f>
        <v>8.55731E7</v>
      </c>
      <c r="W160" s="32" t="str">
        <f>"－"</f>
        <v>－</v>
      </c>
      <c r="X160" s="36" t="n">
        <f>18</f>
        <v>18.0</v>
      </c>
    </row>
    <row r="161">
      <c r="A161" s="27" t="s">
        <v>42</v>
      </c>
      <c r="B161" s="27" t="s">
        <v>525</v>
      </c>
      <c r="C161" s="27" t="s">
        <v>526</v>
      </c>
      <c r="D161" s="27" t="s">
        <v>527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2816</f>
        <v>2816.0</v>
      </c>
      <c r="L161" s="34" t="s">
        <v>48</v>
      </c>
      <c r="M161" s="33" t="n">
        <f>2989</f>
        <v>2989.0</v>
      </c>
      <c r="N161" s="34" t="s">
        <v>49</v>
      </c>
      <c r="O161" s="33" t="n">
        <f>2740</f>
        <v>2740.0</v>
      </c>
      <c r="P161" s="34" t="s">
        <v>203</v>
      </c>
      <c r="Q161" s="33" t="n">
        <f>2987</f>
        <v>2987.0</v>
      </c>
      <c r="R161" s="34" t="s">
        <v>49</v>
      </c>
      <c r="S161" s="35" t="n">
        <f>2835.17</f>
        <v>2835.17</v>
      </c>
      <c r="T161" s="32" t="n">
        <f>183727</f>
        <v>183727.0</v>
      </c>
      <c r="U161" s="32" t="str">
        <f>"－"</f>
        <v>－</v>
      </c>
      <c r="V161" s="32" t="n">
        <f>525254272</f>
        <v>5.25254272E8</v>
      </c>
      <c r="W161" s="32" t="str">
        <f>"－"</f>
        <v>－</v>
      </c>
      <c r="X161" s="36" t="n">
        <f>18</f>
        <v>18.0</v>
      </c>
    </row>
    <row r="162">
      <c r="A162" s="27" t="s">
        <v>42</v>
      </c>
      <c r="B162" s="27" t="s">
        <v>528</v>
      </c>
      <c r="C162" s="27" t="s">
        <v>529</v>
      </c>
      <c r="D162" s="27" t="s">
        <v>530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2880</f>
        <v>2880.0</v>
      </c>
      <c r="L162" s="34" t="s">
        <v>48</v>
      </c>
      <c r="M162" s="33" t="n">
        <f>2945</f>
        <v>2945.0</v>
      </c>
      <c r="N162" s="34" t="s">
        <v>59</v>
      </c>
      <c r="O162" s="33" t="n">
        <f>2708</f>
        <v>2708.0</v>
      </c>
      <c r="P162" s="34" t="s">
        <v>203</v>
      </c>
      <c r="Q162" s="33" t="n">
        <f>2911</f>
        <v>2911.0</v>
      </c>
      <c r="R162" s="34" t="s">
        <v>49</v>
      </c>
      <c r="S162" s="35" t="n">
        <f>2861.33</f>
        <v>2861.33</v>
      </c>
      <c r="T162" s="32" t="n">
        <f>35135</f>
        <v>35135.0</v>
      </c>
      <c r="U162" s="32" t="str">
        <f>"－"</f>
        <v>－</v>
      </c>
      <c r="V162" s="32" t="n">
        <f>100225920</f>
        <v>1.0022592E8</v>
      </c>
      <c r="W162" s="32" t="str">
        <f>"－"</f>
        <v>－</v>
      </c>
      <c r="X162" s="36" t="n">
        <f>18</f>
        <v>18.0</v>
      </c>
    </row>
    <row r="163">
      <c r="A163" s="27" t="s">
        <v>42</v>
      </c>
      <c r="B163" s="27" t="s">
        <v>531</v>
      </c>
      <c r="C163" s="27" t="s">
        <v>532</v>
      </c>
      <c r="D163" s="27" t="s">
        <v>533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10.0</v>
      </c>
      <c r="K163" s="33" t="n">
        <f>4079</f>
        <v>4079.0</v>
      </c>
      <c r="L163" s="34" t="s">
        <v>48</v>
      </c>
      <c r="M163" s="33" t="n">
        <f>4431</f>
        <v>4431.0</v>
      </c>
      <c r="N163" s="34" t="s">
        <v>68</v>
      </c>
      <c r="O163" s="33" t="n">
        <f>4000</f>
        <v>4000.0</v>
      </c>
      <c r="P163" s="34" t="s">
        <v>48</v>
      </c>
      <c r="Q163" s="33" t="n">
        <f>4395</f>
        <v>4395.0</v>
      </c>
      <c r="R163" s="34" t="s">
        <v>49</v>
      </c>
      <c r="S163" s="35" t="n">
        <f>4250.94</f>
        <v>4250.94</v>
      </c>
      <c r="T163" s="32" t="n">
        <f>15100</f>
        <v>15100.0</v>
      </c>
      <c r="U163" s="32" t="str">
        <f>"－"</f>
        <v>－</v>
      </c>
      <c r="V163" s="32" t="n">
        <f>64231820</f>
        <v>6.423182E7</v>
      </c>
      <c r="W163" s="32" t="str">
        <f>"－"</f>
        <v>－</v>
      </c>
      <c r="X163" s="36" t="n">
        <f>18</f>
        <v>18.0</v>
      </c>
    </row>
    <row r="164">
      <c r="A164" s="27" t="s">
        <v>42</v>
      </c>
      <c r="B164" s="27" t="s">
        <v>534</v>
      </c>
      <c r="C164" s="27" t="s">
        <v>535</v>
      </c>
      <c r="D164" s="27" t="s">
        <v>536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3996</f>
        <v>3996.0</v>
      </c>
      <c r="L164" s="34" t="s">
        <v>48</v>
      </c>
      <c r="M164" s="33" t="n">
        <f>4300</f>
        <v>4300.0</v>
      </c>
      <c r="N164" s="34" t="s">
        <v>59</v>
      </c>
      <c r="O164" s="33" t="n">
        <f>3926</f>
        <v>3926.0</v>
      </c>
      <c r="P164" s="34" t="s">
        <v>48</v>
      </c>
      <c r="Q164" s="33" t="n">
        <f>4278</f>
        <v>4278.0</v>
      </c>
      <c r="R164" s="34" t="s">
        <v>49</v>
      </c>
      <c r="S164" s="35" t="n">
        <f>4165.22</f>
        <v>4165.22</v>
      </c>
      <c r="T164" s="32" t="n">
        <f>244136</f>
        <v>244136.0</v>
      </c>
      <c r="U164" s="32" t="n">
        <f>2000</f>
        <v>2000.0</v>
      </c>
      <c r="V164" s="32" t="n">
        <f>1019623316</f>
        <v>1.019623316E9</v>
      </c>
      <c r="W164" s="32" t="n">
        <f>8368888</f>
        <v>8368888.0</v>
      </c>
      <c r="X164" s="36" t="n">
        <f>18</f>
        <v>18.0</v>
      </c>
    </row>
    <row r="165">
      <c r="A165" s="27" t="s">
        <v>42</v>
      </c>
      <c r="B165" s="27" t="s">
        <v>537</v>
      </c>
      <c r="C165" s="27" t="s">
        <v>538</v>
      </c>
      <c r="D165" s="27" t="s">
        <v>539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414.1</f>
        <v>414.1</v>
      </c>
      <c r="L165" s="34" t="s">
        <v>48</v>
      </c>
      <c r="M165" s="33" t="n">
        <f>444.4</f>
        <v>444.4</v>
      </c>
      <c r="N165" s="34" t="s">
        <v>90</v>
      </c>
      <c r="O165" s="33" t="n">
        <f>402.1</f>
        <v>402.1</v>
      </c>
      <c r="P165" s="34" t="s">
        <v>48</v>
      </c>
      <c r="Q165" s="33" t="n">
        <f>439.6</f>
        <v>439.6</v>
      </c>
      <c r="R165" s="34" t="s">
        <v>49</v>
      </c>
      <c r="S165" s="35" t="n">
        <f>423.73</f>
        <v>423.73</v>
      </c>
      <c r="T165" s="32" t="n">
        <f>11576720</f>
        <v>1.157672E7</v>
      </c>
      <c r="U165" s="32" t="n">
        <f>323540</f>
        <v>323540.0</v>
      </c>
      <c r="V165" s="32" t="n">
        <f>4957691365</f>
        <v>4.957691365E9</v>
      </c>
      <c r="W165" s="32" t="n">
        <f>137103388</f>
        <v>1.37103388E8</v>
      </c>
      <c r="X165" s="36" t="n">
        <f>18</f>
        <v>18.0</v>
      </c>
    </row>
    <row r="166">
      <c r="A166" s="27" t="s">
        <v>42</v>
      </c>
      <c r="B166" s="27" t="s">
        <v>540</v>
      </c>
      <c r="C166" s="27" t="s">
        <v>541</v>
      </c>
      <c r="D166" s="27" t="s">
        <v>542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2792</f>
        <v>2792.0</v>
      </c>
      <c r="L166" s="34" t="s">
        <v>48</v>
      </c>
      <c r="M166" s="33" t="n">
        <f>3021</f>
        <v>3021.0</v>
      </c>
      <c r="N166" s="34" t="s">
        <v>49</v>
      </c>
      <c r="O166" s="33" t="n">
        <f>2640</f>
        <v>2640.0</v>
      </c>
      <c r="P166" s="34" t="s">
        <v>60</v>
      </c>
      <c r="Q166" s="33" t="n">
        <f>3020</f>
        <v>3020.0</v>
      </c>
      <c r="R166" s="34" t="s">
        <v>49</v>
      </c>
      <c r="S166" s="35" t="n">
        <f>2885.78</f>
        <v>2885.78</v>
      </c>
      <c r="T166" s="32" t="n">
        <f>17738</f>
        <v>17738.0</v>
      </c>
      <c r="U166" s="32" t="str">
        <f>"－"</f>
        <v>－</v>
      </c>
      <c r="V166" s="32" t="n">
        <f>50742793</f>
        <v>5.0742793E7</v>
      </c>
      <c r="W166" s="32" t="str">
        <f>"－"</f>
        <v>－</v>
      </c>
      <c r="X166" s="36" t="n">
        <f>18</f>
        <v>18.0</v>
      </c>
    </row>
    <row r="167">
      <c r="A167" s="27" t="s">
        <v>42</v>
      </c>
      <c r="B167" s="27" t="s">
        <v>543</v>
      </c>
      <c r="C167" s="27" t="s">
        <v>544</v>
      </c>
      <c r="D167" s="27" t="s">
        <v>545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1493</f>
        <v>1493.0</v>
      </c>
      <c r="L167" s="34" t="s">
        <v>48</v>
      </c>
      <c r="M167" s="33" t="n">
        <f>1520</f>
        <v>1520.0</v>
      </c>
      <c r="N167" s="34" t="s">
        <v>60</v>
      </c>
      <c r="O167" s="33" t="n">
        <f>1399</f>
        <v>1399.0</v>
      </c>
      <c r="P167" s="34" t="s">
        <v>94</v>
      </c>
      <c r="Q167" s="33" t="n">
        <f>1429</f>
        <v>1429.0</v>
      </c>
      <c r="R167" s="34" t="s">
        <v>49</v>
      </c>
      <c r="S167" s="35" t="n">
        <f>1449.61</f>
        <v>1449.61</v>
      </c>
      <c r="T167" s="32" t="n">
        <f>525632</f>
        <v>525632.0</v>
      </c>
      <c r="U167" s="32" t="n">
        <f>160</f>
        <v>160.0</v>
      </c>
      <c r="V167" s="32" t="n">
        <f>760489467</f>
        <v>7.60489467E8</v>
      </c>
      <c r="W167" s="32" t="n">
        <f>232640</f>
        <v>232640.0</v>
      </c>
      <c r="X167" s="36" t="n">
        <f>18</f>
        <v>18.0</v>
      </c>
    </row>
    <row r="168">
      <c r="A168" s="27" t="s">
        <v>42</v>
      </c>
      <c r="B168" s="27" t="s">
        <v>546</v>
      </c>
      <c r="C168" s="27" t="s">
        <v>547</v>
      </c>
      <c r="D168" s="27" t="s">
        <v>548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260.9</f>
        <v>260.9</v>
      </c>
      <c r="L168" s="34" t="s">
        <v>48</v>
      </c>
      <c r="M168" s="33" t="n">
        <f>269.6</f>
        <v>269.6</v>
      </c>
      <c r="N168" s="34" t="s">
        <v>160</v>
      </c>
      <c r="O168" s="33" t="n">
        <f>258.8</f>
        <v>258.8</v>
      </c>
      <c r="P168" s="34" t="s">
        <v>101</v>
      </c>
      <c r="Q168" s="33" t="n">
        <f>267.9</f>
        <v>267.9</v>
      </c>
      <c r="R168" s="34" t="s">
        <v>49</v>
      </c>
      <c r="S168" s="35" t="n">
        <f>264.28</f>
        <v>264.28</v>
      </c>
      <c r="T168" s="32" t="n">
        <f>3781310</f>
        <v>3781310.0</v>
      </c>
      <c r="U168" s="32" t="n">
        <f>150</f>
        <v>150.0</v>
      </c>
      <c r="V168" s="32" t="n">
        <f>1004187171</f>
        <v>1.004187171E9</v>
      </c>
      <c r="W168" s="32" t="n">
        <f>39998</f>
        <v>39998.0</v>
      </c>
      <c r="X168" s="36" t="n">
        <f>18</f>
        <v>18.0</v>
      </c>
    </row>
    <row r="169">
      <c r="A169" s="27" t="s">
        <v>42</v>
      </c>
      <c r="B169" s="27" t="s">
        <v>549</v>
      </c>
      <c r="C169" s="27" t="s">
        <v>550</v>
      </c>
      <c r="D169" s="27" t="s">
        <v>551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293.2</f>
        <v>293.2</v>
      </c>
      <c r="L169" s="34" t="s">
        <v>48</v>
      </c>
      <c r="M169" s="33" t="n">
        <f>302.7</f>
        <v>302.7</v>
      </c>
      <c r="N169" s="34" t="s">
        <v>49</v>
      </c>
      <c r="O169" s="33" t="n">
        <f>291.1</f>
        <v>291.1</v>
      </c>
      <c r="P169" s="34" t="s">
        <v>64</v>
      </c>
      <c r="Q169" s="33" t="n">
        <f>302.5</f>
        <v>302.5</v>
      </c>
      <c r="R169" s="34" t="s">
        <v>49</v>
      </c>
      <c r="S169" s="35" t="n">
        <f>297.18</f>
        <v>297.18</v>
      </c>
      <c r="T169" s="32" t="n">
        <f>5925390</f>
        <v>5925390.0</v>
      </c>
      <c r="U169" s="32" t="str">
        <f>"－"</f>
        <v>－</v>
      </c>
      <c r="V169" s="32" t="n">
        <f>1766710504</f>
        <v>1.766710504E9</v>
      </c>
      <c r="W169" s="32" t="str">
        <f>"－"</f>
        <v>－</v>
      </c>
      <c r="X169" s="36" t="n">
        <f>18</f>
        <v>18.0</v>
      </c>
    </row>
    <row r="170">
      <c r="A170" s="27" t="s">
        <v>42</v>
      </c>
      <c r="B170" s="27" t="s">
        <v>552</v>
      </c>
      <c r="C170" s="27" t="s">
        <v>553</v>
      </c>
      <c r="D170" s="27" t="s">
        <v>554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525.3</f>
        <v>525.3</v>
      </c>
      <c r="L170" s="34" t="s">
        <v>48</v>
      </c>
      <c r="M170" s="33" t="n">
        <f>531.3</f>
        <v>531.3</v>
      </c>
      <c r="N170" s="34" t="s">
        <v>59</v>
      </c>
      <c r="O170" s="33" t="n">
        <f>513.2</f>
        <v>513.2</v>
      </c>
      <c r="P170" s="34" t="s">
        <v>90</v>
      </c>
      <c r="Q170" s="33" t="n">
        <f>526.4</f>
        <v>526.4</v>
      </c>
      <c r="R170" s="34" t="s">
        <v>49</v>
      </c>
      <c r="S170" s="35" t="n">
        <f>522.62</f>
        <v>522.62</v>
      </c>
      <c r="T170" s="32" t="n">
        <f>2015350</f>
        <v>2015350.0</v>
      </c>
      <c r="U170" s="32" t="n">
        <f>2000000</f>
        <v>2000000.0</v>
      </c>
      <c r="V170" s="32" t="n">
        <f>1039581991</f>
        <v>1.039581991E9</v>
      </c>
      <c r="W170" s="32" t="n">
        <f>1031600000</f>
        <v>1.0316E9</v>
      </c>
      <c r="X170" s="36" t="n">
        <f>16</f>
        <v>16.0</v>
      </c>
    </row>
    <row r="171">
      <c r="A171" s="27" t="s">
        <v>42</v>
      </c>
      <c r="B171" s="27" t="s">
        <v>555</v>
      </c>
      <c r="C171" s="27" t="s">
        <v>556</v>
      </c>
      <c r="D171" s="27" t="s">
        <v>557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507.2</f>
        <v>507.2</v>
      </c>
      <c r="L171" s="34" t="s">
        <v>48</v>
      </c>
      <c r="M171" s="33" t="n">
        <f>522.8</f>
        <v>522.8</v>
      </c>
      <c r="N171" s="34" t="s">
        <v>49</v>
      </c>
      <c r="O171" s="33" t="n">
        <f>498.5</f>
        <v>498.5</v>
      </c>
      <c r="P171" s="34" t="s">
        <v>64</v>
      </c>
      <c r="Q171" s="33" t="n">
        <f>522.8</f>
        <v>522.8</v>
      </c>
      <c r="R171" s="34" t="s">
        <v>49</v>
      </c>
      <c r="S171" s="35" t="n">
        <f>511.22</f>
        <v>511.22</v>
      </c>
      <c r="T171" s="32" t="n">
        <f>20000</f>
        <v>20000.0</v>
      </c>
      <c r="U171" s="32" t="str">
        <f>"－"</f>
        <v>－</v>
      </c>
      <c r="V171" s="32" t="n">
        <f>10214079</f>
        <v>1.0214079E7</v>
      </c>
      <c r="W171" s="32" t="str">
        <f>"－"</f>
        <v>－</v>
      </c>
      <c r="X171" s="36" t="n">
        <f>18</f>
        <v>18.0</v>
      </c>
    </row>
    <row r="172">
      <c r="A172" s="27" t="s">
        <v>42</v>
      </c>
      <c r="B172" s="27" t="s">
        <v>558</v>
      </c>
      <c r="C172" s="27" t="s">
        <v>559</v>
      </c>
      <c r="D172" s="27" t="s">
        <v>560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463.9</f>
        <v>463.9</v>
      </c>
      <c r="L172" s="34" t="s">
        <v>48</v>
      </c>
      <c r="M172" s="33" t="n">
        <f>476.5</f>
        <v>476.5</v>
      </c>
      <c r="N172" s="34" t="s">
        <v>49</v>
      </c>
      <c r="O172" s="33" t="n">
        <f>458.8</f>
        <v>458.8</v>
      </c>
      <c r="P172" s="34" t="s">
        <v>59</v>
      </c>
      <c r="Q172" s="33" t="n">
        <f>476.5</f>
        <v>476.5</v>
      </c>
      <c r="R172" s="34" t="s">
        <v>49</v>
      </c>
      <c r="S172" s="35" t="n">
        <f>468.29</f>
        <v>468.29</v>
      </c>
      <c r="T172" s="32" t="n">
        <f>2180600</f>
        <v>2180600.0</v>
      </c>
      <c r="U172" s="32" t="n">
        <f>2150010</f>
        <v>2150010.0</v>
      </c>
      <c r="V172" s="32" t="n">
        <f>1033077005</f>
        <v>1.033077005E9</v>
      </c>
      <c r="W172" s="32" t="n">
        <f>1018743292</f>
        <v>1.018743292E9</v>
      </c>
      <c r="X172" s="36" t="n">
        <f>17</f>
        <v>17.0</v>
      </c>
    </row>
    <row r="173">
      <c r="A173" s="27" t="s">
        <v>42</v>
      </c>
      <c r="B173" s="27" t="s">
        <v>561</v>
      </c>
      <c r="C173" s="27" t="s">
        <v>562</v>
      </c>
      <c r="D173" s="27" t="s">
        <v>563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1.0</v>
      </c>
      <c r="K173" s="33" t="n">
        <f>932</f>
        <v>932.0</v>
      </c>
      <c r="L173" s="34" t="s">
        <v>48</v>
      </c>
      <c r="M173" s="33" t="n">
        <f>997</f>
        <v>997.0</v>
      </c>
      <c r="N173" s="34" t="s">
        <v>59</v>
      </c>
      <c r="O173" s="33" t="n">
        <f>929</f>
        <v>929.0</v>
      </c>
      <c r="P173" s="34" t="s">
        <v>48</v>
      </c>
      <c r="Q173" s="33" t="n">
        <f>954</f>
        <v>954.0</v>
      </c>
      <c r="R173" s="34" t="s">
        <v>49</v>
      </c>
      <c r="S173" s="35" t="n">
        <f>966.67</f>
        <v>966.67</v>
      </c>
      <c r="T173" s="32" t="n">
        <f>554009</f>
        <v>554009.0</v>
      </c>
      <c r="U173" s="32" t="n">
        <f>10292</f>
        <v>10292.0</v>
      </c>
      <c r="V173" s="32" t="n">
        <f>537652092</f>
        <v>5.37652092E8</v>
      </c>
      <c r="W173" s="32" t="n">
        <f>10157821</f>
        <v>1.0157821E7</v>
      </c>
      <c r="X173" s="36" t="n">
        <f>18</f>
        <v>18.0</v>
      </c>
    </row>
    <row r="174">
      <c r="A174" s="27" t="s">
        <v>42</v>
      </c>
      <c r="B174" s="27" t="s">
        <v>564</v>
      </c>
      <c r="C174" s="27" t="s">
        <v>565</v>
      </c>
      <c r="D174" s="27" t="s">
        <v>566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1.0</v>
      </c>
      <c r="K174" s="33" t="n">
        <f>2975</f>
        <v>2975.0</v>
      </c>
      <c r="L174" s="34" t="s">
        <v>48</v>
      </c>
      <c r="M174" s="33" t="n">
        <f>3483</f>
        <v>3483.0</v>
      </c>
      <c r="N174" s="34" t="s">
        <v>68</v>
      </c>
      <c r="O174" s="33" t="n">
        <f>2875</f>
        <v>2875.0</v>
      </c>
      <c r="P174" s="34" t="s">
        <v>48</v>
      </c>
      <c r="Q174" s="33" t="n">
        <f>3337</f>
        <v>3337.0</v>
      </c>
      <c r="R174" s="34" t="s">
        <v>49</v>
      </c>
      <c r="S174" s="35" t="n">
        <f>3177.83</f>
        <v>3177.83</v>
      </c>
      <c r="T174" s="32" t="n">
        <f>10700804</f>
        <v>1.0700804E7</v>
      </c>
      <c r="U174" s="32" t="n">
        <f>566773</f>
        <v>566773.0</v>
      </c>
      <c r="V174" s="32" t="n">
        <f>33671709276</f>
        <v>3.3671709276E10</v>
      </c>
      <c r="W174" s="32" t="n">
        <f>1804058806</f>
        <v>1.804058806E9</v>
      </c>
      <c r="X174" s="36" t="n">
        <f>18</f>
        <v>18.0</v>
      </c>
    </row>
    <row r="175">
      <c r="A175" s="27" t="s">
        <v>42</v>
      </c>
      <c r="B175" s="27" t="s">
        <v>567</v>
      </c>
      <c r="C175" s="27" t="s">
        <v>568</v>
      </c>
      <c r="D175" s="27" t="s">
        <v>569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779</f>
        <v>779.0</v>
      </c>
      <c r="L175" s="34" t="s">
        <v>48</v>
      </c>
      <c r="M175" s="33" t="n">
        <f>853.9</f>
        <v>853.9</v>
      </c>
      <c r="N175" s="34" t="s">
        <v>49</v>
      </c>
      <c r="O175" s="33" t="n">
        <f>764</f>
        <v>764.0</v>
      </c>
      <c r="P175" s="34" t="s">
        <v>48</v>
      </c>
      <c r="Q175" s="33" t="n">
        <f>850.7</f>
        <v>850.7</v>
      </c>
      <c r="R175" s="34" t="s">
        <v>49</v>
      </c>
      <c r="S175" s="35" t="n">
        <f>814.28</f>
        <v>814.28</v>
      </c>
      <c r="T175" s="32" t="n">
        <f>231060</f>
        <v>231060.0</v>
      </c>
      <c r="U175" s="32" t="n">
        <f>2880</f>
        <v>2880.0</v>
      </c>
      <c r="V175" s="32" t="n">
        <f>186802451</f>
        <v>1.86802451E8</v>
      </c>
      <c r="W175" s="32" t="n">
        <f>2363257</f>
        <v>2363257.0</v>
      </c>
      <c r="X175" s="36" t="n">
        <f>18</f>
        <v>18.0</v>
      </c>
    </row>
    <row r="176">
      <c r="A176" s="27" t="s">
        <v>42</v>
      </c>
      <c r="B176" s="27" t="s">
        <v>570</v>
      </c>
      <c r="C176" s="27" t="s">
        <v>571</v>
      </c>
      <c r="D176" s="27" t="s">
        <v>572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231.3</f>
        <v>231.3</v>
      </c>
      <c r="L176" s="34" t="s">
        <v>48</v>
      </c>
      <c r="M176" s="33" t="n">
        <f>234.7</f>
        <v>234.7</v>
      </c>
      <c r="N176" s="34" t="s">
        <v>59</v>
      </c>
      <c r="O176" s="33" t="n">
        <f>227.4</f>
        <v>227.4</v>
      </c>
      <c r="P176" s="34" t="s">
        <v>64</v>
      </c>
      <c r="Q176" s="33" t="n">
        <f>232.9</f>
        <v>232.9</v>
      </c>
      <c r="R176" s="34" t="s">
        <v>49</v>
      </c>
      <c r="S176" s="35" t="n">
        <f>231.54</f>
        <v>231.54</v>
      </c>
      <c r="T176" s="32" t="n">
        <f>30202600</f>
        <v>3.02026E7</v>
      </c>
      <c r="U176" s="32" t="n">
        <f>25076000</f>
        <v>2.5076E7</v>
      </c>
      <c r="V176" s="32" t="n">
        <f>6998887596</f>
        <v>6.998887596E9</v>
      </c>
      <c r="W176" s="32" t="n">
        <f>5813563560</f>
        <v>5.81356356E9</v>
      </c>
      <c r="X176" s="36" t="n">
        <f>18</f>
        <v>18.0</v>
      </c>
    </row>
    <row r="177">
      <c r="A177" s="27" t="s">
        <v>42</v>
      </c>
      <c r="B177" s="27" t="s">
        <v>573</v>
      </c>
      <c r="C177" s="27" t="s">
        <v>574</v>
      </c>
      <c r="D177" s="27" t="s">
        <v>575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277.5</f>
        <v>277.5</v>
      </c>
      <c r="L177" s="34" t="s">
        <v>48</v>
      </c>
      <c r="M177" s="33" t="n">
        <f>290.9</f>
        <v>290.9</v>
      </c>
      <c r="N177" s="34" t="s">
        <v>68</v>
      </c>
      <c r="O177" s="33" t="n">
        <f>275</f>
        <v>275.0</v>
      </c>
      <c r="P177" s="34" t="s">
        <v>48</v>
      </c>
      <c r="Q177" s="33" t="n">
        <f>289.5</f>
        <v>289.5</v>
      </c>
      <c r="R177" s="34" t="s">
        <v>49</v>
      </c>
      <c r="S177" s="35" t="n">
        <f>285.81</f>
        <v>285.81</v>
      </c>
      <c r="T177" s="32" t="n">
        <f>10406680</f>
        <v>1.040668E7</v>
      </c>
      <c r="U177" s="32" t="n">
        <f>2182300</f>
        <v>2182300.0</v>
      </c>
      <c r="V177" s="32" t="n">
        <f>2959849242</f>
        <v>2.959849242E9</v>
      </c>
      <c r="W177" s="32" t="n">
        <f>624120429</f>
        <v>6.24120429E8</v>
      </c>
      <c r="X177" s="36" t="n">
        <f>18</f>
        <v>18.0</v>
      </c>
    </row>
    <row r="178">
      <c r="A178" s="27" t="s">
        <v>42</v>
      </c>
      <c r="B178" s="27" t="s">
        <v>576</v>
      </c>
      <c r="C178" s="27" t="s">
        <v>577</v>
      </c>
      <c r="D178" s="27" t="s">
        <v>578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285.7</f>
        <v>285.7</v>
      </c>
      <c r="L178" s="34" t="s">
        <v>48</v>
      </c>
      <c r="M178" s="33" t="n">
        <f>297.3</f>
        <v>297.3</v>
      </c>
      <c r="N178" s="34" t="s">
        <v>59</v>
      </c>
      <c r="O178" s="33" t="n">
        <f>283</f>
        <v>283.0</v>
      </c>
      <c r="P178" s="34" t="s">
        <v>48</v>
      </c>
      <c r="Q178" s="33" t="n">
        <f>292.5</f>
        <v>292.5</v>
      </c>
      <c r="R178" s="34" t="s">
        <v>49</v>
      </c>
      <c r="S178" s="35" t="n">
        <f>290.54</f>
        <v>290.54</v>
      </c>
      <c r="T178" s="32" t="n">
        <f>3277950</f>
        <v>3277950.0</v>
      </c>
      <c r="U178" s="32" t="n">
        <f>968430</f>
        <v>968430.0</v>
      </c>
      <c r="V178" s="32" t="n">
        <f>952250184</f>
        <v>9.52250184E8</v>
      </c>
      <c r="W178" s="32" t="n">
        <f>282724276</f>
        <v>2.82724276E8</v>
      </c>
      <c r="X178" s="36" t="n">
        <f>18</f>
        <v>18.0</v>
      </c>
    </row>
    <row r="179">
      <c r="A179" s="27" t="s">
        <v>42</v>
      </c>
      <c r="B179" s="27" t="s">
        <v>579</v>
      </c>
      <c r="C179" s="27" t="s">
        <v>580</v>
      </c>
      <c r="D179" s="27" t="s">
        <v>581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1.0</v>
      </c>
      <c r="K179" s="33" t="n">
        <f>2149</f>
        <v>2149.0</v>
      </c>
      <c r="L179" s="34" t="s">
        <v>48</v>
      </c>
      <c r="M179" s="33" t="n">
        <f>2195</f>
        <v>2195.0</v>
      </c>
      <c r="N179" s="34" t="s">
        <v>68</v>
      </c>
      <c r="O179" s="33" t="n">
        <f>2122</f>
        <v>2122.0</v>
      </c>
      <c r="P179" s="34" t="s">
        <v>64</v>
      </c>
      <c r="Q179" s="33" t="n">
        <f>2189</f>
        <v>2189.0</v>
      </c>
      <c r="R179" s="34" t="s">
        <v>49</v>
      </c>
      <c r="S179" s="35" t="n">
        <f>2164.28</f>
        <v>2164.28</v>
      </c>
      <c r="T179" s="32" t="n">
        <f>583511</f>
        <v>583511.0</v>
      </c>
      <c r="U179" s="32" t="n">
        <f>190000</f>
        <v>190000.0</v>
      </c>
      <c r="V179" s="32" t="n">
        <f>1256557625</f>
        <v>1.256557625E9</v>
      </c>
      <c r="W179" s="32" t="n">
        <f>403503000</f>
        <v>4.03503E8</v>
      </c>
      <c r="X179" s="36" t="n">
        <f>18</f>
        <v>18.0</v>
      </c>
    </row>
    <row r="180">
      <c r="A180" s="27" t="s">
        <v>42</v>
      </c>
      <c r="B180" s="27" t="s">
        <v>582</v>
      </c>
      <c r="C180" s="27" t="s">
        <v>583</v>
      </c>
      <c r="D180" s="27" t="s">
        <v>584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1.0</v>
      </c>
      <c r="K180" s="33" t="n">
        <f>1850</f>
        <v>1850.0</v>
      </c>
      <c r="L180" s="34" t="s">
        <v>48</v>
      </c>
      <c r="M180" s="33" t="n">
        <f>1888</f>
        <v>1888.0</v>
      </c>
      <c r="N180" s="34" t="s">
        <v>585</v>
      </c>
      <c r="O180" s="33" t="n">
        <f>1843</f>
        <v>1843.0</v>
      </c>
      <c r="P180" s="34" t="s">
        <v>60</v>
      </c>
      <c r="Q180" s="33" t="n">
        <f>1863</f>
        <v>1863.0</v>
      </c>
      <c r="R180" s="34" t="s">
        <v>49</v>
      </c>
      <c r="S180" s="35" t="n">
        <f>1860</f>
        <v>1860.0</v>
      </c>
      <c r="T180" s="32" t="n">
        <f>1145722</f>
        <v>1145722.0</v>
      </c>
      <c r="U180" s="32" t="n">
        <f>5</f>
        <v>5.0</v>
      </c>
      <c r="V180" s="32" t="n">
        <f>2132426901</f>
        <v>2.132426901E9</v>
      </c>
      <c r="W180" s="32" t="n">
        <f>9335</f>
        <v>9335.0</v>
      </c>
      <c r="X180" s="36" t="n">
        <f>18</f>
        <v>18.0</v>
      </c>
    </row>
    <row r="181">
      <c r="A181" s="27" t="s">
        <v>42</v>
      </c>
      <c r="B181" s="27" t="s">
        <v>586</v>
      </c>
      <c r="C181" s="27" t="s">
        <v>587</v>
      </c>
      <c r="D181" s="27" t="s">
        <v>588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1.0</v>
      </c>
      <c r="K181" s="33" t="n">
        <f>1349</f>
        <v>1349.0</v>
      </c>
      <c r="L181" s="34" t="s">
        <v>48</v>
      </c>
      <c r="M181" s="33" t="n">
        <f>1447</f>
        <v>1447.0</v>
      </c>
      <c r="N181" s="34" t="s">
        <v>49</v>
      </c>
      <c r="O181" s="33" t="n">
        <f>1316</f>
        <v>1316.0</v>
      </c>
      <c r="P181" s="34" t="s">
        <v>48</v>
      </c>
      <c r="Q181" s="33" t="n">
        <f>1444</f>
        <v>1444.0</v>
      </c>
      <c r="R181" s="34" t="s">
        <v>49</v>
      </c>
      <c r="S181" s="35" t="n">
        <f>1392.11</f>
        <v>1392.11</v>
      </c>
      <c r="T181" s="32" t="n">
        <f>1346108</f>
        <v>1346108.0</v>
      </c>
      <c r="U181" s="32" t="n">
        <f>8000</f>
        <v>8000.0</v>
      </c>
      <c r="V181" s="32" t="n">
        <f>1845514443</f>
        <v>1.845514443E9</v>
      </c>
      <c r="W181" s="32" t="n">
        <f>10652185</f>
        <v>1.0652185E7</v>
      </c>
      <c r="X181" s="36" t="n">
        <f>18</f>
        <v>18.0</v>
      </c>
    </row>
    <row r="182">
      <c r="A182" s="27" t="s">
        <v>42</v>
      </c>
      <c r="B182" s="27" t="s">
        <v>589</v>
      </c>
      <c r="C182" s="27" t="s">
        <v>590</v>
      </c>
      <c r="D182" s="27" t="s">
        <v>591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1.0</v>
      </c>
      <c r="K182" s="33" t="n">
        <f>1144</f>
        <v>1144.0</v>
      </c>
      <c r="L182" s="34" t="s">
        <v>48</v>
      </c>
      <c r="M182" s="33" t="n">
        <f>1237</f>
        <v>1237.0</v>
      </c>
      <c r="N182" s="34" t="s">
        <v>83</v>
      </c>
      <c r="O182" s="33" t="n">
        <f>1137</f>
        <v>1137.0</v>
      </c>
      <c r="P182" s="34" t="s">
        <v>60</v>
      </c>
      <c r="Q182" s="33" t="n">
        <f>1230</f>
        <v>1230.0</v>
      </c>
      <c r="R182" s="34" t="s">
        <v>49</v>
      </c>
      <c r="S182" s="35" t="n">
        <f>1197.06</f>
        <v>1197.06</v>
      </c>
      <c r="T182" s="32" t="n">
        <f>319478</f>
        <v>319478.0</v>
      </c>
      <c r="U182" s="32" t="str">
        <f>"－"</f>
        <v>－</v>
      </c>
      <c r="V182" s="32" t="n">
        <f>377299094</f>
        <v>3.77299094E8</v>
      </c>
      <c r="W182" s="32" t="str">
        <f>"－"</f>
        <v>－</v>
      </c>
      <c r="X182" s="36" t="n">
        <f>18</f>
        <v>18.0</v>
      </c>
    </row>
    <row r="183">
      <c r="A183" s="27" t="s">
        <v>42</v>
      </c>
      <c r="B183" s="27" t="s">
        <v>592</v>
      </c>
      <c r="C183" s="27" t="s">
        <v>593</v>
      </c>
      <c r="D183" s="27" t="s">
        <v>594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1.0</v>
      </c>
      <c r="K183" s="33" t="n">
        <f>1035</f>
        <v>1035.0</v>
      </c>
      <c r="L183" s="34" t="s">
        <v>48</v>
      </c>
      <c r="M183" s="33" t="n">
        <f>1050</f>
        <v>1050.0</v>
      </c>
      <c r="N183" s="34" t="s">
        <v>79</v>
      </c>
      <c r="O183" s="33" t="n">
        <f>1016</f>
        <v>1016.0</v>
      </c>
      <c r="P183" s="34" t="s">
        <v>105</v>
      </c>
      <c r="Q183" s="33" t="n">
        <f>1050</f>
        <v>1050.0</v>
      </c>
      <c r="R183" s="34" t="s">
        <v>49</v>
      </c>
      <c r="S183" s="35" t="n">
        <f>1039.67</f>
        <v>1039.67</v>
      </c>
      <c r="T183" s="32" t="n">
        <f>91009</f>
        <v>91009.0</v>
      </c>
      <c r="U183" s="32" t="n">
        <f>232</f>
        <v>232.0</v>
      </c>
      <c r="V183" s="32" t="n">
        <f>94137476</f>
        <v>9.4137476E7</v>
      </c>
      <c r="W183" s="32" t="n">
        <f>257984</f>
        <v>257984.0</v>
      </c>
      <c r="X183" s="36" t="n">
        <f>18</f>
        <v>18.0</v>
      </c>
    </row>
    <row r="184">
      <c r="A184" s="27" t="s">
        <v>42</v>
      </c>
      <c r="B184" s="27" t="s">
        <v>595</v>
      </c>
      <c r="C184" s="27" t="s">
        <v>596</v>
      </c>
      <c r="D184" s="27" t="s">
        <v>597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190.5</f>
        <v>190.5</v>
      </c>
      <c r="L184" s="34" t="s">
        <v>48</v>
      </c>
      <c r="M184" s="33" t="n">
        <f>202.5</f>
        <v>202.5</v>
      </c>
      <c r="N184" s="34" t="s">
        <v>60</v>
      </c>
      <c r="O184" s="33" t="n">
        <f>186.3</f>
        <v>186.3</v>
      </c>
      <c r="P184" s="34" t="s">
        <v>48</v>
      </c>
      <c r="Q184" s="33" t="n">
        <f>193.6</f>
        <v>193.6</v>
      </c>
      <c r="R184" s="34" t="s">
        <v>49</v>
      </c>
      <c r="S184" s="35" t="n">
        <f>195.87</f>
        <v>195.87</v>
      </c>
      <c r="T184" s="32" t="n">
        <f>5421400</f>
        <v>5421400.0</v>
      </c>
      <c r="U184" s="32" t="n">
        <f>53140</f>
        <v>53140.0</v>
      </c>
      <c r="V184" s="32" t="n">
        <f>1063162721</f>
        <v>1.063162721E9</v>
      </c>
      <c r="W184" s="32" t="n">
        <f>10090472</f>
        <v>1.0090472E7</v>
      </c>
      <c r="X184" s="36" t="n">
        <f>18</f>
        <v>18.0</v>
      </c>
    </row>
    <row r="185">
      <c r="A185" s="27" t="s">
        <v>42</v>
      </c>
      <c r="B185" s="27" t="s">
        <v>598</v>
      </c>
      <c r="C185" s="27" t="s">
        <v>599</v>
      </c>
      <c r="D185" s="27" t="s">
        <v>600</v>
      </c>
      <c r="E185" s="28" t="s">
        <v>46</v>
      </c>
      <c r="F185" s="29" t="s">
        <v>46</v>
      </c>
      <c r="G185" s="30" t="s">
        <v>46</v>
      </c>
      <c r="H185" s="31"/>
      <c r="I185" s="31" t="s">
        <v>413</v>
      </c>
      <c r="J185" s="32" t="n">
        <v>1.0</v>
      </c>
      <c r="K185" s="33" t="n">
        <f>9247</f>
        <v>9247.0</v>
      </c>
      <c r="L185" s="34" t="s">
        <v>48</v>
      </c>
      <c r="M185" s="33" t="n">
        <f>9300</f>
        <v>9300.0</v>
      </c>
      <c r="N185" s="34" t="s">
        <v>79</v>
      </c>
      <c r="O185" s="33" t="n">
        <f>8550</f>
        <v>8550.0</v>
      </c>
      <c r="P185" s="34" t="s">
        <v>160</v>
      </c>
      <c r="Q185" s="33" t="n">
        <f>8823</f>
        <v>8823.0</v>
      </c>
      <c r="R185" s="34" t="s">
        <v>49</v>
      </c>
      <c r="S185" s="35" t="n">
        <f>8876.72</f>
        <v>8876.72</v>
      </c>
      <c r="T185" s="32" t="n">
        <f>13426</f>
        <v>13426.0</v>
      </c>
      <c r="U185" s="32" t="str">
        <f>"－"</f>
        <v>－</v>
      </c>
      <c r="V185" s="32" t="n">
        <f>119281082</f>
        <v>1.19281082E8</v>
      </c>
      <c r="W185" s="32" t="str">
        <f>"－"</f>
        <v>－</v>
      </c>
      <c r="X185" s="36" t="n">
        <f>18</f>
        <v>18.0</v>
      </c>
    </row>
    <row r="186">
      <c r="A186" s="27" t="s">
        <v>42</v>
      </c>
      <c r="B186" s="27" t="s">
        <v>601</v>
      </c>
      <c r="C186" s="27" t="s">
        <v>602</v>
      </c>
      <c r="D186" s="27" t="s">
        <v>603</v>
      </c>
      <c r="E186" s="28" t="s">
        <v>46</v>
      </c>
      <c r="F186" s="29" t="s">
        <v>46</v>
      </c>
      <c r="G186" s="30" t="s">
        <v>46</v>
      </c>
      <c r="H186" s="31"/>
      <c r="I186" s="31" t="s">
        <v>413</v>
      </c>
      <c r="J186" s="32" t="n">
        <v>1.0</v>
      </c>
      <c r="K186" s="33" t="n">
        <f>5601</f>
        <v>5601.0</v>
      </c>
      <c r="L186" s="34" t="s">
        <v>48</v>
      </c>
      <c r="M186" s="33" t="n">
        <f>5926</f>
        <v>5926.0</v>
      </c>
      <c r="N186" s="34" t="s">
        <v>101</v>
      </c>
      <c r="O186" s="33" t="n">
        <f>5580</f>
        <v>5580.0</v>
      </c>
      <c r="P186" s="34" t="s">
        <v>64</v>
      </c>
      <c r="Q186" s="33" t="n">
        <f>5763</f>
        <v>5763.0</v>
      </c>
      <c r="R186" s="34" t="s">
        <v>49</v>
      </c>
      <c r="S186" s="35" t="n">
        <f>5741.94</f>
        <v>5741.94</v>
      </c>
      <c r="T186" s="32" t="n">
        <f>4345</f>
        <v>4345.0</v>
      </c>
      <c r="U186" s="32" t="str">
        <f>"－"</f>
        <v>－</v>
      </c>
      <c r="V186" s="32" t="n">
        <f>25037634</f>
        <v>2.5037634E7</v>
      </c>
      <c r="W186" s="32" t="str">
        <f>"－"</f>
        <v>－</v>
      </c>
      <c r="X186" s="36" t="n">
        <f>18</f>
        <v>18.0</v>
      </c>
    </row>
    <row r="187">
      <c r="A187" s="27" t="s">
        <v>42</v>
      </c>
      <c r="B187" s="27" t="s">
        <v>604</v>
      </c>
      <c r="C187" s="27" t="s">
        <v>605</v>
      </c>
      <c r="D187" s="27" t="s">
        <v>606</v>
      </c>
      <c r="E187" s="28" t="s">
        <v>46</v>
      </c>
      <c r="F187" s="29" t="s">
        <v>46</v>
      </c>
      <c r="G187" s="30" t="s">
        <v>46</v>
      </c>
      <c r="H187" s="31"/>
      <c r="I187" s="31" t="s">
        <v>413</v>
      </c>
      <c r="J187" s="32" t="n">
        <v>1.0</v>
      </c>
      <c r="K187" s="33" t="n">
        <f>50660</f>
        <v>50660.0</v>
      </c>
      <c r="L187" s="34" t="s">
        <v>48</v>
      </c>
      <c r="M187" s="33" t="n">
        <f>79270</f>
        <v>79270.0</v>
      </c>
      <c r="N187" s="34" t="s">
        <v>68</v>
      </c>
      <c r="O187" s="33" t="n">
        <f>41890</f>
        <v>41890.0</v>
      </c>
      <c r="P187" s="34" t="s">
        <v>48</v>
      </c>
      <c r="Q187" s="33" t="n">
        <f>74170</f>
        <v>74170.0</v>
      </c>
      <c r="R187" s="34" t="s">
        <v>49</v>
      </c>
      <c r="S187" s="35" t="n">
        <f>57214.44</f>
        <v>57214.44</v>
      </c>
      <c r="T187" s="32" t="n">
        <f>50769</f>
        <v>50769.0</v>
      </c>
      <c r="U187" s="32" t="str">
        <f>"－"</f>
        <v>－</v>
      </c>
      <c r="V187" s="32" t="n">
        <f>3149919060</f>
        <v>3.14991906E9</v>
      </c>
      <c r="W187" s="32" t="str">
        <f>"－"</f>
        <v>－</v>
      </c>
      <c r="X187" s="36" t="n">
        <f>18</f>
        <v>18.0</v>
      </c>
    </row>
    <row r="188">
      <c r="A188" s="27" t="s">
        <v>42</v>
      </c>
      <c r="B188" s="27" t="s">
        <v>607</v>
      </c>
      <c r="C188" s="27" t="s">
        <v>608</v>
      </c>
      <c r="D188" s="27" t="s">
        <v>609</v>
      </c>
      <c r="E188" s="28" t="s">
        <v>46</v>
      </c>
      <c r="F188" s="29" t="s">
        <v>46</v>
      </c>
      <c r="G188" s="30" t="s">
        <v>46</v>
      </c>
      <c r="H188" s="31"/>
      <c r="I188" s="31" t="s">
        <v>413</v>
      </c>
      <c r="J188" s="32" t="n">
        <v>1.0</v>
      </c>
      <c r="K188" s="33" t="n">
        <f>3403</f>
        <v>3403.0</v>
      </c>
      <c r="L188" s="34" t="s">
        <v>48</v>
      </c>
      <c r="M188" s="33" t="n">
        <f>3500</f>
        <v>3500.0</v>
      </c>
      <c r="N188" s="34" t="s">
        <v>94</v>
      </c>
      <c r="O188" s="33" t="n">
        <f>2666</f>
        <v>2666.0</v>
      </c>
      <c r="P188" s="34" t="s">
        <v>49</v>
      </c>
      <c r="Q188" s="33" t="n">
        <f>2710</f>
        <v>2710.0</v>
      </c>
      <c r="R188" s="34" t="s">
        <v>49</v>
      </c>
      <c r="S188" s="35" t="n">
        <f>3065.39</f>
        <v>3065.39</v>
      </c>
      <c r="T188" s="32" t="n">
        <f>45275</f>
        <v>45275.0</v>
      </c>
      <c r="U188" s="32" t="str">
        <f>"－"</f>
        <v>－</v>
      </c>
      <c r="V188" s="32" t="n">
        <f>134158068</f>
        <v>1.34158068E8</v>
      </c>
      <c r="W188" s="32" t="str">
        <f>"－"</f>
        <v>－</v>
      </c>
      <c r="X188" s="36" t="n">
        <f>18</f>
        <v>18.0</v>
      </c>
    </row>
    <row r="189">
      <c r="A189" s="27" t="s">
        <v>42</v>
      </c>
      <c r="B189" s="27" t="s">
        <v>610</v>
      </c>
      <c r="C189" s="27" t="s">
        <v>611</v>
      </c>
      <c r="D189" s="27" t="s">
        <v>612</v>
      </c>
      <c r="E189" s="28" t="s">
        <v>46</v>
      </c>
      <c r="F189" s="29" t="s">
        <v>46</v>
      </c>
      <c r="G189" s="30" t="s">
        <v>46</v>
      </c>
      <c r="H189" s="31"/>
      <c r="I189" s="31" t="s">
        <v>413</v>
      </c>
      <c r="J189" s="32" t="n">
        <v>1.0</v>
      </c>
      <c r="K189" s="33" t="n">
        <f>220900</f>
        <v>220900.0</v>
      </c>
      <c r="L189" s="34" t="s">
        <v>48</v>
      </c>
      <c r="M189" s="33" t="n">
        <f>245000</f>
        <v>245000.0</v>
      </c>
      <c r="N189" s="34" t="s">
        <v>90</v>
      </c>
      <c r="O189" s="33" t="n">
        <f>196800</f>
        <v>196800.0</v>
      </c>
      <c r="P189" s="34" t="s">
        <v>94</v>
      </c>
      <c r="Q189" s="33" t="n">
        <f>243400</f>
        <v>243400.0</v>
      </c>
      <c r="R189" s="34" t="s">
        <v>49</v>
      </c>
      <c r="S189" s="35" t="n">
        <f>227113.89</f>
        <v>227113.89</v>
      </c>
      <c r="T189" s="32" t="n">
        <f>372838</f>
        <v>372838.0</v>
      </c>
      <c r="U189" s="32" t="n">
        <f>2417</f>
        <v>2417.0</v>
      </c>
      <c r="V189" s="32" t="n">
        <f>83778159700</f>
        <v>8.37781597E10</v>
      </c>
      <c r="W189" s="32" t="n">
        <f>552040000</f>
        <v>5.5204E8</v>
      </c>
      <c r="X189" s="36" t="n">
        <f>18</f>
        <v>18.0</v>
      </c>
    </row>
    <row r="190">
      <c r="A190" s="27" t="s">
        <v>42</v>
      </c>
      <c r="B190" s="27" t="s">
        <v>613</v>
      </c>
      <c r="C190" s="27" t="s">
        <v>614</v>
      </c>
      <c r="D190" s="27" t="s">
        <v>615</v>
      </c>
      <c r="E190" s="28" t="s">
        <v>46</v>
      </c>
      <c r="F190" s="29" t="s">
        <v>46</v>
      </c>
      <c r="G190" s="30" t="s">
        <v>46</v>
      </c>
      <c r="H190" s="31"/>
      <c r="I190" s="31" t="s">
        <v>413</v>
      </c>
      <c r="J190" s="32" t="n">
        <v>1.0</v>
      </c>
      <c r="K190" s="33" t="n">
        <f>1276</f>
        <v>1276.0</v>
      </c>
      <c r="L190" s="34" t="s">
        <v>48</v>
      </c>
      <c r="M190" s="33" t="n">
        <f>1450</f>
        <v>1450.0</v>
      </c>
      <c r="N190" s="34" t="s">
        <v>48</v>
      </c>
      <c r="O190" s="33" t="n">
        <f>1106</f>
        <v>1106.0</v>
      </c>
      <c r="P190" s="34" t="s">
        <v>83</v>
      </c>
      <c r="Q190" s="33" t="n">
        <f>1106</f>
        <v>1106.0</v>
      </c>
      <c r="R190" s="34" t="s">
        <v>49</v>
      </c>
      <c r="S190" s="35" t="n">
        <f>1173.61</f>
        <v>1173.61</v>
      </c>
      <c r="T190" s="32" t="n">
        <f>926426</f>
        <v>926426.0</v>
      </c>
      <c r="U190" s="32" t="str">
        <f>"－"</f>
        <v>－</v>
      </c>
      <c r="V190" s="32" t="n">
        <f>1138166829</f>
        <v>1.138166829E9</v>
      </c>
      <c r="W190" s="32" t="str">
        <f>"－"</f>
        <v>－</v>
      </c>
      <c r="X190" s="36" t="n">
        <f>18</f>
        <v>18.0</v>
      </c>
    </row>
    <row r="191">
      <c r="A191" s="27" t="s">
        <v>42</v>
      </c>
      <c r="B191" s="27" t="s">
        <v>616</v>
      </c>
      <c r="C191" s="27" t="s">
        <v>617</v>
      </c>
      <c r="D191" s="27" t="s">
        <v>618</v>
      </c>
      <c r="E191" s="28" t="s">
        <v>46</v>
      </c>
      <c r="F191" s="29" t="s">
        <v>46</v>
      </c>
      <c r="G191" s="30" t="s">
        <v>46</v>
      </c>
      <c r="H191" s="31"/>
      <c r="I191" s="31" t="s">
        <v>413</v>
      </c>
      <c r="J191" s="32" t="n">
        <v>1.0</v>
      </c>
      <c r="K191" s="33" t="n">
        <f>1559</f>
        <v>1559.0</v>
      </c>
      <c r="L191" s="34" t="s">
        <v>48</v>
      </c>
      <c r="M191" s="33" t="n">
        <f>1785</f>
        <v>1785.0</v>
      </c>
      <c r="N191" s="34" t="s">
        <v>90</v>
      </c>
      <c r="O191" s="33" t="n">
        <f>1479</f>
        <v>1479.0</v>
      </c>
      <c r="P191" s="34" t="s">
        <v>48</v>
      </c>
      <c r="Q191" s="33" t="n">
        <f>1773</f>
        <v>1773.0</v>
      </c>
      <c r="R191" s="34" t="s">
        <v>49</v>
      </c>
      <c r="S191" s="35" t="n">
        <f>1639.06</f>
        <v>1639.06</v>
      </c>
      <c r="T191" s="32" t="n">
        <f>3915572</f>
        <v>3915572.0</v>
      </c>
      <c r="U191" s="32" t="n">
        <f>123</f>
        <v>123.0</v>
      </c>
      <c r="V191" s="32" t="n">
        <f>6496677268</f>
        <v>6.496677268E9</v>
      </c>
      <c r="W191" s="32" t="n">
        <f>211062</f>
        <v>211062.0</v>
      </c>
      <c r="X191" s="36" t="n">
        <f>18</f>
        <v>18.0</v>
      </c>
    </row>
    <row r="192">
      <c r="A192" s="27" t="s">
        <v>42</v>
      </c>
      <c r="B192" s="27" t="s">
        <v>619</v>
      </c>
      <c r="C192" s="27" t="s">
        <v>620</v>
      </c>
      <c r="D192" s="27" t="s">
        <v>621</v>
      </c>
      <c r="E192" s="28" t="s">
        <v>46</v>
      </c>
      <c r="F192" s="29" t="s">
        <v>46</v>
      </c>
      <c r="G192" s="30" t="s">
        <v>46</v>
      </c>
      <c r="H192" s="31"/>
      <c r="I192" s="31" t="s">
        <v>413</v>
      </c>
      <c r="J192" s="32" t="n">
        <v>1.0</v>
      </c>
      <c r="K192" s="33" t="n">
        <f>858</f>
        <v>858.0</v>
      </c>
      <c r="L192" s="34" t="s">
        <v>48</v>
      </c>
      <c r="M192" s="33" t="n">
        <f>881</f>
        <v>881.0</v>
      </c>
      <c r="N192" s="34" t="s">
        <v>48</v>
      </c>
      <c r="O192" s="33" t="n">
        <f>802</f>
        <v>802.0</v>
      </c>
      <c r="P192" s="34" t="s">
        <v>68</v>
      </c>
      <c r="Q192" s="33" t="n">
        <f>805</f>
        <v>805.0</v>
      </c>
      <c r="R192" s="34" t="s">
        <v>49</v>
      </c>
      <c r="S192" s="35" t="n">
        <f>833.83</f>
        <v>833.83</v>
      </c>
      <c r="T192" s="32" t="n">
        <f>665622</f>
        <v>665622.0</v>
      </c>
      <c r="U192" s="32" t="n">
        <f>6</f>
        <v>6.0</v>
      </c>
      <c r="V192" s="32" t="n">
        <f>553240909</f>
        <v>5.53240909E8</v>
      </c>
      <c r="W192" s="32" t="n">
        <f>4545</f>
        <v>4545.0</v>
      </c>
      <c r="X192" s="36" t="n">
        <f>18</f>
        <v>18.0</v>
      </c>
    </row>
    <row r="193">
      <c r="A193" s="27" t="s">
        <v>42</v>
      </c>
      <c r="B193" s="27" t="s">
        <v>622</v>
      </c>
      <c r="C193" s="27" t="s">
        <v>623</v>
      </c>
      <c r="D193" s="27" t="s">
        <v>624</v>
      </c>
      <c r="E193" s="28" t="s">
        <v>46</v>
      </c>
      <c r="F193" s="29" t="s">
        <v>46</v>
      </c>
      <c r="G193" s="30" t="s">
        <v>46</v>
      </c>
      <c r="H193" s="31"/>
      <c r="I193" s="31" t="s">
        <v>413</v>
      </c>
      <c r="J193" s="32" t="n">
        <v>1.0</v>
      </c>
      <c r="K193" s="33" t="n">
        <f>35150</f>
        <v>35150.0</v>
      </c>
      <c r="L193" s="34" t="s">
        <v>48</v>
      </c>
      <c r="M193" s="33" t="n">
        <f>37200</f>
        <v>37200.0</v>
      </c>
      <c r="N193" s="34" t="s">
        <v>59</v>
      </c>
      <c r="O193" s="33" t="n">
        <f>34800</f>
        <v>34800.0</v>
      </c>
      <c r="P193" s="34" t="s">
        <v>48</v>
      </c>
      <c r="Q193" s="33" t="n">
        <f>35800</f>
        <v>35800.0</v>
      </c>
      <c r="R193" s="34" t="s">
        <v>49</v>
      </c>
      <c r="S193" s="35" t="n">
        <f>36058.89</f>
        <v>36058.89</v>
      </c>
      <c r="T193" s="32" t="n">
        <f>14487</f>
        <v>14487.0</v>
      </c>
      <c r="U193" s="32" t="str">
        <f>"－"</f>
        <v>－</v>
      </c>
      <c r="V193" s="32" t="n">
        <f>521884180</f>
        <v>5.2188418E8</v>
      </c>
      <c r="W193" s="32" t="str">
        <f>"－"</f>
        <v>－</v>
      </c>
      <c r="X193" s="36" t="n">
        <f>18</f>
        <v>18.0</v>
      </c>
    </row>
    <row r="194">
      <c r="A194" s="27" t="s">
        <v>42</v>
      </c>
      <c r="B194" s="27" t="s">
        <v>625</v>
      </c>
      <c r="C194" s="27" t="s">
        <v>626</v>
      </c>
      <c r="D194" s="27" t="s">
        <v>627</v>
      </c>
      <c r="E194" s="28" t="s">
        <v>46</v>
      </c>
      <c r="F194" s="29" t="s">
        <v>46</v>
      </c>
      <c r="G194" s="30" t="s">
        <v>46</v>
      </c>
      <c r="H194" s="31"/>
      <c r="I194" s="31" t="s">
        <v>413</v>
      </c>
      <c r="J194" s="32" t="n">
        <v>1.0</v>
      </c>
      <c r="K194" s="33" t="n">
        <f>2103</f>
        <v>2103.0</v>
      </c>
      <c r="L194" s="34" t="s">
        <v>48</v>
      </c>
      <c r="M194" s="33" t="n">
        <f>2120</f>
        <v>2120.0</v>
      </c>
      <c r="N194" s="34" t="s">
        <v>48</v>
      </c>
      <c r="O194" s="33" t="n">
        <f>2035</f>
        <v>2035.0</v>
      </c>
      <c r="P194" s="34" t="s">
        <v>79</v>
      </c>
      <c r="Q194" s="33" t="n">
        <f>2078</f>
        <v>2078.0</v>
      </c>
      <c r="R194" s="34" t="s">
        <v>49</v>
      </c>
      <c r="S194" s="35" t="n">
        <f>2072.11</f>
        <v>2072.11</v>
      </c>
      <c r="T194" s="32" t="n">
        <f>79654</f>
        <v>79654.0</v>
      </c>
      <c r="U194" s="32" t="str">
        <f>"－"</f>
        <v>－</v>
      </c>
      <c r="V194" s="32" t="n">
        <f>164884213</f>
        <v>1.64884213E8</v>
      </c>
      <c r="W194" s="32" t="str">
        <f>"－"</f>
        <v>－</v>
      </c>
      <c r="X194" s="36" t="n">
        <f>18</f>
        <v>18.0</v>
      </c>
    </row>
    <row r="195">
      <c r="A195" s="27" t="s">
        <v>42</v>
      </c>
      <c r="B195" s="27" t="s">
        <v>628</v>
      </c>
      <c r="C195" s="27" t="s">
        <v>629</v>
      </c>
      <c r="D195" s="27" t="s">
        <v>630</v>
      </c>
      <c r="E195" s="28" t="s">
        <v>46</v>
      </c>
      <c r="F195" s="29" t="s">
        <v>46</v>
      </c>
      <c r="G195" s="30" t="s">
        <v>46</v>
      </c>
      <c r="H195" s="31"/>
      <c r="I195" s="31" t="s">
        <v>413</v>
      </c>
      <c r="J195" s="32" t="n">
        <v>1.0</v>
      </c>
      <c r="K195" s="33" t="n">
        <f>7466</f>
        <v>7466.0</v>
      </c>
      <c r="L195" s="34" t="s">
        <v>48</v>
      </c>
      <c r="M195" s="33" t="n">
        <f>8121</f>
        <v>8121.0</v>
      </c>
      <c r="N195" s="34" t="s">
        <v>49</v>
      </c>
      <c r="O195" s="33" t="n">
        <f>7260</f>
        <v>7260.0</v>
      </c>
      <c r="P195" s="34" t="s">
        <v>94</v>
      </c>
      <c r="Q195" s="33" t="n">
        <f>8121</f>
        <v>8121.0</v>
      </c>
      <c r="R195" s="34" t="s">
        <v>49</v>
      </c>
      <c r="S195" s="35" t="n">
        <f>7693.39</f>
        <v>7693.39</v>
      </c>
      <c r="T195" s="32" t="n">
        <f>18419</f>
        <v>18419.0</v>
      </c>
      <c r="U195" s="32" t="str">
        <f>"－"</f>
        <v>－</v>
      </c>
      <c r="V195" s="32" t="n">
        <f>143333780</f>
        <v>1.4333378E8</v>
      </c>
      <c r="W195" s="32" t="str">
        <f>"－"</f>
        <v>－</v>
      </c>
      <c r="X195" s="36" t="n">
        <f>18</f>
        <v>18.0</v>
      </c>
    </row>
    <row r="196">
      <c r="A196" s="27" t="s">
        <v>42</v>
      </c>
      <c r="B196" s="27" t="s">
        <v>631</v>
      </c>
      <c r="C196" s="27" t="s">
        <v>632</v>
      </c>
      <c r="D196" s="27" t="s">
        <v>633</v>
      </c>
      <c r="E196" s="28" t="s">
        <v>46</v>
      </c>
      <c r="F196" s="29" t="s">
        <v>46</v>
      </c>
      <c r="G196" s="30" t="s">
        <v>46</v>
      </c>
      <c r="H196" s="31"/>
      <c r="I196" s="31" t="s">
        <v>413</v>
      </c>
      <c r="J196" s="32" t="n">
        <v>1.0</v>
      </c>
      <c r="K196" s="33" t="n">
        <f>27280</f>
        <v>27280.0</v>
      </c>
      <c r="L196" s="34" t="s">
        <v>48</v>
      </c>
      <c r="M196" s="33" t="n">
        <f>28715</f>
        <v>28715.0</v>
      </c>
      <c r="N196" s="34" t="s">
        <v>83</v>
      </c>
      <c r="O196" s="33" t="n">
        <f>26530</f>
        <v>26530.0</v>
      </c>
      <c r="P196" s="34" t="s">
        <v>60</v>
      </c>
      <c r="Q196" s="33" t="n">
        <f>28490</f>
        <v>28490.0</v>
      </c>
      <c r="R196" s="34" t="s">
        <v>49</v>
      </c>
      <c r="S196" s="35" t="n">
        <f>27724.71</f>
        <v>27724.71</v>
      </c>
      <c r="T196" s="32" t="n">
        <f>1025</f>
        <v>1025.0</v>
      </c>
      <c r="U196" s="32" t="str">
        <f>"－"</f>
        <v>－</v>
      </c>
      <c r="V196" s="32" t="n">
        <f>28345445</f>
        <v>2.8345445E7</v>
      </c>
      <c r="W196" s="32" t="str">
        <f>"－"</f>
        <v>－</v>
      </c>
      <c r="X196" s="36" t="n">
        <f>17</f>
        <v>17.0</v>
      </c>
    </row>
    <row r="197">
      <c r="A197" s="27" t="s">
        <v>42</v>
      </c>
      <c r="B197" s="27" t="s">
        <v>634</v>
      </c>
      <c r="C197" s="27" t="s">
        <v>635</v>
      </c>
      <c r="D197" s="27" t="s">
        <v>636</v>
      </c>
      <c r="E197" s="28" t="s">
        <v>46</v>
      </c>
      <c r="F197" s="29" t="s">
        <v>46</v>
      </c>
      <c r="G197" s="30" t="s">
        <v>46</v>
      </c>
      <c r="H197" s="31"/>
      <c r="I197" s="31" t="s">
        <v>413</v>
      </c>
      <c r="J197" s="32" t="n">
        <v>1.0</v>
      </c>
      <c r="K197" s="33" t="n">
        <f>32810</f>
        <v>32810.0</v>
      </c>
      <c r="L197" s="34" t="s">
        <v>48</v>
      </c>
      <c r="M197" s="33" t="n">
        <f>34470</f>
        <v>34470.0</v>
      </c>
      <c r="N197" s="34" t="s">
        <v>59</v>
      </c>
      <c r="O197" s="33" t="n">
        <f>32500</f>
        <v>32500.0</v>
      </c>
      <c r="P197" s="34" t="s">
        <v>48</v>
      </c>
      <c r="Q197" s="33" t="n">
        <f>34060</f>
        <v>34060.0</v>
      </c>
      <c r="R197" s="34" t="s">
        <v>49</v>
      </c>
      <c r="S197" s="35" t="n">
        <f>33681.11</f>
        <v>33681.11</v>
      </c>
      <c r="T197" s="32" t="n">
        <f>3873</f>
        <v>3873.0</v>
      </c>
      <c r="U197" s="32" t="str">
        <f>"－"</f>
        <v>－</v>
      </c>
      <c r="V197" s="32" t="n">
        <f>130905390</f>
        <v>1.3090539E8</v>
      </c>
      <c r="W197" s="32" t="str">
        <f>"－"</f>
        <v>－</v>
      </c>
      <c r="X197" s="36" t="n">
        <f>18</f>
        <v>18.0</v>
      </c>
    </row>
    <row r="198">
      <c r="A198" s="27" t="s">
        <v>42</v>
      </c>
      <c r="B198" s="27" t="s">
        <v>637</v>
      </c>
      <c r="C198" s="27" t="s">
        <v>638</v>
      </c>
      <c r="D198" s="27" t="s">
        <v>639</v>
      </c>
      <c r="E198" s="28" t="s">
        <v>46</v>
      </c>
      <c r="F198" s="29" t="s">
        <v>46</v>
      </c>
      <c r="G198" s="30" t="s">
        <v>46</v>
      </c>
      <c r="H198" s="31"/>
      <c r="I198" s="31" t="s">
        <v>413</v>
      </c>
      <c r="J198" s="32" t="n">
        <v>1.0</v>
      </c>
      <c r="K198" s="33" t="n">
        <f>20645</f>
        <v>20645.0</v>
      </c>
      <c r="L198" s="34" t="s">
        <v>48</v>
      </c>
      <c r="M198" s="33" t="n">
        <f>21270</f>
        <v>21270.0</v>
      </c>
      <c r="N198" s="34" t="s">
        <v>59</v>
      </c>
      <c r="O198" s="33" t="n">
        <f>20160</f>
        <v>20160.0</v>
      </c>
      <c r="P198" s="34" t="s">
        <v>105</v>
      </c>
      <c r="Q198" s="33" t="n">
        <f>20710</f>
        <v>20710.0</v>
      </c>
      <c r="R198" s="34" t="s">
        <v>49</v>
      </c>
      <c r="S198" s="35" t="n">
        <f>20512.14</f>
        <v>20512.14</v>
      </c>
      <c r="T198" s="32" t="n">
        <f>420</f>
        <v>420.0</v>
      </c>
      <c r="U198" s="32" t="str">
        <f>"－"</f>
        <v>－</v>
      </c>
      <c r="V198" s="32" t="n">
        <f>8642515</f>
        <v>8642515.0</v>
      </c>
      <c r="W198" s="32" t="str">
        <f>"－"</f>
        <v>－</v>
      </c>
      <c r="X198" s="36" t="n">
        <f>14</f>
        <v>14.0</v>
      </c>
    </row>
    <row r="199">
      <c r="A199" s="27" t="s">
        <v>42</v>
      </c>
      <c r="B199" s="27" t="s">
        <v>640</v>
      </c>
      <c r="C199" s="27" t="s">
        <v>641</v>
      </c>
      <c r="D199" s="27" t="s">
        <v>642</v>
      </c>
      <c r="E199" s="28" t="s">
        <v>46</v>
      </c>
      <c r="F199" s="29" t="s">
        <v>46</v>
      </c>
      <c r="G199" s="30" t="s">
        <v>46</v>
      </c>
      <c r="H199" s="31"/>
      <c r="I199" s="31" t="s">
        <v>413</v>
      </c>
      <c r="J199" s="32" t="n">
        <v>1.0</v>
      </c>
      <c r="K199" s="33" t="n">
        <f>28500</f>
        <v>28500.0</v>
      </c>
      <c r="L199" s="34" t="s">
        <v>48</v>
      </c>
      <c r="M199" s="33" t="n">
        <f>31830</f>
        <v>31830.0</v>
      </c>
      <c r="N199" s="34" t="s">
        <v>60</v>
      </c>
      <c r="O199" s="33" t="n">
        <f>27950</f>
        <v>27950.0</v>
      </c>
      <c r="P199" s="34" t="s">
        <v>48</v>
      </c>
      <c r="Q199" s="33" t="n">
        <f>29475</f>
        <v>29475.0</v>
      </c>
      <c r="R199" s="34" t="s">
        <v>49</v>
      </c>
      <c r="S199" s="35" t="n">
        <f>30216.11</f>
        <v>30216.11</v>
      </c>
      <c r="T199" s="32" t="n">
        <f>36459</f>
        <v>36459.0</v>
      </c>
      <c r="U199" s="32" t="str">
        <f>"－"</f>
        <v>－</v>
      </c>
      <c r="V199" s="32" t="n">
        <f>1104596110</f>
        <v>1.10459611E9</v>
      </c>
      <c r="W199" s="32" t="str">
        <f>"－"</f>
        <v>－</v>
      </c>
      <c r="X199" s="36" t="n">
        <f>18</f>
        <v>18.0</v>
      </c>
    </row>
    <row r="200">
      <c r="A200" s="27" t="s">
        <v>42</v>
      </c>
      <c r="B200" s="27" t="s">
        <v>643</v>
      </c>
      <c r="C200" s="27" t="s">
        <v>644</v>
      </c>
      <c r="D200" s="27" t="s">
        <v>645</v>
      </c>
      <c r="E200" s="28" t="s">
        <v>46</v>
      </c>
      <c r="F200" s="29" t="s">
        <v>46</v>
      </c>
      <c r="G200" s="30" t="s">
        <v>46</v>
      </c>
      <c r="H200" s="31"/>
      <c r="I200" s="31" t="s">
        <v>413</v>
      </c>
      <c r="J200" s="32" t="n">
        <v>1.0</v>
      </c>
      <c r="K200" s="33" t="n">
        <f>3390</f>
        <v>3390.0</v>
      </c>
      <c r="L200" s="34" t="s">
        <v>48</v>
      </c>
      <c r="M200" s="33" t="n">
        <f>3444</f>
        <v>3444.0</v>
      </c>
      <c r="N200" s="34" t="s">
        <v>258</v>
      </c>
      <c r="O200" s="33" t="n">
        <f>3188</f>
        <v>3188.0</v>
      </c>
      <c r="P200" s="34" t="s">
        <v>60</v>
      </c>
      <c r="Q200" s="33" t="n">
        <f>3350</f>
        <v>3350.0</v>
      </c>
      <c r="R200" s="34" t="s">
        <v>49</v>
      </c>
      <c r="S200" s="35" t="n">
        <f>3318.06</f>
        <v>3318.06</v>
      </c>
      <c r="T200" s="32" t="n">
        <f>2000</f>
        <v>2000.0</v>
      </c>
      <c r="U200" s="32" t="str">
        <f>"－"</f>
        <v>－</v>
      </c>
      <c r="V200" s="32" t="n">
        <f>6600367</f>
        <v>6600367.0</v>
      </c>
      <c r="W200" s="32" t="str">
        <f>"－"</f>
        <v>－</v>
      </c>
      <c r="X200" s="36" t="n">
        <f>18</f>
        <v>18.0</v>
      </c>
    </row>
    <row r="201">
      <c r="A201" s="27" t="s">
        <v>42</v>
      </c>
      <c r="B201" s="27" t="s">
        <v>646</v>
      </c>
      <c r="C201" s="27" t="s">
        <v>647</v>
      </c>
      <c r="D201" s="27" t="s">
        <v>648</v>
      </c>
      <c r="E201" s="28" t="s">
        <v>46</v>
      </c>
      <c r="F201" s="29" t="s">
        <v>46</v>
      </c>
      <c r="G201" s="30" t="s">
        <v>46</v>
      </c>
      <c r="H201" s="31"/>
      <c r="I201" s="31" t="s">
        <v>413</v>
      </c>
      <c r="J201" s="32" t="n">
        <v>1.0</v>
      </c>
      <c r="K201" s="33" t="n">
        <f>45600</f>
        <v>45600.0</v>
      </c>
      <c r="L201" s="34" t="s">
        <v>48</v>
      </c>
      <c r="M201" s="33" t="n">
        <f>52500</f>
        <v>52500.0</v>
      </c>
      <c r="N201" s="34" t="s">
        <v>68</v>
      </c>
      <c r="O201" s="33" t="n">
        <f>45600</f>
        <v>45600.0</v>
      </c>
      <c r="P201" s="34" t="s">
        <v>48</v>
      </c>
      <c r="Q201" s="33" t="n">
        <f>51650</f>
        <v>51650.0</v>
      </c>
      <c r="R201" s="34" t="s">
        <v>49</v>
      </c>
      <c r="S201" s="35" t="n">
        <f>50030.56</f>
        <v>50030.56</v>
      </c>
      <c r="T201" s="32" t="n">
        <f>2460</f>
        <v>2460.0</v>
      </c>
      <c r="U201" s="32" t="str">
        <f>"－"</f>
        <v>－</v>
      </c>
      <c r="V201" s="32" t="n">
        <f>121487660</f>
        <v>1.2148766E8</v>
      </c>
      <c r="W201" s="32" t="str">
        <f>"－"</f>
        <v>－</v>
      </c>
      <c r="X201" s="36" t="n">
        <f>18</f>
        <v>18.0</v>
      </c>
    </row>
    <row r="202">
      <c r="A202" s="27" t="s">
        <v>42</v>
      </c>
      <c r="B202" s="27" t="s">
        <v>649</v>
      </c>
      <c r="C202" s="27" t="s">
        <v>650</v>
      </c>
      <c r="D202" s="27" t="s">
        <v>651</v>
      </c>
      <c r="E202" s="28" t="s">
        <v>46</v>
      </c>
      <c r="F202" s="29" t="s">
        <v>46</v>
      </c>
      <c r="G202" s="30" t="s">
        <v>46</v>
      </c>
      <c r="H202" s="31"/>
      <c r="I202" s="31" t="s">
        <v>413</v>
      </c>
      <c r="J202" s="32" t="n">
        <v>1.0</v>
      </c>
      <c r="K202" s="33" t="n">
        <f>28895</f>
        <v>28895.0</v>
      </c>
      <c r="L202" s="34" t="s">
        <v>48</v>
      </c>
      <c r="M202" s="33" t="n">
        <f>32060</f>
        <v>32060.0</v>
      </c>
      <c r="N202" s="34" t="s">
        <v>68</v>
      </c>
      <c r="O202" s="33" t="n">
        <f>28890</f>
        <v>28890.0</v>
      </c>
      <c r="P202" s="34" t="s">
        <v>69</v>
      </c>
      <c r="Q202" s="33" t="n">
        <f>32010</f>
        <v>32010.0</v>
      </c>
      <c r="R202" s="34" t="s">
        <v>68</v>
      </c>
      <c r="S202" s="35" t="n">
        <f>30544.17</f>
        <v>30544.17</v>
      </c>
      <c r="T202" s="32" t="n">
        <f>1195</f>
        <v>1195.0</v>
      </c>
      <c r="U202" s="32" t="str">
        <f>"－"</f>
        <v>－</v>
      </c>
      <c r="V202" s="32" t="n">
        <f>36785055</f>
        <v>3.6785055E7</v>
      </c>
      <c r="W202" s="32" t="str">
        <f>"－"</f>
        <v>－</v>
      </c>
      <c r="X202" s="36" t="n">
        <f>12</f>
        <v>12.0</v>
      </c>
    </row>
    <row r="203">
      <c r="A203" s="27" t="s">
        <v>42</v>
      </c>
      <c r="B203" s="27" t="s">
        <v>652</v>
      </c>
      <c r="C203" s="27" t="s">
        <v>653</v>
      </c>
      <c r="D203" s="27" t="s">
        <v>654</v>
      </c>
      <c r="E203" s="28" t="s">
        <v>46</v>
      </c>
      <c r="F203" s="29" t="s">
        <v>46</v>
      </c>
      <c r="G203" s="30" t="s">
        <v>46</v>
      </c>
      <c r="H203" s="31"/>
      <c r="I203" s="31" t="s">
        <v>413</v>
      </c>
      <c r="J203" s="32" t="n">
        <v>1.0</v>
      </c>
      <c r="K203" s="33" t="n">
        <f>52170</f>
        <v>52170.0</v>
      </c>
      <c r="L203" s="34" t="s">
        <v>48</v>
      </c>
      <c r="M203" s="33" t="n">
        <f>58260</f>
        <v>58260.0</v>
      </c>
      <c r="N203" s="34" t="s">
        <v>68</v>
      </c>
      <c r="O203" s="33" t="n">
        <f>52170</f>
        <v>52170.0</v>
      </c>
      <c r="P203" s="34" t="s">
        <v>48</v>
      </c>
      <c r="Q203" s="33" t="n">
        <f>57550</f>
        <v>57550.0</v>
      </c>
      <c r="R203" s="34" t="s">
        <v>68</v>
      </c>
      <c r="S203" s="35" t="n">
        <f>55248.82</f>
        <v>55248.82</v>
      </c>
      <c r="T203" s="32" t="n">
        <f>4119</f>
        <v>4119.0</v>
      </c>
      <c r="U203" s="32" t="n">
        <f>3780</f>
        <v>3780.0</v>
      </c>
      <c r="V203" s="32" t="n">
        <f>227363310</f>
        <v>2.2736331E8</v>
      </c>
      <c r="W203" s="32" t="n">
        <f>208542600</f>
        <v>2.085426E8</v>
      </c>
      <c r="X203" s="36" t="n">
        <f>17</f>
        <v>17.0</v>
      </c>
    </row>
    <row r="204">
      <c r="A204" s="27" t="s">
        <v>42</v>
      </c>
      <c r="B204" s="27" t="s">
        <v>655</v>
      </c>
      <c r="C204" s="27" t="s">
        <v>656</v>
      </c>
      <c r="D204" s="27" t="s">
        <v>657</v>
      </c>
      <c r="E204" s="28" t="s">
        <v>46</v>
      </c>
      <c r="F204" s="29" t="s">
        <v>46</v>
      </c>
      <c r="G204" s="30" t="s">
        <v>46</v>
      </c>
      <c r="H204" s="31"/>
      <c r="I204" s="31" t="s">
        <v>413</v>
      </c>
      <c r="J204" s="32" t="n">
        <v>1.0</v>
      </c>
      <c r="K204" s="33" t="n">
        <f>25200</f>
        <v>25200.0</v>
      </c>
      <c r="L204" s="34" t="s">
        <v>105</v>
      </c>
      <c r="M204" s="33" t="n">
        <f>25625</f>
        <v>25625.0</v>
      </c>
      <c r="N204" s="34" t="s">
        <v>585</v>
      </c>
      <c r="O204" s="33" t="n">
        <f>24930</f>
        <v>24930.0</v>
      </c>
      <c r="P204" s="34" t="s">
        <v>274</v>
      </c>
      <c r="Q204" s="33" t="n">
        <f>25625</f>
        <v>25625.0</v>
      </c>
      <c r="R204" s="34" t="s">
        <v>585</v>
      </c>
      <c r="S204" s="35" t="n">
        <f>25251.67</f>
        <v>25251.67</v>
      </c>
      <c r="T204" s="32" t="n">
        <f>1006</f>
        <v>1006.0</v>
      </c>
      <c r="U204" s="32" t="str">
        <f>"－"</f>
        <v>－</v>
      </c>
      <c r="V204" s="32" t="n">
        <f>25350275</f>
        <v>2.5350275E7</v>
      </c>
      <c r="W204" s="32" t="str">
        <f>"－"</f>
        <v>－</v>
      </c>
      <c r="X204" s="36" t="n">
        <f>3</f>
        <v>3.0</v>
      </c>
    </row>
    <row r="205">
      <c r="A205" s="27" t="s">
        <v>42</v>
      </c>
      <c r="B205" s="27" t="s">
        <v>658</v>
      </c>
      <c r="C205" s="27" t="s">
        <v>659</v>
      </c>
      <c r="D205" s="27" t="s">
        <v>660</v>
      </c>
      <c r="E205" s="28" t="s">
        <v>46</v>
      </c>
      <c r="F205" s="29" t="s">
        <v>46</v>
      </c>
      <c r="G205" s="30" t="s">
        <v>46</v>
      </c>
      <c r="H205" s="31"/>
      <c r="I205" s="31" t="s">
        <v>413</v>
      </c>
      <c r="J205" s="32" t="n">
        <v>1.0</v>
      </c>
      <c r="K205" s="33" t="n">
        <f>26195</f>
        <v>26195.0</v>
      </c>
      <c r="L205" s="34" t="s">
        <v>48</v>
      </c>
      <c r="M205" s="33" t="n">
        <f>28500</f>
        <v>28500.0</v>
      </c>
      <c r="N205" s="34" t="s">
        <v>49</v>
      </c>
      <c r="O205" s="33" t="n">
        <f>26195</f>
        <v>26195.0</v>
      </c>
      <c r="P205" s="34" t="s">
        <v>48</v>
      </c>
      <c r="Q205" s="33" t="n">
        <f>28480</f>
        <v>28480.0</v>
      </c>
      <c r="R205" s="34" t="s">
        <v>49</v>
      </c>
      <c r="S205" s="35" t="n">
        <f>27648.57</f>
        <v>27648.57</v>
      </c>
      <c r="T205" s="32" t="n">
        <f>587</f>
        <v>587.0</v>
      </c>
      <c r="U205" s="32" t="str">
        <f>"－"</f>
        <v>－</v>
      </c>
      <c r="V205" s="32" t="n">
        <f>16237465</f>
        <v>1.6237465E7</v>
      </c>
      <c r="W205" s="32" t="str">
        <f>"－"</f>
        <v>－</v>
      </c>
      <c r="X205" s="36" t="n">
        <f>14</f>
        <v>14.0</v>
      </c>
    </row>
    <row r="206">
      <c r="A206" s="27" t="s">
        <v>42</v>
      </c>
      <c r="B206" s="27" t="s">
        <v>661</v>
      </c>
      <c r="C206" s="27" t="s">
        <v>662</v>
      </c>
      <c r="D206" s="27" t="s">
        <v>663</v>
      </c>
      <c r="E206" s="28" t="s">
        <v>46</v>
      </c>
      <c r="F206" s="29" t="s">
        <v>46</v>
      </c>
      <c r="G206" s="30" t="s">
        <v>46</v>
      </c>
      <c r="H206" s="31"/>
      <c r="I206" s="31" t="s">
        <v>413</v>
      </c>
      <c r="J206" s="32" t="n">
        <v>1.0</v>
      </c>
      <c r="K206" s="33" t="n">
        <f>38030</f>
        <v>38030.0</v>
      </c>
      <c r="L206" s="34" t="s">
        <v>94</v>
      </c>
      <c r="M206" s="33" t="n">
        <f>40750</f>
        <v>40750.0</v>
      </c>
      <c r="N206" s="34" t="s">
        <v>160</v>
      </c>
      <c r="O206" s="33" t="n">
        <f>38030</f>
        <v>38030.0</v>
      </c>
      <c r="P206" s="34" t="s">
        <v>94</v>
      </c>
      <c r="Q206" s="33" t="n">
        <f>40110</f>
        <v>40110.0</v>
      </c>
      <c r="R206" s="34" t="s">
        <v>274</v>
      </c>
      <c r="S206" s="35" t="n">
        <f>39190</f>
        <v>39190.0</v>
      </c>
      <c r="T206" s="32" t="n">
        <f>2005</f>
        <v>2005.0</v>
      </c>
      <c r="U206" s="32" t="str">
        <f>"－"</f>
        <v>－</v>
      </c>
      <c r="V206" s="32" t="n">
        <f>81055270</f>
        <v>8.105527E7</v>
      </c>
      <c r="W206" s="32" t="str">
        <f>"－"</f>
        <v>－</v>
      </c>
      <c r="X206" s="36" t="n">
        <f>4</f>
        <v>4.0</v>
      </c>
    </row>
    <row r="207">
      <c r="A207" s="27" t="s">
        <v>42</v>
      </c>
      <c r="B207" s="27" t="s">
        <v>664</v>
      </c>
      <c r="C207" s="27" t="s">
        <v>665</v>
      </c>
      <c r="D207" s="27" t="s">
        <v>666</v>
      </c>
      <c r="E207" s="28" t="s">
        <v>46</v>
      </c>
      <c r="F207" s="29" t="s">
        <v>46</v>
      </c>
      <c r="G207" s="30" t="s">
        <v>46</v>
      </c>
      <c r="H207" s="31"/>
      <c r="I207" s="31" t="s">
        <v>413</v>
      </c>
      <c r="J207" s="32" t="n">
        <v>1.0</v>
      </c>
      <c r="K207" s="33" t="str">
        <f>"－"</f>
        <v>－</v>
      </c>
      <c r="L207" s="34"/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5" t="str">
        <f>"－"</f>
        <v>－</v>
      </c>
      <c r="T207" s="32" t="str">
        <f>"－"</f>
        <v>－</v>
      </c>
      <c r="U207" s="32" t="str">
        <f>"－"</f>
        <v>－</v>
      </c>
      <c r="V207" s="32" t="str">
        <f>"－"</f>
        <v>－</v>
      </c>
      <c r="W207" s="32" t="str">
        <f>"－"</f>
        <v>－</v>
      </c>
      <c r="X207" s="36" t="str">
        <f>"－"</f>
        <v>－</v>
      </c>
    </row>
    <row r="208">
      <c r="A208" s="27" t="s">
        <v>42</v>
      </c>
      <c r="B208" s="27" t="s">
        <v>667</v>
      </c>
      <c r="C208" s="27" t="s">
        <v>668</v>
      </c>
      <c r="D208" s="27" t="s">
        <v>669</v>
      </c>
      <c r="E208" s="28" t="s">
        <v>46</v>
      </c>
      <c r="F208" s="29" t="s">
        <v>46</v>
      </c>
      <c r="G208" s="30" t="s">
        <v>46</v>
      </c>
      <c r="H208" s="31"/>
      <c r="I208" s="31" t="s">
        <v>413</v>
      </c>
      <c r="J208" s="32" t="n">
        <v>1.0</v>
      </c>
      <c r="K208" s="33" t="n">
        <f>14160</f>
        <v>14160.0</v>
      </c>
      <c r="L208" s="34" t="s">
        <v>69</v>
      </c>
      <c r="M208" s="33" t="n">
        <f>15190</f>
        <v>15190.0</v>
      </c>
      <c r="N208" s="34" t="s">
        <v>49</v>
      </c>
      <c r="O208" s="33" t="n">
        <f>14160</f>
        <v>14160.0</v>
      </c>
      <c r="P208" s="34" t="s">
        <v>69</v>
      </c>
      <c r="Q208" s="33" t="n">
        <f>15165</f>
        <v>15165.0</v>
      </c>
      <c r="R208" s="34" t="s">
        <v>49</v>
      </c>
      <c r="S208" s="35" t="n">
        <f>14715.83</f>
        <v>14715.83</v>
      </c>
      <c r="T208" s="32" t="n">
        <f>367</f>
        <v>367.0</v>
      </c>
      <c r="U208" s="32" t="str">
        <f>"－"</f>
        <v>－</v>
      </c>
      <c r="V208" s="32" t="n">
        <f>5347100</f>
        <v>5347100.0</v>
      </c>
      <c r="W208" s="32" t="str">
        <f>"－"</f>
        <v>－</v>
      </c>
      <c r="X208" s="36" t="n">
        <f>6</f>
        <v>6.0</v>
      </c>
    </row>
    <row r="209">
      <c r="A209" s="27" t="s">
        <v>42</v>
      </c>
      <c r="B209" s="27" t="s">
        <v>670</v>
      </c>
      <c r="C209" s="27" t="s">
        <v>671</v>
      </c>
      <c r="D209" s="27" t="s">
        <v>672</v>
      </c>
      <c r="E209" s="28" t="s">
        <v>46</v>
      </c>
      <c r="F209" s="29" t="s">
        <v>46</v>
      </c>
      <c r="G209" s="30" t="s">
        <v>46</v>
      </c>
      <c r="H209" s="31"/>
      <c r="I209" s="31" t="s">
        <v>413</v>
      </c>
      <c r="J209" s="32" t="n">
        <v>1.0</v>
      </c>
      <c r="K209" s="33" t="n">
        <f>17800</f>
        <v>17800.0</v>
      </c>
      <c r="L209" s="34" t="s">
        <v>48</v>
      </c>
      <c r="M209" s="33" t="n">
        <f>18450</f>
        <v>18450.0</v>
      </c>
      <c r="N209" s="34" t="s">
        <v>79</v>
      </c>
      <c r="O209" s="33" t="n">
        <f>17800</f>
        <v>17800.0</v>
      </c>
      <c r="P209" s="34" t="s">
        <v>48</v>
      </c>
      <c r="Q209" s="33" t="n">
        <f>18300</f>
        <v>18300.0</v>
      </c>
      <c r="R209" s="34" t="s">
        <v>83</v>
      </c>
      <c r="S209" s="35" t="n">
        <f>18122.86</f>
        <v>18122.86</v>
      </c>
      <c r="T209" s="32" t="n">
        <f>3906</f>
        <v>3906.0</v>
      </c>
      <c r="U209" s="32" t="str">
        <f>"－"</f>
        <v>－</v>
      </c>
      <c r="V209" s="32" t="n">
        <f>71593235</f>
        <v>7.1593235E7</v>
      </c>
      <c r="W209" s="32" t="str">
        <f>"－"</f>
        <v>－</v>
      </c>
      <c r="X209" s="36" t="n">
        <f>7</f>
        <v>7.0</v>
      </c>
    </row>
    <row r="210">
      <c r="A210" s="27" t="s">
        <v>42</v>
      </c>
      <c r="B210" s="27" t="s">
        <v>673</v>
      </c>
      <c r="C210" s="27" t="s">
        <v>674</v>
      </c>
      <c r="D210" s="27" t="s">
        <v>675</v>
      </c>
      <c r="E210" s="28" t="s">
        <v>46</v>
      </c>
      <c r="F210" s="29" t="s">
        <v>46</v>
      </c>
      <c r="G210" s="30" t="s">
        <v>46</v>
      </c>
      <c r="H210" s="31"/>
      <c r="I210" s="31" t="s">
        <v>413</v>
      </c>
      <c r="J210" s="32" t="n">
        <v>1.0</v>
      </c>
      <c r="K210" s="33" t="n">
        <f>18170</f>
        <v>18170.0</v>
      </c>
      <c r="L210" s="34" t="s">
        <v>48</v>
      </c>
      <c r="M210" s="33" t="n">
        <f>20100</f>
        <v>20100.0</v>
      </c>
      <c r="N210" s="34" t="s">
        <v>49</v>
      </c>
      <c r="O210" s="33" t="n">
        <f>18125</f>
        <v>18125.0</v>
      </c>
      <c r="P210" s="34" t="s">
        <v>60</v>
      </c>
      <c r="Q210" s="33" t="n">
        <f>20100</f>
        <v>20100.0</v>
      </c>
      <c r="R210" s="34" t="s">
        <v>49</v>
      </c>
      <c r="S210" s="35" t="n">
        <f>19259.55</f>
        <v>19259.55</v>
      </c>
      <c r="T210" s="32" t="n">
        <f>1171</f>
        <v>1171.0</v>
      </c>
      <c r="U210" s="32" t="str">
        <f>"－"</f>
        <v>－</v>
      </c>
      <c r="V210" s="32" t="n">
        <f>22577250</f>
        <v>2.257725E7</v>
      </c>
      <c r="W210" s="32" t="str">
        <f>"－"</f>
        <v>－</v>
      </c>
      <c r="X210" s="36" t="n">
        <f>11</f>
        <v>11.0</v>
      </c>
    </row>
    <row r="211">
      <c r="A211" s="27" t="s">
        <v>42</v>
      </c>
      <c r="B211" s="27" t="s">
        <v>676</v>
      </c>
      <c r="C211" s="27" t="s">
        <v>677</v>
      </c>
      <c r="D211" s="27" t="s">
        <v>678</v>
      </c>
      <c r="E211" s="28" t="s">
        <v>46</v>
      </c>
      <c r="F211" s="29" t="s">
        <v>46</v>
      </c>
      <c r="G211" s="30" t="s">
        <v>46</v>
      </c>
      <c r="H211" s="31"/>
      <c r="I211" s="31" t="s">
        <v>413</v>
      </c>
      <c r="J211" s="32" t="n">
        <v>1.0</v>
      </c>
      <c r="K211" s="33" t="n">
        <f>13910</f>
        <v>13910.0</v>
      </c>
      <c r="L211" s="34" t="s">
        <v>94</v>
      </c>
      <c r="M211" s="33" t="n">
        <f>14265</f>
        <v>14265.0</v>
      </c>
      <c r="N211" s="34" t="s">
        <v>59</v>
      </c>
      <c r="O211" s="33" t="n">
        <f>13825</f>
        <v>13825.0</v>
      </c>
      <c r="P211" s="34" t="s">
        <v>94</v>
      </c>
      <c r="Q211" s="33" t="n">
        <f>14245</f>
        <v>14245.0</v>
      </c>
      <c r="R211" s="34" t="s">
        <v>160</v>
      </c>
      <c r="S211" s="35" t="n">
        <f>14111.67</f>
        <v>14111.67</v>
      </c>
      <c r="T211" s="32" t="n">
        <f>6</f>
        <v>6.0</v>
      </c>
      <c r="U211" s="32" t="str">
        <f>"－"</f>
        <v>－</v>
      </c>
      <c r="V211" s="32" t="n">
        <f>83980</f>
        <v>83980.0</v>
      </c>
      <c r="W211" s="32" t="str">
        <f>"－"</f>
        <v>－</v>
      </c>
      <c r="X211" s="36" t="n">
        <f>3</f>
        <v>3.0</v>
      </c>
    </row>
    <row r="212">
      <c r="A212" s="27" t="s">
        <v>42</v>
      </c>
      <c r="B212" s="27" t="s">
        <v>679</v>
      </c>
      <c r="C212" s="27" t="s">
        <v>680</v>
      </c>
      <c r="D212" s="27" t="s">
        <v>681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1.0</v>
      </c>
      <c r="K212" s="33" t="n">
        <f>1736</f>
        <v>1736.0</v>
      </c>
      <c r="L212" s="34" t="s">
        <v>48</v>
      </c>
      <c r="M212" s="33" t="n">
        <f>1914</f>
        <v>1914.0</v>
      </c>
      <c r="N212" s="34" t="s">
        <v>64</v>
      </c>
      <c r="O212" s="33" t="n">
        <f>1694</f>
        <v>1694.0</v>
      </c>
      <c r="P212" s="34" t="s">
        <v>48</v>
      </c>
      <c r="Q212" s="33" t="n">
        <f>1910</f>
        <v>1910.0</v>
      </c>
      <c r="R212" s="34" t="s">
        <v>49</v>
      </c>
      <c r="S212" s="35" t="n">
        <f>1843.56</f>
        <v>1843.56</v>
      </c>
      <c r="T212" s="32" t="n">
        <f>1593886</f>
        <v>1593886.0</v>
      </c>
      <c r="U212" s="32" t="n">
        <f>135056</f>
        <v>135056.0</v>
      </c>
      <c r="V212" s="32" t="n">
        <f>2954557287</f>
        <v>2.954557287E9</v>
      </c>
      <c r="W212" s="32" t="n">
        <f>249854864</f>
        <v>2.49854864E8</v>
      </c>
      <c r="X212" s="36" t="n">
        <f>18</f>
        <v>18.0</v>
      </c>
    </row>
    <row r="213">
      <c r="A213" s="27" t="s">
        <v>42</v>
      </c>
      <c r="B213" s="27" t="s">
        <v>682</v>
      </c>
      <c r="C213" s="27" t="s">
        <v>683</v>
      </c>
      <c r="D213" s="27" t="s">
        <v>684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1.0</v>
      </c>
      <c r="K213" s="33" t="n">
        <f>1830</f>
        <v>1830.0</v>
      </c>
      <c r="L213" s="34" t="s">
        <v>48</v>
      </c>
      <c r="M213" s="33" t="n">
        <f>2096</f>
        <v>2096.0</v>
      </c>
      <c r="N213" s="34" t="s">
        <v>49</v>
      </c>
      <c r="O213" s="33" t="n">
        <f>1809</f>
        <v>1809.0</v>
      </c>
      <c r="P213" s="34" t="s">
        <v>48</v>
      </c>
      <c r="Q213" s="33" t="n">
        <f>2096</f>
        <v>2096.0</v>
      </c>
      <c r="R213" s="34" t="s">
        <v>49</v>
      </c>
      <c r="S213" s="35" t="n">
        <f>1968.78</f>
        <v>1968.78</v>
      </c>
      <c r="T213" s="32" t="n">
        <f>46035</f>
        <v>46035.0</v>
      </c>
      <c r="U213" s="32" t="str">
        <f>"－"</f>
        <v>－</v>
      </c>
      <c r="V213" s="32" t="n">
        <f>90628974</f>
        <v>9.0628974E7</v>
      </c>
      <c r="W213" s="32" t="str">
        <f>"－"</f>
        <v>－</v>
      </c>
      <c r="X213" s="36" t="n">
        <f>18</f>
        <v>18.0</v>
      </c>
    </row>
    <row r="214">
      <c r="A214" s="27" t="s">
        <v>42</v>
      </c>
      <c r="B214" s="27" t="s">
        <v>685</v>
      </c>
      <c r="C214" s="27" t="s">
        <v>686</v>
      </c>
      <c r="D214" s="27" t="s">
        <v>687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1.0</v>
      </c>
      <c r="K214" s="33" t="n">
        <f>1179</f>
        <v>1179.0</v>
      </c>
      <c r="L214" s="34" t="s">
        <v>48</v>
      </c>
      <c r="M214" s="33" t="n">
        <f>1255</f>
        <v>1255.0</v>
      </c>
      <c r="N214" s="34" t="s">
        <v>49</v>
      </c>
      <c r="O214" s="33" t="n">
        <f>1166</f>
        <v>1166.0</v>
      </c>
      <c r="P214" s="34" t="s">
        <v>69</v>
      </c>
      <c r="Q214" s="33" t="n">
        <f>1255</f>
        <v>1255.0</v>
      </c>
      <c r="R214" s="34" t="s">
        <v>49</v>
      </c>
      <c r="S214" s="35" t="n">
        <f>1211.83</f>
        <v>1211.83</v>
      </c>
      <c r="T214" s="32" t="n">
        <f>6086</f>
        <v>6086.0</v>
      </c>
      <c r="U214" s="32" t="str">
        <f>"－"</f>
        <v>－</v>
      </c>
      <c r="V214" s="32" t="n">
        <f>7309288</f>
        <v>7309288.0</v>
      </c>
      <c r="W214" s="32" t="str">
        <f>"－"</f>
        <v>－</v>
      </c>
      <c r="X214" s="36" t="n">
        <f>18</f>
        <v>18.0</v>
      </c>
    </row>
    <row r="215">
      <c r="A215" s="27" t="s">
        <v>42</v>
      </c>
      <c r="B215" s="27" t="s">
        <v>688</v>
      </c>
      <c r="C215" s="27" t="s">
        <v>689</v>
      </c>
      <c r="D215" s="27" t="s">
        <v>690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1.0</v>
      </c>
      <c r="K215" s="33" t="n">
        <f>2961</f>
        <v>2961.0</v>
      </c>
      <c r="L215" s="34" t="s">
        <v>48</v>
      </c>
      <c r="M215" s="33" t="n">
        <f>3317</f>
        <v>3317.0</v>
      </c>
      <c r="N215" s="34" t="s">
        <v>49</v>
      </c>
      <c r="O215" s="33" t="n">
        <f>2920</f>
        <v>2920.0</v>
      </c>
      <c r="P215" s="34" t="s">
        <v>94</v>
      </c>
      <c r="Q215" s="33" t="n">
        <f>3317</f>
        <v>3317.0</v>
      </c>
      <c r="R215" s="34" t="s">
        <v>49</v>
      </c>
      <c r="S215" s="35" t="n">
        <f>3135.67</f>
        <v>3135.67</v>
      </c>
      <c r="T215" s="32" t="n">
        <f>111053</f>
        <v>111053.0</v>
      </c>
      <c r="U215" s="32" t="str">
        <f>"－"</f>
        <v>－</v>
      </c>
      <c r="V215" s="32" t="n">
        <f>346235527</f>
        <v>3.46235527E8</v>
      </c>
      <c r="W215" s="32" t="str">
        <f>"－"</f>
        <v>－</v>
      </c>
      <c r="X215" s="36" t="n">
        <f>18</f>
        <v>18.0</v>
      </c>
    </row>
    <row r="216">
      <c r="A216" s="27" t="s">
        <v>42</v>
      </c>
      <c r="B216" s="27" t="s">
        <v>691</v>
      </c>
      <c r="C216" s="27" t="s">
        <v>692</v>
      </c>
      <c r="D216" s="27" t="s">
        <v>693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1.0</v>
      </c>
      <c r="K216" s="33" t="n">
        <f>3270</f>
        <v>3270.0</v>
      </c>
      <c r="L216" s="34" t="s">
        <v>48</v>
      </c>
      <c r="M216" s="33" t="n">
        <f>3684</f>
        <v>3684.0</v>
      </c>
      <c r="N216" s="34" t="s">
        <v>49</v>
      </c>
      <c r="O216" s="33" t="n">
        <f>3194</f>
        <v>3194.0</v>
      </c>
      <c r="P216" s="34" t="s">
        <v>48</v>
      </c>
      <c r="Q216" s="33" t="n">
        <f>3679</f>
        <v>3679.0</v>
      </c>
      <c r="R216" s="34" t="s">
        <v>49</v>
      </c>
      <c r="S216" s="35" t="n">
        <f>3502.39</f>
        <v>3502.39</v>
      </c>
      <c r="T216" s="32" t="n">
        <f>260089</f>
        <v>260089.0</v>
      </c>
      <c r="U216" s="32" t="n">
        <f>6000</f>
        <v>6000.0</v>
      </c>
      <c r="V216" s="32" t="n">
        <f>899601211</f>
        <v>8.99601211E8</v>
      </c>
      <c r="W216" s="32" t="n">
        <f>19946400</f>
        <v>1.99464E7</v>
      </c>
      <c r="X216" s="36" t="n">
        <f>18</f>
        <v>18.0</v>
      </c>
    </row>
    <row r="217">
      <c r="A217" s="27" t="s">
        <v>42</v>
      </c>
      <c r="B217" s="27" t="s">
        <v>694</v>
      </c>
      <c r="C217" s="27" t="s">
        <v>695</v>
      </c>
      <c r="D217" s="27" t="s">
        <v>696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727</f>
        <v>727.0</v>
      </c>
      <c r="L217" s="34" t="s">
        <v>48</v>
      </c>
      <c r="M217" s="33" t="n">
        <f>780</f>
        <v>780.0</v>
      </c>
      <c r="N217" s="34" t="s">
        <v>49</v>
      </c>
      <c r="O217" s="33" t="n">
        <f>710.7</f>
        <v>710.7</v>
      </c>
      <c r="P217" s="34" t="s">
        <v>48</v>
      </c>
      <c r="Q217" s="33" t="n">
        <f>778.5</f>
        <v>778.5</v>
      </c>
      <c r="R217" s="34" t="s">
        <v>49</v>
      </c>
      <c r="S217" s="35" t="n">
        <f>755.8</f>
        <v>755.8</v>
      </c>
      <c r="T217" s="32" t="n">
        <f>740560</f>
        <v>740560.0</v>
      </c>
      <c r="U217" s="32" t="n">
        <f>71220</f>
        <v>71220.0</v>
      </c>
      <c r="V217" s="32" t="n">
        <f>556061899</f>
        <v>5.56061899E8</v>
      </c>
      <c r="W217" s="32" t="n">
        <f>53657056</f>
        <v>5.3657056E7</v>
      </c>
      <c r="X217" s="36" t="n">
        <f>18</f>
        <v>18.0</v>
      </c>
    </row>
    <row r="218">
      <c r="A218" s="27" t="s">
        <v>42</v>
      </c>
      <c r="B218" s="27" t="s">
        <v>697</v>
      </c>
      <c r="C218" s="27" t="s">
        <v>698</v>
      </c>
      <c r="D218" s="27" t="s">
        <v>699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1.0</v>
      </c>
      <c r="K218" s="33" t="n">
        <f>2841</f>
        <v>2841.0</v>
      </c>
      <c r="L218" s="34" t="s">
        <v>48</v>
      </c>
      <c r="M218" s="33" t="n">
        <f>2847</f>
        <v>2847.0</v>
      </c>
      <c r="N218" s="34" t="s">
        <v>60</v>
      </c>
      <c r="O218" s="33" t="n">
        <f>2747</f>
        <v>2747.0</v>
      </c>
      <c r="P218" s="34" t="s">
        <v>94</v>
      </c>
      <c r="Q218" s="33" t="n">
        <f>2800</f>
        <v>2800.0</v>
      </c>
      <c r="R218" s="34" t="s">
        <v>49</v>
      </c>
      <c r="S218" s="35" t="n">
        <f>2798.11</f>
        <v>2798.11</v>
      </c>
      <c r="T218" s="32" t="n">
        <f>478276</f>
        <v>478276.0</v>
      </c>
      <c r="U218" s="32" t="n">
        <f>390060</f>
        <v>390060.0</v>
      </c>
      <c r="V218" s="32" t="n">
        <f>1346076206</f>
        <v>1.346076206E9</v>
      </c>
      <c r="W218" s="32" t="n">
        <f>1099072062</f>
        <v>1.099072062E9</v>
      </c>
      <c r="X218" s="36" t="n">
        <f>18</f>
        <v>18.0</v>
      </c>
    </row>
    <row r="219">
      <c r="A219" s="27" t="s">
        <v>42</v>
      </c>
      <c r="B219" s="27" t="s">
        <v>700</v>
      </c>
      <c r="C219" s="27" t="s">
        <v>701</v>
      </c>
      <c r="D219" s="27" t="s">
        <v>702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1.0</v>
      </c>
      <c r="K219" s="33" t="n">
        <f>3028</f>
        <v>3028.0</v>
      </c>
      <c r="L219" s="34" t="s">
        <v>48</v>
      </c>
      <c r="M219" s="33" t="n">
        <f>3090</f>
        <v>3090.0</v>
      </c>
      <c r="N219" s="34" t="s">
        <v>60</v>
      </c>
      <c r="O219" s="33" t="n">
        <f>2897</f>
        <v>2897.0</v>
      </c>
      <c r="P219" s="34" t="s">
        <v>94</v>
      </c>
      <c r="Q219" s="33" t="n">
        <f>2969</f>
        <v>2969.0</v>
      </c>
      <c r="R219" s="34" t="s">
        <v>49</v>
      </c>
      <c r="S219" s="35" t="n">
        <f>2978.57</f>
        <v>2978.57</v>
      </c>
      <c r="T219" s="32" t="n">
        <f>1321</f>
        <v>1321.0</v>
      </c>
      <c r="U219" s="32" t="str">
        <f>"－"</f>
        <v>－</v>
      </c>
      <c r="V219" s="32" t="n">
        <f>3963532</f>
        <v>3963532.0</v>
      </c>
      <c r="W219" s="32" t="str">
        <f>"－"</f>
        <v>－</v>
      </c>
      <c r="X219" s="36" t="n">
        <f>14</f>
        <v>14.0</v>
      </c>
    </row>
    <row r="220">
      <c r="A220" s="27" t="s">
        <v>42</v>
      </c>
      <c r="B220" s="27" t="s">
        <v>703</v>
      </c>
      <c r="C220" s="27" t="s">
        <v>704</v>
      </c>
      <c r="D220" s="27" t="s">
        <v>705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1.0</v>
      </c>
      <c r="K220" s="33" t="n">
        <f>2493</f>
        <v>2493.0</v>
      </c>
      <c r="L220" s="34" t="s">
        <v>48</v>
      </c>
      <c r="M220" s="33" t="n">
        <f>2565</f>
        <v>2565.0</v>
      </c>
      <c r="N220" s="34" t="s">
        <v>59</v>
      </c>
      <c r="O220" s="33" t="n">
        <f>2478</f>
        <v>2478.0</v>
      </c>
      <c r="P220" s="34" t="s">
        <v>48</v>
      </c>
      <c r="Q220" s="33" t="n">
        <f>2508</f>
        <v>2508.0</v>
      </c>
      <c r="R220" s="34" t="s">
        <v>49</v>
      </c>
      <c r="S220" s="35" t="n">
        <f>2522</f>
        <v>2522.0</v>
      </c>
      <c r="T220" s="32" t="n">
        <f>525148</f>
        <v>525148.0</v>
      </c>
      <c r="U220" s="32" t="n">
        <f>416140</f>
        <v>416140.0</v>
      </c>
      <c r="V220" s="32" t="n">
        <f>1324471133</f>
        <v>1.324471133E9</v>
      </c>
      <c r="W220" s="32" t="n">
        <f>1049088940</f>
        <v>1.04908894E9</v>
      </c>
      <c r="X220" s="36" t="n">
        <f>18</f>
        <v>18.0</v>
      </c>
    </row>
    <row r="221">
      <c r="A221" s="27" t="s">
        <v>42</v>
      </c>
      <c r="B221" s="27" t="s">
        <v>706</v>
      </c>
      <c r="C221" s="27" t="s">
        <v>707</v>
      </c>
      <c r="D221" s="27" t="s">
        <v>708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1.0</v>
      </c>
      <c r="K221" s="33" t="n">
        <f>2716.5</f>
        <v>2716.5</v>
      </c>
      <c r="L221" s="34" t="s">
        <v>48</v>
      </c>
      <c r="M221" s="33" t="n">
        <f>2871</f>
        <v>2871.0</v>
      </c>
      <c r="N221" s="34" t="s">
        <v>258</v>
      </c>
      <c r="O221" s="33" t="n">
        <f>2716.5</f>
        <v>2716.5</v>
      </c>
      <c r="P221" s="34" t="s">
        <v>48</v>
      </c>
      <c r="Q221" s="33" t="n">
        <f>2825</f>
        <v>2825.0</v>
      </c>
      <c r="R221" s="34" t="s">
        <v>49</v>
      </c>
      <c r="S221" s="35" t="n">
        <f>2790.25</f>
        <v>2790.25</v>
      </c>
      <c r="T221" s="32" t="n">
        <f>251071</f>
        <v>251071.0</v>
      </c>
      <c r="U221" s="32" t="n">
        <f>120000</f>
        <v>120000.0</v>
      </c>
      <c r="V221" s="32" t="n">
        <f>698714521</f>
        <v>6.98714521E8</v>
      </c>
      <c r="W221" s="32" t="n">
        <f>337932000</f>
        <v>3.37932E8</v>
      </c>
      <c r="X221" s="36" t="n">
        <f>16</f>
        <v>16.0</v>
      </c>
    </row>
    <row r="222">
      <c r="A222" s="27" t="s">
        <v>42</v>
      </c>
      <c r="B222" s="27" t="s">
        <v>709</v>
      </c>
      <c r="C222" s="27" t="s">
        <v>710</v>
      </c>
      <c r="D222" s="27" t="s">
        <v>711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1.0</v>
      </c>
      <c r="K222" s="33" t="n">
        <f>4500</f>
        <v>4500.0</v>
      </c>
      <c r="L222" s="34" t="s">
        <v>48</v>
      </c>
      <c r="M222" s="33" t="n">
        <f>4588</f>
        <v>4588.0</v>
      </c>
      <c r="N222" s="34" t="s">
        <v>49</v>
      </c>
      <c r="O222" s="33" t="n">
        <f>4491</f>
        <v>4491.0</v>
      </c>
      <c r="P222" s="34" t="s">
        <v>101</v>
      </c>
      <c r="Q222" s="33" t="n">
        <f>4588</f>
        <v>4588.0</v>
      </c>
      <c r="R222" s="34" t="s">
        <v>49</v>
      </c>
      <c r="S222" s="35" t="n">
        <f>4540.76</f>
        <v>4540.76</v>
      </c>
      <c r="T222" s="32" t="n">
        <f>525221</f>
        <v>525221.0</v>
      </c>
      <c r="U222" s="32" t="n">
        <f>440000</f>
        <v>440000.0</v>
      </c>
      <c r="V222" s="32" t="n">
        <f>2395137544</f>
        <v>2.395137544E9</v>
      </c>
      <c r="W222" s="32" t="n">
        <f>2010725200</f>
        <v>2.0107252E9</v>
      </c>
      <c r="X222" s="36" t="n">
        <f>17</f>
        <v>17.0</v>
      </c>
    </row>
    <row r="223">
      <c r="A223" s="27" t="s">
        <v>42</v>
      </c>
      <c r="B223" s="27" t="s">
        <v>712</v>
      </c>
      <c r="C223" s="27" t="s">
        <v>713</v>
      </c>
      <c r="D223" s="27" t="s">
        <v>714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1.0</v>
      </c>
      <c r="K223" s="33" t="n">
        <f>4652</f>
        <v>4652.0</v>
      </c>
      <c r="L223" s="34" t="s">
        <v>48</v>
      </c>
      <c r="M223" s="33" t="n">
        <f>4720</f>
        <v>4720.0</v>
      </c>
      <c r="N223" s="34" t="s">
        <v>49</v>
      </c>
      <c r="O223" s="33" t="n">
        <f>4621</f>
        <v>4621.0</v>
      </c>
      <c r="P223" s="34" t="s">
        <v>160</v>
      </c>
      <c r="Q223" s="33" t="n">
        <f>4718</f>
        <v>4718.0</v>
      </c>
      <c r="R223" s="34" t="s">
        <v>49</v>
      </c>
      <c r="S223" s="35" t="n">
        <f>4686.83</f>
        <v>4686.83</v>
      </c>
      <c r="T223" s="32" t="n">
        <f>100485</f>
        <v>100485.0</v>
      </c>
      <c r="U223" s="32" t="str">
        <f>"－"</f>
        <v>－</v>
      </c>
      <c r="V223" s="32" t="n">
        <f>468930843</f>
        <v>4.68930843E8</v>
      </c>
      <c r="W223" s="32" t="str">
        <f>"－"</f>
        <v>－</v>
      </c>
      <c r="X223" s="36" t="n">
        <f>12</f>
        <v>12.0</v>
      </c>
    </row>
    <row r="224">
      <c r="A224" s="27" t="s">
        <v>42</v>
      </c>
      <c r="B224" s="27" t="s">
        <v>715</v>
      </c>
      <c r="C224" s="27" t="s">
        <v>716</v>
      </c>
      <c r="D224" s="27" t="s">
        <v>717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1.0</v>
      </c>
      <c r="K224" s="33" t="n">
        <f>4763</f>
        <v>4763.0</v>
      </c>
      <c r="L224" s="34" t="s">
        <v>48</v>
      </c>
      <c r="M224" s="33" t="n">
        <f>5327</f>
        <v>5327.0</v>
      </c>
      <c r="N224" s="34" t="s">
        <v>68</v>
      </c>
      <c r="O224" s="33" t="n">
        <f>4702</f>
        <v>4702.0</v>
      </c>
      <c r="P224" s="34" t="s">
        <v>160</v>
      </c>
      <c r="Q224" s="33" t="n">
        <f>4826</f>
        <v>4826.0</v>
      </c>
      <c r="R224" s="34" t="s">
        <v>49</v>
      </c>
      <c r="S224" s="35" t="n">
        <f>4801</f>
        <v>4801.0</v>
      </c>
      <c r="T224" s="32" t="n">
        <f>289</f>
        <v>289.0</v>
      </c>
      <c r="U224" s="32" t="str">
        <f>"－"</f>
        <v>－</v>
      </c>
      <c r="V224" s="32" t="n">
        <f>1391166</f>
        <v>1391166.0</v>
      </c>
      <c r="W224" s="32" t="str">
        <f>"－"</f>
        <v>－</v>
      </c>
      <c r="X224" s="36" t="n">
        <f>11</f>
        <v>11.0</v>
      </c>
    </row>
    <row r="225">
      <c r="A225" s="27" t="s">
        <v>42</v>
      </c>
      <c r="B225" s="27" t="s">
        <v>718</v>
      </c>
      <c r="C225" s="27" t="s">
        <v>719</v>
      </c>
      <c r="D225" s="27" t="s">
        <v>720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1.0</v>
      </c>
      <c r="K225" s="33" t="n">
        <f>5177</f>
        <v>5177.0</v>
      </c>
      <c r="L225" s="34" t="s">
        <v>48</v>
      </c>
      <c r="M225" s="33" t="n">
        <f>5241</f>
        <v>5241.0</v>
      </c>
      <c r="N225" s="34" t="s">
        <v>94</v>
      </c>
      <c r="O225" s="33" t="n">
        <f>5050</f>
        <v>5050.0</v>
      </c>
      <c r="P225" s="34" t="s">
        <v>64</v>
      </c>
      <c r="Q225" s="33" t="n">
        <f>5177</f>
        <v>5177.0</v>
      </c>
      <c r="R225" s="34" t="s">
        <v>49</v>
      </c>
      <c r="S225" s="35" t="n">
        <f>5154.83</f>
        <v>5154.83</v>
      </c>
      <c r="T225" s="32" t="n">
        <f>636292</f>
        <v>636292.0</v>
      </c>
      <c r="U225" s="32" t="n">
        <f>492210</f>
        <v>492210.0</v>
      </c>
      <c r="V225" s="32" t="n">
        <f>3280696805</f>
        <v>3.280696805E9</v>
      </c>
      <c r="W225" s="32" t="n">
        <f>2537500270</f>
        <v>2.53750027E9</v>
      </c>
      <c r="X225" s="36" t="n">
        <f>18</f>
        <v>18.0</v>
      </c>
    </row>
    <row r="226">
      <c r="A226" s="27" t="s">
        <v>42</v>
      </c>
      <c r="B226" s="27" t="s">
        <v>721</v>
      </c>
      <c r="C226" s="27" t="s">
        <v>722</v>
      </c>
      <c r="D226" s="27" t="s">
        <v>723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737</f>
        <v>737.0</v>
      </c>
      <c r="L226" s="34" t="s">
        <v>48</v>
      </c>
      <c r="M226" s="33" t="n">
        <f>744</f>
        <v>744.0</v>
      </c>
      <c r="N226" s="34" t="s">
        <v>60</v>
      </c>
      <c r="O226" s="33" t="n">
        <f>713</f>
        <v>713.0</v>
      </c>
      <c r="P226" s="34" t="s">
        <v>68</v>
      </c>
      <c r="Q226" s="33" t="n">
        <f>729</f>
        <v>729.0</v>
      </c>
      <c r="R226" s="34" t="s">
        <v>49</v>
      </c>
      <c r="S226" s="35" t="n">
        <f>731.44</f>
        <v>731.44</v>
      </c>
      <c r="T226" s="32" t="n">
        <f>940094</f>
        <v>940094.0</v>
      </c>
      <c r="U226" s="32" t="str">
        <f>"－"</f>
        <v>－</v>
      </c>
      <c r="V226" s="32" t="n">
        <f>688314925</f>
        <v>6.88314925E8</v>
      </c>
      <c r="W226" s="32" t="str">
        <f>"－"</f>
        <v>－</v>
      </c>
      <c r="X226" s="36" t="n">
        <f>18</f>
        <v>18.0</v>
      </c>
    </row>
    <row r="227">
      <c r="A227" s="27" t="s">
        <v>42</v>
      </c>
      <c r="B227" s="27" t="s">
        <v>724</v>
      </c>
      <c r="C227" s="27" t="s">
        <v>725</v>
      </c>
      <c r="D227" s="27" t="s">
        <v>726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1149</f>
        <v>1149.0</v>
      </c>
      <c r="L227" s="34" t="s">
        <v>48</v>
      </c>
      <c r="M227" s="33" t="n">
        <f>1198</f>
        <v>1198.0</v>
      </c>
      <c r="N227" s="34" t="s">
        <v>274</v>
      </c>
      <c r="O227" s="33" t="n">
        <f>1138</f>
        <v>1138.0</v>
      </c>
      <c r="P227" s="34" t="s">
        <v>48</v>
      </c>
      <c r="Q227" s="33" t="n">
        <f>1179</f>
        <v>1179.0</v>
      </c>
      <c r="R227" s="34" t="s">
        <v>49</v>
      </c>
      <c r="S227" s="35" t="n">
        <f>1175.06</f>
        <v>1175.06</v>
      </c>
      <c r="T227" s="32" t="n">
        <f>461167</f>
        <v>461167.0</v>
      </c>
      <c r="U227" s="32" t="str">
        <f>"－"</f>
        <v>－</v>
      </c>
      <c r="V227" s="32" t="n">
        <f>541714528</f>
        <v>5.41714528E8</v>
      </c>
      <c r="W227" s="32" t="str">
        <f>"－"</f>
        <v>－</v>
      </c>
      <c r="X227" s="36" t="n">
        <f>18</f>
        <v>18.0</v>
      </c>
    </row>
    <row r="228">
      <c r="A228" s="27" t="s">
        <v>42</v>
      </c>
      <c r="B228" s="27" t="s">
        <v>727</v>
      </c>
      <c r="C228" s="27" t="s">
        <v>728</v>
      </c>
      <c r="D228" s="27" t="s">
        <v>729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1157</f>
        <v>1157.0</v>
      </c>
      <c r="L228" s="34" t="s">
        <v>48</v>
      </c>
      <c r="M228" s="33" t="n">
        <f>1188</f>
        <v>1188.0</v>
      </c>
      <c r="N228" s="34" t="s">
        <v>94</v>
      </c>
      <c r="O228" s="33" t="n">
        <f>1115</f>
        <v>1115.0</v>
      </c>
      <c r="P228" s="34" t="s">
        <v>258</v>
      </c>
      <c r="Q228" s="33" t="n">
        <f>1128</f>
        <v>1128.0</v>
      </c>
      <c r="R228" s="34" t="s">
        <v>49</v>
      </c>
      <c r="S228" s="35" t="n">
        <f>1155.56</f>
        <v>1155.56</v>
      </c>
      <c r="T228" s="32" t="n">
        <f>580390</f>
        <v>580390.0</v>
      </c>
      <c r="U228" s="32" t="n">
        <f>3</f>
        <v>3.0</v>
      </c>
      <c r="V228" s="32" t="n">
        <f>670630315</f>
        <v>6.70630315E8</v>
      </c>
      <c r="W228" s="32" t="n">
        <f>3460</f>
        <v>3460.0</v>
      </c>
      <c r="X228" s="36" t="n">
        <f>18</f>
        <v>18.0</v>
      </c>
    </row>
    <row r="229">
      <c r="A229" s="27" t="s">
        <v>42</v>
      </c>
      <c r="B229" s="27" t="s">
        <v>730</v>
      </c>
      <c r="C229" s="27" t="s">
        <v>731</v>
      </c>
      <c r="D229" s="27" t="s">
        <v>732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1100</f>
        <v>1100.0</v>
      </c>
      <c r="L229" s="34" t="s">
        <v>48</v>
      </c>
      <c r="M229" s="33" t="n">
        <f>1134</f>
        <v>1134.0</v>
      </c>
      <c r="N229" s="34" t="s">
        <v>83</v>
      </c>
      <c r="O229" s="33" t="n">
        <f>1094</f>
        <v>1094.0</v>
      </c>
      <c r="P229" s="34" t="s">
        <v>48</v>
      </c>
      <c r="Q229" s="33" t="n">
        <f>1108</f>
        <v>1108.0</v>
      </c>
      <c r="R229" s="34" t="s">
        <v>49</v>
      </c>
      <c r="S229" s="35" t="n">
        <f>1109.72</f>
        <v>1109.72</v>
      </c>
      <c r="T229" s="32" t="n">
        <f>553172</f>
        <v>553172.0</v>
      </c>
      <c r="U229" s="32" t="str">
        <f>"－"</f>
        <v>－</v>
      </c>
      <c r="V229" s="32" t="n">
        <f>615217080</f>
        <v>6.1521708E8</v>
      </c>
      <c r="W229" s="32" t="str">
        <f>"－"</f>
        <v>－</v>
      </c>
      <c r="X229" s="36" t="n">
        <f>18</f>
        <v>18.0</v>
      </c>
    </row>
    <row r="230">
      <c r="A230" s="27" t="s">
        <v>42</v>
      </c>
      <c r="B230" s="27" t="s">
        <v>733</v>
      </c>
      <c r="C230" s="27" t="s">
        <v>734</v>
      </c>
      <c r="D230" s="27" t="s">
        <v>735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1134</f>
        <v>1134.0</v>
      </c>
      <c r="L230" s="34" t="s">
        <v>48</v>
      </c>
      <c r="M230" s="33" t="n">
        <f>1160</f>
        <v>1160.0</v>
      </c>
      <c r="N230" s="34" t="s">
        <v>274</v>
      </c>
      <c r="O230" s="33" t="n">
        <f>1063</f>
        <v>1063.0</v>
      </c>
      <c r="P230" s="34" t="s">
        <v>258</v>
      </c>
      <c r="Q230" s="33" t="n">
        <f>1064</f>
        <v>1064.0</v>
      </c>
      <c r="R230" s="34" t="s">
        <v>49</v>
      </c>
      <c r="S230" s="35" t="n">
        <f>1125</f>
        <v>1125.0</v>
      </c>
      <c r="T230" s="32" t="n">
        <f>361907</f>
        <v>361907.0</v>
      </c>
      <c r="U230" s="32" t="n">
        <f>9</f>
        <v>9.0</v>
      </c>
      <c r="V230" s="32" t="n">
        <f>405069091</f>
        <v>4.05069091E8</v>
      </c>
      <c r="W230" s="32" t="n">
        <f>10269</f>
        <v>10269.0</v>
      </c>
      <c r="X230" s="36" t="n">
        <f>18</f>
        <v>18.0</v>
      </c>
    </row>
    <row r="231">
      <c r="A231" s="27" t="s">
        <v>42</v>
      </c>
      <c r="B231" s="27" t="s">
        <v>736</v>
      </c>
      <c r="C231" s="27" t="s">
        <v>737</v>
      </c>
      <c r="D231" s="27" t="s">
        <v>738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1778</f>
        <v>1778.0</v>
      </c>
      <c r="L231" s="34" t="s">
        <v>48</v>
      </c>
      <c r="M231" s="33" t="n">
        <f>1821</f>
        <v>1821.0</v>
      </c>
      <c r="N231" s="34" t="s">
        <v>68</v>
      </c>
      <c r="O231" s="33" t="n">
        <f>1753</f>
        <v>1753.0</v>
      </c>
      <c r="P231" s="34" t="s">
        <v>48</v>
      </c>
      <c r="Q231" s="33" t="n">
        <f>1803</f>
        <v>1803.0</v>
      </c>
      <c r="R231" s="34" t="s">
        <v>49</v>
      </c>
      <c r="S231" s="35" t="n">
        <f>1784.11</f>
        <v>1784.11</v>
      </c>
      <c r="T231" s="32" t="n">
        <f>424092</f>
        <v>424092.0</v>
      </c>
      <c r="U231" s="32" t="n">
        <f>141170</f>
        <v>141170.0</v>
      </c>
      <c r="V231" s="32" t="n">
        <f>756534471</f>
        <v>7.56534471E8</v>
      </c>
      <c r="W231" s="32" t="n">
        <f>251335085</f>
        <v>2.51335085E8</v>
      </c>
      <c r="X231" s="36" t="n">
        <f>18</f>
        <v>18.0</v>
      </c>
    </row>
    <row r="232">
      <c r="A232" s="27" t="s">
        <v>42</v>
      </c>
      <c r="B232" s="27" t="s">
        <v>739</v>
      </c>
      <c r="C232" s="27" t="s">
        <v>740</v>
      </c>
      <c r="D232" s="27" t="s">
        <v>741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274.3</f>
        <v>274.3</v>
      </c>
      <c r="L232" s="34" t="s">
        <v>48</v>
      </c>
      <c r="M232" s="33" t="n">
        <f>320.6</f>
        <v>320.6</v>
      </c>
      <c r="N232" s="34" t="s">
        <v>68</v>
      </c>
      <c r="O232" s="33" t="n">
        <f>260</f>
        <v>260.0</v>
      </c>
      <c r="P232" s="34" t="s">
        <v>101</v>
      </c>
      <c r="Q232" s="33" t="n">
        <f>311</f>
        <v>311.0</v>
      </c>
      <c r="R232" s="34" t="s">
        <v>49</v>
      </c>
      <c r="S232" s="35" t="n">
        <f>293.34</f>
        <v>293.34</v>
      </c>
      <c r="T232" s="32" t="n">
        <f>9506590</f>
        <v>9506590.0</v>
      </c>
      <c r="U232" s="32" t="n">
        <f>20050</f>
        <v>20050.0</v>
      </c>
      <c r="V232" s="32" t="n">
        <f>2762281647</f>
        <v>2.762281647E9</v>
      </c>
      <c r="W232" s="32" t="n">
        <f>6095575</f>
        <v>6095575.0</v>
      </c>
      <c r="X232" s="36" t="n">
        <f>18</f>
        <v>18.0</v>
      </c>
    </row>
    <row r="233">
      <c r="A233" s="27" t="s">
        <v>42</v>
      </c>
      <c r="B233" s="27" t="s">
        <v>742</v>
      </c>
      <c r="C233" s="27" t="s">
        <v>743</v>
      </c>
      <c r="D233" s="27" t="s">
        <v>744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796.5</f>
        <v>796.5</v>
      </c>
      <c r="L233" s="34" t="s">
        <v>48</v>
      </c>
      <c r="M233" s="33" t="n">
        <f>910.4</f>
        <v>910.4</v>
      </c>
      <c r="N233" s="34" t="s">
        <v>68</v>
      </c>
      <c r="O233" s="33" t="n">
        <f>752.9</f>
        <v>752.9</v>
      </c>
      <c r="P233" s="34" t="s">
        <v>48</v>
      </c>
      <c r="Q233" s="33" t="n">
        <f>867</f>
        <v>867.0</v>
      </c>
      <c r="R233" s="34" t="s">
        <v>49</v>
      </c>
      <c r="S233" s="35" t="n">
        <f>829.12</f>
        <v>829.12</v>
      </c>
      <c r="T233" s="32" t="n">
        <f>1009360</f>
        <v>1009360.0</v>
      </c>
      <c r="U233" s="32" t="n">
        <f>125000</f>
        <v>125000.0</v>
      </c>
      <c r="V233" s="32" t="n">
        <f>838391821</f>
        <v>8.38391821E8</v>
      </c>
      <c r="W233" s="32" t="n">
        <f>106032037</f>
        <v>1.06032037E8</v>
      </c>
      <c r="X233" s="36" t="n">
        <f>18</f>
        <v>18.0</v>
      </c>
    </row>
    <row r="234">
      <c r="A234" s="27" t="s">
        <v>42</v>
      </c>
      <c r="B234" s="27" t="s">
        <v>745</v>
      </c>
      <c r="C234" s="27" t="s">
        <v>746</v>
      </c>
      <c r="D234" s="27" t="s">
        <v>747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1.0</v>
      </c>
      <c r="K234" s="33" t="n">
        <f>3290</f>
        <v>3290.0</v>
      </c>
      <c r="L234" s="34" t="s">
        <v>48</v>
      </c>
      <c r="M234" s="33" t="n">
        <f>3430</f>
        <v>3430.0</v>
      </c>
      <c r="N234" s="34" t="s">
        <v>59</v>
      </c>
      <c r="O234" s="33" t="n">
        <f>3255</f>
        <v>3255.0</v>
      </c>
      <c r="P234" s="34" t="s">
        <v>48</v>
      </c>
      <c r="Q234" s="33" t="n">
        <f>3338</f>
        <v>3338.0</v>
      </c>
      <c r="R234" s="34" t="s">
        <v>49</v>
      </c>
      <c r="S234" s="35" t="n">
        <f>3331.83</f>
        <v>3331.83</v>
      </c>
      <c r="T234" s="32" t="n">
        <f>67833</f>
        <v>67833.0</v>
      </c>
      <c r="U234" s="32" t="n">
        <f>1480</f>
        <v>1480.0</v>
      </c>
      <c r="V234" s="32" t="n">
        <f>226842226</f>
        <v>2.26842226E8</v>
      </c>
      <c r="W234" s="32" t="n">
        <f>4947186</f>
        <v>4947186.0</v>
      </c>
      <c r="X234" s="36" t="n">
        <f>18</f>
        <v>18.0</v>
      </c>
    </row>
    <row r="235">
      <c r="A235" s="27" t="s">
        <v>42</v>
      </c>
      <c r="B235" s="27" t="s">
        <v>748</v>
      </c>
      <c r="C235" s="27" t="s">
        <v>749</v>
      </c>
      <c r="D235" s="27" t="s">
        <v>750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1393</f>
        <v>1393.0</v>
      </c>
      <c r="L235" s="34" t="s">
        <v>48</v>
      </c>
      <c r="M235" s="33" t="n">
        <f>1459</f>
        <v>1459.0</v>
      </c>
      <c r="N235" s="34" t="s">
        <v>59</v>
      </c>
      <c r="O235" s="33" t="n">
        <f>1378</f>
        <v>1378.0</v>
      </c>
      <c r="P235" s="34" t="s">
        <v>48</v>
      </c>
      <c r="Q235" s="33" t="n">
        <f>1442</f>
        <v>1442.0</v>
      </c>
      <c r="R235" s="34" t="s">
        <v>49</v>
      </c>
      <c r="S235" s="35" t="n">
        <f>1427.28</f>
        <v>1427.28</v>
      </c>
      <c r="T235" s="32" t="n">
        <f>758725</f>
        <v>758725.0</v>
      </c>
      <c r="U235" s="32" t="str">
        <f>"－"</f>
        <v>－</v>
      </c>
      <c r="V235" s="32" t="n">
        <f>1084007572</f>
        <v>1.084007572E9</v>
      </c>
      <c r="W235" s="32" t="str">
        <f>"－"</f>
        <v>－</v>
      </c>
      <c r="X235" s="36" t="n">
        <f>18</f>
        <v>18.0</v>
      </c>
    </row>
    <row r="236">
      <c r="A236" s="27" t="s">
        <v>42</v>
      </c>
      <c r="B236" s="27" t="s">
        <v>751</v>
      </c>
      <c r="C236" s="27" t="s">
        <v>752</v>
      </c>
      <c r="D236" s="27" t="s">
        <v>753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105150</f>
        <v>105150.0</v>
      </c>
      <c r="L236" s="34" t="s">
        <v>48</v>
      </c>
      <c r="M236" s="33" t="n">
        <f>107550</f>
        <v>107550.0</v>
      </c>
      <c r="N236" s="34" t="s">
        <v>60</v>
      </c>
      <c r="O236" s="33" t="n">
        <f>99440</f>
        <v>99440.0</v>
      </c>
      <c r="P236" s="34" t="s">
        <v>94</v>
      </c>
      <c r="Q236" s="33" t="n">
        <f>103450</f>
        <v>103450.0</v>
      </c>
      <c r="R236" s="34" t="s">
        <v>49</v>
      </c>
      <c r="S236" s="35" t="n">
        <f>104125</f>
        <v>104125.0</v>
      </c>
      <c r="T236" s="32" t="n">
        <f>22664</f>
        <v>22664.0</v>
      </c>
      <c r="U236" s="32" t="n">
        <f>360</f>
        <v>360.0</v>
      </c>
      <c r="V236" s="32" t="n">
        <f>2343476920</f>
        <v>2.34347692E9</v>
      </c>
      <c r="W236" s="32" t="n">
        <f>37346250</f>
        <v>3.734625E7</v>
      </c>
      <c r="X236" s="36" t="n">
        <f>18</f>
        <v>18.0</v>
      </c>
    </row>
    <row r="237">
      <c r="A237" s="27" t="s">
        <v>42</v>
      </c>
      <c r="B237" s="27" t="s">
        <v>754</v>
      </c>
      <c r="C237" s="27" t="s">
        <v>755</v>
      </c>
      <c r="D237" s="27" t="s">
        <v>756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5806</f>
        <v>5806.0</v>
      </c>
      <c r="L237" s="34" t="s">
        <v>48</v>
      </c>
      <c r="M237" s="33" t="n">
        <f>5925</f>
        <v>5925.0</v>
      </c>
      <c r="N237" s="34" t="s">
        <v>94</v>
      </c>
      <c r="O237" s="33" t="n">
        <f>5695</f>
        <v>5695.0</v>
      </c>
      <c r="P237" s="34" t="s">
        <v>60</v>
      </c>
      <c r="Q237" s="33" t="n">
        <f>5772</f>
        <v>5772.0</v>
      </c>
      <c r="R237" s="34" t="s">
        <v>49</v>
      </c>
      <c r="S237" s="35" t="n">
        <f>5793.22</f>
        <v>5793.22</v>
      </c>
      <c r="T237" s="32" t="n">
        <f>74514</f>
        <v>74514.0</v>
      </c>
      <c r="U237" s="32" t="n">
        <f>700</f>
        <v>700.0</v>
      </c>
      <c r="V237" s="32" t="n">
        <f>431385421</f>
        <v>4.31385421E8</v>
      </c>
      <c r="W237" s="32" t="n">
        <f>4050900</f>
        <v>4050900.0</v>
      </c>
      <c r="X237" s="36" t="n">
        <f>18</f>
        <v>18.0</v>
      </c>
    </row>
    <row r="238">
      <c r="A238" s="27" t="s">
        <v>42</v>
      </c>
      <c r="B238" s="27" t="s">
        <v>757</v>
      </c>
      <c r="C238" s="27" t="s">
        <v>758</v>
      </c>
      <c r="D238" s="27" t="s">
        <v>759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22920</f>
        <v>22920.0</v>
      </c>
      <c r="L238" s="34" t="s">
        <v>48</v>
      </c>
      <c r="M238" s="33" t="n">
        <f>23360</f>
        <v>23360.0</v>
      </c>
      <c r="N238" s="34" t="s">
        <v>60</v>
      </c>
      <c r="O238" s="33" t="n">
        <f>21610</f>
        <v>21610.0</v>
      </c>
      <c r="P238" s="34" t="s">
        <v>94</v>
      </c>
      <c r="Q238" s="33" t="n">
        <f>22465</f>
        <v>22465.0</v>
      </c>
      <c r="R238" s="34" t="s">
        <v>49</v>
      </c>
      <c r="S238" s="35" t="n">
        <f>22560.28</f>
        <v>22560.28</v>
      </c>
      <c r="T238" s="32" t="n">
        <f>44864</f>
        <v>44864.0</v>
      </c>
      <c r="U238" s="32" t="n">
        <f>2706</f>
        <v>2706.0</v>
      </c>
      <c r="V238" s="32" t="n">
        <f>1010203561</f>
        <v>1.010203561E9</v>
      </c>
      <c r="W238" s="32" t="n">
        <f>60718321</f>
        <v>6.0718321E7</v>
      </c>
      <c r="X238" s="36" t="n">
        <f>18</f>
        <v>18.0</v>
      </c>
    </row>
    <row r="239">
      <c r="A239" s="27" t="s">
        <v>42</v>
      </c>
      <c r="B239" s="27" t="s">
        <v>760</v>
      </c>
      <c r="C239" s="27" t="s">
        <v>761</v>
      </c>
      <c r="D239" s="27" t="s">
        <v>762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1439</f>
        <v>1439.0</v>
      </c>
      <c r="L239" s="34" t="s">
        <v>48</v>
      </c>
      <c r="M239" s="33" t="n">
        <f>1470</f>
        <v>1470.0</v>
      </c>
      <c r="N239" s="34" t="s">
        <v>60</v>
      </c>
      <c r="O239" s="33" t="n">
        <f>1335</f>
        <v>1335.0</v>
      </c>
      <c r="P239" s="34" t="s">
        <v>94</v>
      </c>
      <c r="Q239" s="33" t="n">
        <f>1406</f>
        <v>1406.0</v>
      </c>
      <c r="R239" s="34" t="s">
        <v>49</v>
      </c>
      <c r="S239" s="35" t="n">
        <f>1386.72</f>
        <v>1386.72</v>
      </c>
      <c r="T239" s="32" t="n">
        <f>1252561</f>
        <v>1252561.0</v>
      </c>
      <c r="U239" s="32" t="n">
        <f>10</f>
        <v>10.0</v>
      </c>
      <c r="V239" s="32" t="n">
        <f>1741306562</f>
        <v>1.741306562E9</v>
      </c>
      <c r="W239" s="32" t="n">
        <f>14010</f>
        <v>14010.0</v>
      </c>
      <c r="X239" s="36" t="n">
        <f>18</f>
        <v>18.0</v>
      </c>
    </row>
    <row r="240">
      <c r="A240" s="27" t="s">
        <v>42</v>
      </c>
      <c r="B240" s="27" t="s">
        <v>763</v>
      </c>
      <c r="C240" s="27" t="s">
        <v>764</v>
      </c>
      <c r="D240" s="27" t="s">
        <v>765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5842</f>
        <v>5842.0</v>
      </c>
      <c r="L240" s="34" t="s">
        <v>48</v>
      </c>
      <c r="M240" s="33" t="n">
        <f>6006</f>
        <v>6006.0</v>
      </c>
      <c r="N240" s="34" t="s">
        <v>94</v>
      </c>
      <c r="O240" s="33" t="n">
        <f>5775</f>
        <v>5775.0</v>
      </c>
      <c r="P240" s="34" t="s">
        <v>60</v>
      </c>
      <c r="Q240" s="33" t="n">
        <f>5866</f>
        <v>5866.0</v>
      </c>
      <c r="R240" s="34" t="s">
        <v>49</v>
      </c>
      <c r="S240" s="35" t="n">
        <f>5869.06</f>
        <v>5869.06</v>
      </c>
      <c r="T240" s="32" t="n">
        <f>4129</f>
        <v>4129.0</v>
      </c>
      <c r="U240" s="32" t="n">
        <f>40</f>
        <v>40.0</v>
      </c>
      <c r="V240" s="32" t="n">
        <f>24226101</f>
        <v>2.4226101E7</v>
      </c>
      <c r="W240" s="32" t="n">
        <f>233711</f>
        <v>233711.0</v>
      </c>
      <c r="X240" s="36" t="n">
        <f>18</f>
        <v>18.0</v>
      </c>
    </row>
    <row r="241">
      <c r="A241" s="27" t="s">
        <v>42</v>
      </c>
      <c r="B241" s="27" t="s">
        <v>766</v>
      </c>
      <c r="C241" s="27" t="s">
        <v>767</v>
      </c>
      <c r="D241" s="27" t="s">
        <v>768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840.2</f>
        <v>840.2</v>
      </c>
      <c r="L241" s="34" t="s">
        <v>48</v>
      </c>
      <c r="M241" s="33" t="n">
        <f>875</f>
        <v>875.0</v>
      </c>
      <c r="N241" s="34" t="s">
        <v>59</v>
      </c>
      <c r="O241" s="33" t="n">
        <f>831.6</f>
        <v>831.6</v>
      </c>
      <c r="P241" s="34" t="s">
        <v>48</v>
      </c>
      <c r="Q241" s="33" t="n">
        <f>853.2</f>
        <v>853.2</v>
      </c>
      <c r="R241" s="34" t="s">
        <v>49</v>
      </c>
      <c r="S241" s="35" t="n">
        <f>852.28</f>
        <v>852.28</v>
      </c>
      <c r="T241" s="32" t="n">
        <f>1162200</f>
        <v>1162200.0</v>
      </c>
      <c r="U241" s="32" t="n">
        <f>756240</f>
        <v>756240.0</v>
      </c>
      <c r="V241" s="32" t="n">
        <f>981372153</f>
        <v>9.81372153E8</v>
      </c>
      <c r="W241" s="32" t="n">
        <f>635605630</f>
        <v>6.3560563E8</v>
      </c>
      <c r="X241" s="36" t="n">
        <f>18</f>
        <v>18.0</v>
      </c>
    </row>
    <row r="242">
      <c r="A242" s="27" t="s">
        <v>42</v>
      </c>
      <c r="B242" s="27" t="s">
        <v>769</v>
      </c>
      <c r="C242" s="27" t="s">
        <v>770</v>
      </c>
      <c r="D242" s="27" t="s">
        <v>771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631.4</f>
        <v>631.4</v>
      </c>
      <c r="L242" s="34" t="s">
        <v>48</v>
      </c>
      <c r="M242" s="33" t="n">
        <f>657.8</f>
        <v>657.8</v>
      </c>
      <c r="N242" s="34" t="s">
        <v>64</v>
      </c>
      <c r="O242" s="33" t="n">
        <f>631.4</f>
        <v>631.4</v>
      </c>
      <c r="P242" s="34" t="s">
        <v>48</v>
      </c>
      <c r="Q242" s="33" t="n">
        <f>642.7</f>
        <v>642.7</v>
      </c>
      <c r="R242" s="34" t="s">
        <v>49</v>
      </c>
      <c r="S242" s="35" t="n">
        <f>644.52</f>
        <v>644.52</v>
      </c>
      <c r="T242" s="32" t="n">
        <f>2294650</f>
        <v>2294650.0</v>
      </c>
      <c r="U242" s="32" t="n">
        <f>1648410</f>
        <v>1648410.0</v>
      </c>
      <c r="V242" s="32" t="n">
        <f>1476357891</f>
        <v>1.476357891E9</v>
      </c>
      <c r="W242" s="32" t="n">
        <f>1060746355</f>
        <v>1.060746355E9</v>
      </c>
      <c r="X242" s="36" t="n">
        <f>18</f>
        <v>18.0</v>
      </c>
    </row>
    <row r="243">
      <c r="A243" s="27" t="s">
        <v>42</v>
      </c>
      <c r="B243" s="27" t="s">
        <v>772</v>
      </c>
      <c r="C243" s="27" t="s">
        <v>773</v>
      </c>
      <c r="D243" s="27" t="s">
        <v>774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1.0</v>
      </c>
      <c r="K243" s="33" t="n">
        <f>2942</f>
        <v>2942.0</v>
      </c>
      <c r="L243" s="34" t="s">
        <v>48</v>
      </c>
      <c r="M243" s="33" t="n">
        <f>3133</f>
        <v>3133.0</v>
      </c>
      <c r="N243" s="34" t="s">
        <v>68</v>
      </c>
      <c r="O243" s="33" t="n">
        <f>2770</f>
        <v>2770.0</v>
      </c>
      <c r="P243" s="34" t="s">
        <v>94</v>
      </c>
      <c r="Q243" s="33" t="n">
        <f>3018</f>
        <v>3018.0</v>
      </c>
      <c r="R243" s="34" t="s">
        <v>49</v>
      </c>
      <c r="S243" s="35" t="n">
        <f>2982.61</f>
        <v>2982.61</v>
      </c>
      <c r="T243" s="32" t="n">
        <f>3125270</f>
        <v>3125270.0</v>
      </c>
      <c r="U243" s="32" t="n">
        <f>166564</f>
        <v>166564.0</v>
      </c>
      <c r="V243" s="32" t="n">
        <f>9281017102</f>
        <v>9.281017102E9</v>
      </c>
      <c r="W243" s="32" t="n">
        <f>498457285</f>
        <v>4.98457285E8</v>
      </c>
      <c r="X243" s="36" t="n">
        <f>18</f>
        <v>18.0</v>
      </c>
    </row>
    <row r="244">
      <c r="A244" s="27" t="s">
        <v>42</v>
      </c>
      <c r="B244" s="27" t="s">
        <v>775</v>
      </c>
      <c r="C244" s="27" t="s">
        <v>776</v>
      </c>
      <c r="D244" s="27" t="s">
        <v>777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3053</f>
        <v>3053.0</v>
      </c>
      <c r="L244" s="34" t="s">
        <v>48</v>
      </c>
      <c r="M244" s="33" t="n">
        <f>3127</f>
        <v>3127.0</v>
      </c>
      <c r="N244" s="34" t="s">
        <v>60</v>
      </c>
      <c r="O244" s="33" t="n">
        <f>2802</f>
        <v>2802.0</v>
      </c>
      <c r="P244" s="34" t="s">
        <v>274</v>
      </c>
      <c r="Q244" s="33" t="n">
        <f>2932</f>
        <v>2932.0</v>
      </c>
      <c r="R244" s="34" t="s">
        <v>49</v>
      </c>
      <c r="S244" s="35" t="n">
        <f>2939.44</f>
        <v>2939.44</v>
      </c>
      <c r="T244" s="32" t="n">
        <f>5139205</f>
        <v>5139205.0</v>
      </c>
      <c r="U244" s="32" t="n">
        <f>10715</f>
        <v>10715.0</v>
      </c>
      <c r="V244" s="32" t="n">
        <f>15167075929</f>
        <v>1.5167075929E10</v>
      </c>
      <c r="W244" s="32" t="n">
        <f>31643817</f>
        <v>3.1643817E7</v>
      </c>
      <c r="X244" s="36" t="n">
        <f>18</f>
        <v>18.0</v>
      </c>
    </row>
    <row r="245">
      <c r="A245" s="27" t="s">
        <v>42</v>
      </c>
      <c r="B245" s="27" t="s">
        <v>778</v>
      </c>
      <c r="C245" s="27" t="s">
        <v>779</v>
      </c>
      <c r="D245" s="27" t="s">
        <v>780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726.6</f>
        <v>726.6</v>
      </c>
      <c r="L245" s="34" t="s">
        <v>48</v>
      </c>
      <c r="M245" s="33" t="n">
        <f>735</f>
        <v>735.0</v>
      </c>
      <c r="N245" s="34" t="s">
        <v>49</v>
      </c>
      <c r="O245" s="33" t="n">
        <f>724.8</f>
        <v>724.8</v>
      </c>
      <c r="P245" s="34" t="s">
        <v>48</v>
      </c>
      <c r="Q245" s="33" t="n">
        <f>735</f>
        <v>735.0</v>
      </c>
      <c r="R245" s="34" t="s">
        <v>49</v>
      </c>
      <c r="S245" s="35" t="n">
        <f>729.43</f>
        <v>729.43</v>
      </c>
      <c r="T245" s="32" t="n">
        <f>82740</f>
        <v>82740.0</v>
      </c>
      <c r="U245" s="32" t="str">
        <f>"－"</f>
        <v>－</v>
      </c>
      <c r="V245" s="32" t="n">
        <f>60071551</f>
        <v>6.0071551E7</v>
      </c>
      <c r="W245" s="32" t="str">
        <f>"－"</f>
        <v>－</v>
      </c>
      <c r="X245" s="36" t="n">
        <f>11</f>
        <v>11.0</v>
      </c>
    </row>
    <row r="246">
      <c r="A246" s="27" t="s">
        <v>42</v>
      </c>
      <c r="B246" s="27" t="s">
        <v>781</v>
      </c>
      <c r="C246" s="27" t="s">
        <v>782</v>
      </c>
      <c r="D246" s="27" t="s">
        <v>783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732.8</f>
        <v>732.8</v>
      </c>
      <c r="L246" s="34" t="s">
        <v>60</v>
      </c>
      <c r="M246" s="33" t="n">
        <f>783</f>
        <v>783.0</v>
      </c>
      <c r="N246" s="34" t="s">
        <v>83</v>
      </c>
      <c r="O246" s="33" t="n">
        <f>732.4</f>
        <v>732.4</v>
      </c>
      <c r="P246" s="34" t="s">
        <v>69</v>
      </c>
      <c r="Q246" s="33" t="n">
        <f>742.1</f>
        <v>742.1</v>
      </c>
      <c r="R246" s="34" t="s">
        <v>49</v>
      </c>
      <c r="S246" s="35" t="n">
        <f>737.32</f>
        <v>737.32</v>
      </c>
      <c r="T246" s="32" t="n">
        <f>5410</f>
        <v>5410.0</v>
      </c>
      <c r="U246" s="32" t="str">
        <f>"－"</f>
        <v>－</v>
      </c>
      <c r="V246" s="32" t="n">
        <f>4093037</f>
        <v>4093037.0</v>
      </c>
      <c r="W246" s="32" t="str">
        <f>"－"</f>
        <v>－</v>
      </c>
      <c r="X246" s="36" t="n">
        <f>10</f>
        <v>10.0</v>
      </c>
    </row>
    <row r="247">
      <c r="A247" s="27" t="s">
        <v>42</v>
      </c>
      <c r="B247" s="27" t="s">
        <v>784</v>
      </c>
      <c r="C247" s="27" t="s">
        <v>785</v>
      </c>
      <c r="D247" s="27" t="s">
        <v>786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2022</f>
        <v>2022.0</v>
      </c>
      <c r="L247" s="34" t="s">
        <v>48</v>
      </c>
      <c r="M247" s="33" t="n">
        <f>2057</f>
        <v>2057.0</v>
      </c>
      <c r="N247" s="34" t="s">
        <v>59</v>
      </c>
      <c r="O247" s="33" t="n">
        <f>1953</f>
        <v>1953.0</v>
      </c>
      <c r="P247" s="34" t="s">
        <v>105</v>
      </c>
      <c r="Q247" s="33" t="n">
        <f>2026</f>
        <v>2026.0</v>
      </c>
      <c r="R247" s="34" t="s">
        <v>49</v>
      </c>
      <c r="S247" s="35" t="n">
        <f>2010.89</f>
        <v>2010.89</v>
      </c>
      <c r="T247" s="32" t="n">
        <f>1094655</f>
        <v>1094655.0</v>
      </c>
      <c r="U247" s="32" t="n">
        <f>640912</f>
        <v>640912.0</v>
      </c>
      <c r="V247" s="32" t="n">
        <f>2199684100</f>
        <v>2.1996841E9</v>
      </c>
      <c r="W247" s="32" t="n">
        <f>1291471073</f>
        <v>1.291471073E9</v>
      </c>
      <c r="X247" s="36" t="n">
        <f>18</f>
        <v>18.0</v>
      </c>
    </row>
    <row r="248">
      <c r="A248" s="27" t="s">
        <v>42</v>
      </c>
      <c r="B248" s="27" t="s">
        <v>787</v>
      </c>
      <c r="C248" s="27" t="s">
        <v>788</v>
      </c>
      <c r="D248" s="27" t="s">
        <v>789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2552</f>
        <v>2552.0</v>
      </c>
      <c r="L248" s="34" t="s">
        <v>48</v>
      </c>
      <c r="M248" s="33" t="n">
        <f>2570</f>
        <v>2570.0</v>
      </c>
      <c r="N248" s="34" t="s">
        <v>60</v>
      </c>
      <c r="O248" s="33" t="n">
        <f>2474</f>
        <v>2474.0</v>
      </c>
      <c r="P248" s="34" t="s">
        <v>94</v>
      </c>
      <c r="Q248" s="33" t="n">
        <f>2525</f>
        <v>2525.0</v>
      </c>
      <c r="R248" s="34" t="s">
        <v>49</v>
      </c>
      <c r="S248" s="35" t="n">
        <f>2527.67</f>
        <v>2527.67</v>
      </c>
      <c r="T248" s="32" t="n">
        <f>1232264</f>
        <v>1232264.0</v>
      </c>
      <c r="U248" s="32" t="n">
        <f>876825</f>
        <v>876825.0</v>
      </c>
      <c r="V248" s="32" t="n">
        <f>3123163884</f>
        <v>3.123163884E9</v>
      </c>
      <c r="W248" s="32" t="n">
        <f>2230812701</f>
        <v>2.230812701E9</v>
      </c>
      <c r="X248" s="36" t="n">
        <f>18</f>
        <v>18.0</v>
      </c>
    </row>
    <row r="249">
      <c r="A249" s="27" t="s">
        <v>42</v>
      </c>
      <c r="B249" s="27" t="s">
        <v>790</v>
      </c>
      <c r="C249" s="27" t="s">
        <v>791</v>
      </c>
      <c r="D249" s="27" t="s">
        <v>792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11570</f>
        <v>11570.0</v>
      </c>
      <c r="L249" s="34" t="s">
        <v>48</v>
      </c>
      <c r="M249" s="33" t="n">
        <f>12230</f>
        <v>12230.0</v>
      </c>
      <c r="N249" s="34" t="s">
        <v>94</v>
      </c>
      <c r="O249" s="33" t="n">
        <f>11305</f>
        <v>11305.0</v>
      </c>
      <c r="P249" s="34" t="s">
        <v>60</v>
      </c>
      <c r="Q249" s="33" t="n">
        <f>11690</f>
        <v>11690.0</v>
      </c>
      <c r="R249" s="34" t="s">
        <v>49</v>
      </c>
      <c r="S249" s="35" t="n">
        <f>11685</f>
        <v>11685.0</v>
      </c>
      <c r="T249" s="32" t="n">
        <f>196691</f>
        <v>196691.0</v>
      </c>
      <c r="U249" s="32" t="n">
        <f>3303</f>
        <v>3303.0</v>
      </c>
      <c r="V249" s="32" t="n">
        <f>2324865762</f>
        <v>2.324865762E9</v>
      </c>
      <c r="W249" s="32" t="n">
        <f>38089807</f>
        <v>3.8089807E7</v>
      </c>
      <c r="X249" s="36" t="n">
        <f>18</f>
        <v>18.0</v>
      </c>
    </row>
    <row r="250">
      <c r="A250" s="27" t="s">
        <v>42</v>
      </c>
      <c r="B250" s="27" t="s">
        <v>793</v>
      </c>
      <c r="C250" s="27" t="s">
        <v>794</v>
      </c>
      <c r="D250" s="27" t="s">
        <v>795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1972</f>
        <v>1972.0</v>
      </c>
      <c r="L250" s="34" t="s">
        <v>48</v>
      </c>
      <c r="M250" s="33" t="n">
        <f>2036</f>
        <v>2036.0</v>
      </c>
      <c r="N250" s="34" t="s">
        <v>69</v>
      </c>
      <c r="O250" s="33" t="n">
        <f>1731</f>
        <v>1731.0</v>
      </c>
      <c r="P250" s="34" t="s">
        <v>94</v>
      </c>
      <c r="Q250" s="33" t="n">
        <f>1957</f>
        <v>1957.0</v>
      </c>
      <c r="R250" s="34" t="s">
        <v>49</v>
      </c>
      <c r="S250" s="35" t="n">
        <f>1895.17</f>
        <v>1895.17</v>
      </c>
      <c r="T250" s="32" t="n">
        <f>1301667</f>
        <v>1301667.0</v>
      </c>
      <c r="U250" s="32" t="n">
        <f>30</f>
        <v>30.0</v>
      </c>
      <c r="V250" s="32" t="n">
        <f>2453488952</f>
        <v>2.453488952E9</v>
      </c>
      <c r="W250" s="32" t="n">
        <f>57810</f>
        <v>57810.0</v>
      </c>
      <c r="X250" s="36" t="n">
        <f>18</f>
        <v>18.0</v>
      </c>
    </row>
    <row r="251">
      <c r="A251" s="27" t="s">
        <v>42</v>
      </c>
      <c r="B251" s="27" t="s">
        <v>796</v>
      </c>
      <c r="C251" s="27" t="s">
        <v>797</v>
      </c>
      <c r="D251" s="27" t="s">
        <v>798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10.0</v>
      </c>
      <c r="K251" s="33" t="n">
        <f>315</f>
        <v>315.0</v>
      </c>
      <c r="L251" s="34" t="s">
        <v>48</v>
      </c>
      <c r="M251" s="33" t="n">
        <f>365</f>
        <v>365.0</v>
      </c>
      <c r="N251" s="34" t="s">
        <v>59</v>
      </c>
      <c r="O251" s="33" t="n">
        <f>315</f>
        <v>315.0</v>
      </c>
      <c r="P251" s="34" t="s">
        <v>48</v>
      </c>
      <c r="Q251" s="33" t="n">
        <f>345</f>
        <v>345.0</v>
      </c>
      <c r="R251" s="34" t="s">
        <v>49</v>
      </c>
      <c r="S251" s="35" t="n">
        <f>335.6</f>
        <v>335.6</v>
      </c>
      <c r="T251" s="32" t="n">
        <f>15840</f>
        <v>15840.0</v>
      </c>
      <c r="U251" s="32" t="n">
        <f>880</f>
        <v>880.0</v>
      </c>
      <c r="V251" s="32" t="n">
        <f>5364191</f>
        <v>5364191.0</v>
      </c>
      <c r="W251" s="32" t="n">
        <f>302145</f>
        <v>302145.0</v>
      </c>
      <c r="X251" s="36" t="n">
        <f>18</f>
        <v>18.0</v>
      </c>
    </row>
    <row r="252">
      <c r="A252" s="27" t="s">
        <v>42</v>
      </c>
      <c r="B252" s="27" t="s">
        <v>799</v>
      </c>
      <c r="C252" s="27" t="s">
        <v>800</v>
      </c>
      <c r="D252" s="27" t="s">
        <v>801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10.0</v>
      </c>
      <c r="K252" s="33" t="n">
        <f>860.1</f>
        <v>860.1</v>
      </c>
      <c r="L252" s="34" t="s">
        <v>48</v>
      </c>
      <c r="M252" s="33" t="n">
        <f>863</f>
        <v>863.0</v>
      </c>
      <c r="N252" s="34" t="s">
        <v>59</v>
      </c>
      <c r="O252" s="33" t="n">
        <f>820</f>
        <v>820.0</v>
      </c>
      <c r="P252" s="34" t="s">
        <v>203</v>
      </c>
      <c r="Q252" s="33" t="n">
        <f>840.9</f>
        <v>840.9</v>
      </c>
      <c r="R252" s="34" t="s">
        <v>49</v>
      </c>
      <c r="S252" s="35" t="n">
        <f>850.9</f>
        <v>850.9</v>
      </c>
      <c r="T252" s="32" t="n">
        <f>4617390</f>
        <v>4617390.0</v>
      </c>
      <c r="U252" s="32" t="n">
        <f>1101120</f>
        <v>1101120.0</v>
      </c>
      <c r="V252" s="32" t="n">
        <f>3915515965</f>
        <v>3.915515965E9</v>
      </c>
      <c r="W252" s="32" t="n">
        <f>936614684</f>
        <v>9.36614684E8</v>
      </c>
      <c r="X252" s="36" t="n">
        <f>18</f>
        <v>18.0</v>
      </c>
    </row>
    <row r="253">
      <c r="A253" s="27" t="s">
        <v>42</v>
      </c>
      <c r="B253" s="27" t="s">
        <v>802</v>
      </c>
      <c r="C253" s="27" t="s">
        <v>803</v>
      </c>
      <c r="D253" s="27" t="s">
        <v>804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1305</f>
        <v>1305.0</v>
      </c>
      <c r="L253" s="34" t="s">
        <v>48</v>
      </c>
      <c r="M253" s="33" t="n">
        <f>1352</f>
        <v>1352.0</v>
      </c>
      <c r="N253" s="34" t="s">
        <v>79</v>
      </c>
      <c r="O253" s="33" t="n">
        <f>1292</f>
        <v>1292.0</v>
      </c>
      <c r="P253" s="34" t="s">
        <v>105</v>
      </c>
      <c r="Q253" s="33" t="n">
        <f>1332</f>
        <v>1332.0</v>
      </c>
      <c r="R253" s="34" t="s">
        <v>49</v>
      </c>
      <c r="S253" s="35" t="n">
        <f>1322.17</f>
        <v>1322.17</v>
      </c>
      <c r="T253" s="32" t="n">
        <f>83853</f>
        <v>83853.0</v>
      </c>
      <c r="U253" s="32" t="str">
        <f>"－"</f>
        <v>－</v>
      </c>
      <c r="V253" s="32" t="n">
        <f>111537484</f>
        <v>1.11537484E8</v>
      </c>
      <c r="W253" s="32" t="str">
        <f>"－"</f>
        <v>－</v>
      </c>
      <c r="X253" s="36" t="n">
        <f>18</f>
        <v>18.0</v>
      </c>
    </row>
    <row r="254">
      <c r="A254" s="27" t="s">
        <v>42</v>
      </c>
      <c r="B254" s="27" t="s">
        <v>805</v>
      </c>
      <c r="C254" s="27" t="s">
        <v>806</v>
      </c>
      <c r="D254" s="27" t="s">
        <v>807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1227</f>
        <v>1227.0</v>
      </c>
      <c r="L254" s="34" t="s">
        <v>48</v>
      </c>
      <c r="M254" s="33" t="n">
        <f>1316</f>
        <v>1316.0</v>
      </c>
      <c r="N254" s="34" t="s">
        <v>68</v>
      </c>
      <c r="O254" s="33" t="n">
        <f>1218</f>
        <v>1218.0</v>
      </c>
      <c r="P254" s="34" t="s">
        <v>48</v>
      </c>
      <c r="Q254" s="33" t="n">
        <f>1308</f>
        <v>1308.0</v>
      </c>
      <c r="R254" s="34" t="s">
        <v>49</v>
      </c>
      <c r="S254" s="35" t="n">
        <f>1280.06</f>
        <v>1280.06</v>
      </c>
      <c r="T254" s="32" t="n">
        <f>219274</f>
        <v>219274.0</v>
      </c>
      <c r="U254" s="32" t="str">
        <f>"－"</f>
        <v>－</v>
      </c>
      <c r="V254" s="32" t="n">
        <f>278485319</f>
        <v>2.78485319E8</v>
      </c>
      <c r="W254" s="32" t="str">
        <f>"－"</f>
        <v>－</v>
      </c>
      <c r="X254" s="36" t="n">
        <f>18</f>
        <v>18.0</v>
      </c>
    </row>
    <row r="255">
      <c r="A255" s="27" t="s">
        <v>42</v>
      </c>
      <c r="B255" s="27" t="s">
        <v>808</v>
      </c>
      <c r="C255" s="27" t="s">
        <v>809</v>
      </c>
      <c r="D255" s="27" t="s">
        <v>810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1181</f>
        <v>1181.0</v>
      </c>
      <c r="L255" s="34" t="s">
        <v>48</v>
      </c>
      <c r="M255" s="33" t="n">
        <f>1248</f>
        <v>1248.0</v>
      </c>
      <c r="N255" s="34" t="s">
        <v>68</v>
      </c>
      <c r="O255" s="33" t="n">
        <f>1144</f>
        <v>1144.0</v>
      </c>
      <c r="P255" s="34" t="s">
        <v>48</v>
      </c>
      <c r="Q255" s="33" t="n">
        <f>1183</f>
        <v>1183.0</v>
      </c>
      <c r="R255" s="34" t="s">
        <v>49</v>
      </c>
      <c r="S255" s="35" t="n">
        <f>1194.11</f>
        <v>1194.11</v>
      </c>
      <c r="T255" s="32" t="n">
        <f>1015160</f>
        <v>1015160.0</v>
      </c>
      <c r="U255" s="32" t="str">
        <f>"－"</f>
        <v>－</v>
      </c>
      <c r="V255" s="32" t="n">
        <f>1210479038</f>
        <v>1.210479038E9</v>
      </c>
      <c r="W255" s="32" t="str">
        <f>"－"</f>
        <v>－</v>
      </c>
      <c r="X255" s="36" t="n">
        <f>18</f>
        <v>18.0</v>
      </c>
    </row>
    <row r="256">
      <c r="A256" s="27" t="s">
        <v>42</v>
      </c>
      <c r="B256" s="27" t="s">
        <v>811</v>
      </c>
      <c r="C256" s="27" t="s">
        <v>812</v>
      </c>
      <c r="D256" s="27" t="s">
        <v>813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206.4</f>
        <v>206.4</v>
      </c>
      <c r="L256" s="34" t="s">
        <v>48</v>
      </c>
      <c r="M256" s="33" t="n">
        <f>215.7</f>
        <v>215.7</v>
      </c>
      <c r="N256" s="34" t="s">
        <v>49</v>
      </c>
      <c r="O256" s="33" t="n">
        <f>205.2</f>
        <v>205.2</v>
      </c>
      <c r="P256" s="34" t="s">
        <v>60</v>
      </c>
      <c r="Q256" s="33" t="n">
        <f>215.5</f>
        <v>215.5</v>
      </c>
      <c r="R256" s="34" t="s">
        <v>49</v>
      </c>
      <c r="S256" s="35" t="n">
        <f>209.87</f>
        <v>209.87</v>
      </c>
      <c r="T256" s="32" t="n">
        <f>3555240</f>
        <v>3555240.0</v>
      </c>
      <c r="U256" s="32" t="n">
        <f>92450</f>
        <v>92450.0</v>
      </c>
      <c r="V256" s="32" t="n">
        <f>745974563</f>
        <v>7.45974563E8</v>
      </c>
      <c r="W256" s="32" t="n">
        <f>19288984</f>
        <v>1.9288984E7</v>
      </c>
      <c r="X256" s="36" t="n">
        <f>18</f>
        <v>18.0</v>
      </c>
    </row>
    <row r="257">
      <c r="A257" s="27" t="s">
        <v>42</v>
      </c>
      <c r="B257" s="27" t="s">
        <v>814</v>
      </c>
      <c r="C257" s="27" t="s">
        <v>815</v>
      </c>
      <c r="D257" s="27" t="s">
        <v>816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10.0</v>
      </c>
      <c r="K257" s="33" t="n">
        <f>220.4</f>
        <v>220.4</v>
      </c>
      <c r="L257" s="34" t="s">
        <v>48</v>
      </c>
      <c r="M257" s="33" t="n">
        <f>228</f>
        <v>228.0</v>
      </c>
      <c r="N257" s="34" t="s">
        <v>83</v>
      </c>
      <c r="O257" s="33" t="n">
        <f>217</f>
        <v>217.0</v>
      </c>
      <c r="P257" s="34" t="s">
        <v>64</v>
      </c>
      <c r="Q257" s="33" t="n">
        <f>224.7</f>
        <v>224.7</v>
      </c>
      <c r="R257" s="34" t="s">
        <v>49</v>
      </c>
      <c r="S257" s="35" t="n">
        <f>221.53</f>
        <v>221.53</v>
      </c>
      <c r="T257" s="32" t="n">
        <f>1865390</f>
        <v>1865390.0</v>
      </c>
      <c r="U257" s="32" t="n">
        <f>12180</f>
        <v>12180.0</v>
      </c>
      <c r="V257" s="32" t="n">
        <f>413180889</f>
        <v>4.13180889E8</v>
      </c>
      <c r="W257" s="32" t="n">
        <f>2702394</f>
        <v>2702394.0</v>
      </c>
      <c r="X257" s="36" t="n">
        <f>18</f>
        <v>18.0</v>
      </c>
    </row>
    <row r="258">
      <c r="A258" s="27" t="s">
        <v>42</v>
      </c>
      <c r="B258" s="27" t="s">
        <v>817</v>
      </c>
      <c r="C258" s="27" t="s">
        <v>818</v>
      </c>
      <c r="D258" s="27" t="s">
        <v>819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222.4</f>
        <v>222.4</v>
      </c>
      <c r="L258" s="34" t="s">
        <v>48</v>
      </c>
      <c r="M258" s="33" t="n">
        <f>228.2</f>
        <v>228.2</v>
      </c>
      <c r="N258" s="34" t="s">
        <v>68</v>
      </c>
      <c r="O258" s="33" t="n">
        <f>219.6</f>
        <v>219.6</v>
      </c>
      <c r="P258" s="34" t="s">
        <v>64</v>
      </c>
      <c r="Q258" s="33" t="n">
        <f>226</f>
        <v>226.0</v>
      </c>
      <c r="R258" s="34" t="s">
        <v>49</v>
      </c>
      <c r="S258" s="35" t="n">
        <f>223.93</f>
        <v>223.93</v>
      </c>
      <c r="T258" s="32" t="n">
        <f>1660770</f>
        <v>1660770.0</v>
      </c>
      <c r="U258" s="32" t="n">
        <f>904380</f>
        <v>904380.0</v>
      </c>
      <c r="V258" s="32" t="n">
        <f>372000945</f>
        <v>3.72000945E8</v>
      </c>
      <c r="W258" s="32" t="n">
        <f>203021243</f>
        <v>2.03021243E8</v>
      </c>
      <c r="X258" s="36" t="n">
        <f>18</f>
        <v>18.0</v>
      </c>
    </row>
    <row r="259">
      <c r="A259" s="27" t="s">
        <v>42</v>
      </c>
      <c r="B259" s="27" t="s">
        <v>820</v>
      </c>
      <c r="C259" s="27" t="s">
        <v>821</v>
      </c>
      <c r="D259" s="27" t="s">
        <v>822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223.7</f>
        <v>223.7</v>
      </c>
      <c r="L259" s="34" t="s">
        <v>48</v>
      </c>
      <c r="M259" s="33" t="n">
        <f>227.3</f>
        <v>227.3</v>
      </c>
      <c r="N259" s="34" t="s">
        <v>59</v>
      </c>
      <c r="O259" s="33" t="n">
        <f>220.6</f>
        <v>220.6</v>
      </c>
      <c r="P259" s="34" t="s">
        <v>64</v>
      </c>
      <c r="Q259" s="33" t="n">
        <f>225.4</f>
        <v>225.4</v>
      </c>
      <c r="R259" s="34" t="s">
        <v>49</v>
      </c>
      <c r="S259" s="35" t="n">
        <f>224.26</f>
        <v>224.26</v>
      </c>
      <c r="T259" s="32" t="n">
        <f>1582510</f>
        <v>1582510.0</v>
      </c>
      <c r="U259" s="32" t="n">
        <f>6900</f>
        <v>6900.0</v>
      </c>
      <c r="V259" s="32" t="n">
        <f>354615162</f>
        <v>3.54615162E8</v>
      </c>
      <c r="W259" s="32" t="n">
        <f>1570225</f>
        <v>1570225.0</v>
      </c>
      <c r="X259" s="36" t="n">
        <f>18</f>
        <v>18.0</v>
      </c>
    </row>
    <row r="260">
      <c r="A260" s="27" t="s">
        <v>42</v>
      </c>
      <c r="B260" s="27" t="s">
        <v>823</v>
      </c>
      <c r="C260" s="27" t="s">
        <v>824</v>
      </c>
      <c r="D260" s="27" t="s">
        <v>825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10.0</v>
      </c>
      <c r="K260" s="33" t="n">
        <f>189.2</f>
        <v>189.2</v>
      </c>
      <c r="L260" s="34" t="s">
        <v>48</v>
      </c>
      <c r="M260" s="33" t="n">
        <f>192.5</f>
        <v>192.5</v>
      </c>
      <c r="N260" s="34" t="s">
        <v>49</v>
      </c>
      <c r="O260" s="33" t="n">
        <f>189</f>
        <v>189.0</v>
      </c>
      <c r="P260" s="34" t="s">
        <v>69</v>
      </c>
      <c r="Q260" s="33" t="n">
        <f>192.5</f>
        <v>192.5</v>
      </c>
      <c r="R260" s="34" t="s">
        <v>49</v>
      </c>
      <c r="S260" s="35" t="n">
        <f>190.6</f>
        <v>190.6</v>
      </c>
      <c r="T260" s="32" t="n">
        <f>4996520</f>
        <v>4996520.0</v>
      </c>
      <c r="U260" s="32" t="n">
        <f>4984770</f>
        <v>4984770.0</v>
      </c>
      <c r="V260" s="32" t="n">
        <f>944922169</f>
        <v>9.44922169E8</v>
      </c>
      <c r="W260" s="32" t="n">
        <f>942679382</f>
        <v>9.42679382E8</v>
      </c>
      <c r="X260" s="36" t="n">
        <f>18</f>
        <v>18.0</v>
      </c>
    </row>
    <row r="261">
      <c r="A261" s="27" t="s">
        <v>42</v>
      </c>
      <c r="B261" s="27" t="s">
        <v>826</v>
      </c>
      <c r="C261" s="27" t="s">
        <v>827</v>
      </c>
      <c r="D261" s="27" t="s">
        <v>828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1955</f>
        <v>1955.0</v>
      </c>
      <c r="L261" s="34" t="s">
        <v>48</v>
      </c>
      <c r="M261" s="33" t="n">
        <f>2110</f>
        <v>2110.0</v>
      </c>
      <c r="N261" s="34" t="s">
        <v>60</v>
      </c>
      <c r="O261" s="33" t="n">
        <f>1948</f>
        <v>1948.0</v>
      </c>
      <c r="P261" s="34" t="s">
        <v>48</v>
      </c>
      <c r="Q261" s="33" t="n">
        <f>2025</f>
        <v>2025.0</v>
      </c>
      <c r="R261" s="34" t="s">
        <v>49</v>
      </c>
      <c r="S261" s="35" t="n">
        <f>2045.67</f>
        <v>2045.67</v>
      </c>
      <c r="T261" s="32" t="n">
        <f>606155</f>
        <v>606155.0</v>
      </c>
      <c r="U261" s="32" t="n">
        <f>29207</f>
        <v>29207.0</v>
      </c>
      <c r="V261" s="32" t="n">
        <f>1240866210</f>
        <v>1.24086621E9</v>
      </c>
      <c r="W261" s="32" t="n">
        <f>60539374</f>
        <v>6.0539374E7</v>
      </c>
      <c r="X261" s="36" t="n">
        <f>18</f>
        <v>18.0</v>
      </c>
    </row>
    <row r="262">
      <c r="A262" s="27" t="s">
        <v>42</v>
      </c>
      <c r="B262" s="27" t="s">
        <v>829</v>
      </c>
      <c r="C262" s="27" t="s">
        <v>830</v>
      </c>
      <c r="D262" s="27" t="s">
        <v>831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1398</f>
        <v>1398.0</v>
      </c>
      <c r="L262" s="34" t="s">
        <v>48</v>
      </c>
      <c r="M262" s="33" t="n">
        <f>1520</f>
        <v>1520.0</v>
      </c>
      <c r="N262" s="34" t="s">
        <v>105</v>
      </c>
      <c r="O262" s="33" t="n">
        <f>1367</f>
        <v>1367.0</v>
      </c>
      <c r="P262" s="34" t="s">
        <v>48</v>
      </c>
      <c r="Q262" s="33" t="n">
        <f>1480</f>
        <v>1480.0</v>
      </c>
      <c r="R262" s="34" t="s">
        <v>49</v>
      </c>
      <c r="S262" s="35" t="n">
        <f>1450.61</f>
        <v>1450.61</v>
      </c>
      <c r="T262" s="32" t="n">
        <f>253758</f>
        <v>253758.0</v>
      </c>
      <c r="U262" s="32" t="n">
        <f>138588</f>
        <v>138588.0</v>
      </c>
      <c r="V262" s="32" t="n">
        <f>364604165</f>
        <v>3.64604165E8</v>
      </c>
      <c r="W262" s="32" t="n">
        <f>199534557</f>
        <v>1.99534557E8</v>
      </c>
      <c r="X262" s="36" t="n">
        <f>18</f>
        <v>18.0</v>
      </c>
    </row>
    <row r="263">
      <c r="A263" s="27" t="s">
        <v>42</v>
      </c>
      <c r="B263" s="27" t="s">
        <v>832</v>
      </c>
      <c r="C263" s="27" t="s">
        <v>833</v>
      </c>
      <c r="D263" s="27" t="s">
        <v>834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1321</f>
        <v>1321.0</v>
      </c>
      <c r="L263" s="34" t="s">
        <v>48</v>
      </c>
      <c r="M263" s="33" t="n">
        <f>1442</f>
        <v>1442.0</v>
      </c>
      <c r="N263" s="34" t="s">
        <v>585</v>
      </c>
      <c r="O263" s="33" t="n">
        <f>1287</f>
        <v>1287.0</v>
      </c>
      <c r="P263" s="34" t="s">
        <v>48</v>
      </c>
      <c r="Q263" s="33" t="n">
        <f>1427</f>
        <v>1427.0</v>
      </c>
      <c r="R263" s="34" t="s">
        <v>49</v>
      </c>
      <c r="S263" s="35" t="n">
        <f>1396.33</f>
        <v>1396.33</v>
      </c>
      <c r="T263" s="32" t="n">
        <f>2350246</f>
        <v>2350246.0</v>
      </c>
      <c r="U263" s="32" t="n">
        <f>694113</f>
        <v>694113.0</v>
      </c>
      <c r="V263" s="32" t="n">
        <f>3300087785</f>
        <v>3.300087785E9</v>
      </c>
      <c r="W263" s="32" t="n">
        <f>984588316</f>
        <v>9.84588316E8</v>
      </c>
      <c r="X263" s="36" t="n">
        <f>18</f>
        <v>18.0</v>
      </c>
    </row>
    <row r="264">
      <c r="A264" s="27" t="s">
        <v>42</v>
      </c>
      <c r="B264" s="27" t="s">
        <v>835</v>
      </c>
      <c r="C264" s="27" t="s">
        <v>836</v>
      </c>
      <c r="D264" s="27" t="s">
        <v>837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454.6</f>
        <v>454.6</v>
      </c>
      <c r="L264" s="34" t="s">
        <v>48</v>
      </c>
      <c r="M264" s="33" t="n">
        <f>467.6</f>
        <v>467.6</v>
      </c>
      <c r="N264" s="34" t="s">
        <v>68</v>
      </c>
      <c r="O264" s="33" t="n">
        <f>453.2</f>
        <v>453.2</v>
      </c>
      <c r="P264" s="34" t="s">
        <v>79</v>
      </c>
      <c r="Q264" s="33" t="n">
        <f>460.2</f>
        <v>460.2</v>
      </c>
      <c r="R264" s="34" t="s">
        <v>49</v>
      </c>
      <c r="S264" s="35" t="n">
        <f>457.3</f>
        <v>457.3</v>
      </c>
      <c r="T264" s="32" t="n">
        <f>1533940</f>
        <v>1533940.0</v>
      </c>
      <c r="U264" s="32" t="n">
        <f>264270</f>
        <v>264270.0</v>
      </c>
      <c r="V264" s="32" t="n">
        <f>701311538</f>
        <v>7.01311538E8</v>
      </c>
      <c r="W264" s="32" t="n">
        <f>120269277</f>
        <v>1.20269277E8</v>
      </c>
      <c r="X264" s="36" t="n">
        <f>18</f>
        <v>18.0</v>
      </c>
    </row>
    <row r="265">
      <c r="A265" s="27" t="s">
        <v>42</v>
      </c>
      <c r="B265" s="27" t="s">
        <v>838</v>
      </c>
      <c r="C265" s="27" t="s">
        <v>839</v>
      </c>
      <c r="D265" s="27" t="s">
        <v>840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160.3</f>
        <v>160.3</v>
      </c>
      <c r="L265" s="34" t="s">
        <v>48</v>
      </c>
      <c r="M265" s="33" t="n">
        <f>171.1</f>
        <v>171.1</v>
      </c>
      <c r="N265" s="34" t="s">
        <v>49</v>
      </c>
      <c r="O265" s="33" t="n">
        <f>158.7</f>
        <v>158.7</v>
      </c>
      <c r="P265" s="34" t="s">
        <v>60</v>
      </c>
      <c r="Q265" s="33" t="n">
        <f>171.1</f>
        <v>171.1</v>
      </c>
      <c r="R265" s="34" t="s">
        <v>49</v>
      </c>
      <c r="S265" s="35" t="n">
        <f>164.64</f>
        <v>164.64</v>
      </c>
      <c r="T265" s="32" t="n">
        <f>7281100</f>
        <v>7281100.0</v>
      </c>
      <c r="U265" s="32" t="n">
        <f>9810</f>
        <v>9810.0</v>
      </c>
      <c r="V265" s="32" t="n">
        <f>1197507013</f>
        <v>1.197507013E9</v>
      </c>
      <c r="W265" s="32" t="n">
        <f>1573615</f>
        <v>1573615.0</v>
      </c>
      <c r="X265" s="36" t="n">
        <f>18</f>
        <v>18.0</v>
      </c>
    </row>
    <row r="266">
      <c r="A266" s="27" t="s">
        <v>42</v>
      </c>
      <c r="B266" s="27" t="s">
        <v>841</v>
      </c>
      <c r="C266" s="27" t="s">
        <v>842</v>
      </c>
      <c r="D266" s="27" t="s">
        <v>843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138</f>
        <v>138.0</v>
      </c>
      <c r="L266" s="34" t="s">
        <v>48</v>
      </c>
      <c r="M266" s="33" t="n">
        <f>146.4</f>
        <v>146.4</v>
      </c>
      <c r="N266" s="34" t="s">
        <v>49</v>
      </c>
      <c r="O266" s="33" t="n">
        <f>136.1</f>
        <v>136.1</v>
      </c>
      <c r="P266" s="34" t="s">
        <v>101</v>
      </c>
      <c r="Q266" s="33" t="n">
        <f>146.3</f>
        <v>146.3</v>
      </c>
      <c r="R266" s="34" t="s">
        <v>49</v>
      </c>
      <c r="S266" s="35" t="n">
        <f>141.52</f>
        <v>141.52</v>
      </c>
      <c r="T266" s="32" t="n">
        <f>9625150</f>
        <v>9625150.0</v>
      </c>
      <c r="U266" s="32" t="n">
        <f>710</f>
        <v>710.0</v>
      </c>
      <c r="V266" s="32" t="n">
        <f>1364798681</f>
        <v>1.364798681E9</v>
      </c>
      <c r="W266" s="32" t="n">
        <f>98620</f>
        <v>98620.0</v>
      </c>
      <c r="X266" s="36" t="n">
        <f>18</f>
        <v>18.0</v>
      </c>
    </row>
    <row r="267">
      <c r="A267" s="27" t="s">
        <v>42</v>
      </c>
      <c r="B267" s="27" t="s">
        <v>844</v>
      </c>
      <c r="C267" s="27" t="s">
        <v>845</v>
      </c>
      <c r="D267" s="27" t="s">
        <v>846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10.0</v>
      </c>
      <c r="K267" s="33" t="n">
        <f>829.8</f>
        <v>829.8</v>
      </c>
      <c r="L267" s="34" t="s">
        <v>48</v>
      </c>
      <c r="M267" s="33" t="n">
        <f>843.2</f>
        <v>843.2</v>
      </c>
      <c r="N267" s="34" t="s">
        <v>90</v>
      </c>
      <c r="O267" s="33" t="n">
        <f>826.1</f>
        <v>826.1</v>
      </c>
      <c r="P267" s="34" t="s">
        <v>48</v>
      </c>
      <c r="Q267" s="33" t="n">
        <f>840.6</f>
        <v>840.6</v>
      </c>
      <c r="R267" s="34" t="s">
        <v>49</v>
      </c>
      <c r="S267" s="35" t="n">
        <f>833.77</f>
        <v>833.77</v>
      </c>
      <c r="T267" s="32" t="n">
        <f>39296890</f>
        <v>3.929689E7</v>
      </c>
      <c r="U267" s="32" t="n">
        <f>34962970</f>
        <v>3.496297E7</v>
      </c>
      <c r="V267" s="32" t="n">
        <f>32542540347</f>
        <v>3.2542540347E10</v>
      </c>
      <c r="W267" s="32" t="n">
        <f>28926723154</f>
        <v>2.8926723154E10</v>
      </c>
      <c r="X267" s="36" t="n">
        <f>18</f>
        <v>18.0</v>
      </c>
    </row>
    <row r="268">
      <c r="A268" s="27" t="s">
        <v>42</v>
      </c>
      <c r="B268" s="27" t="s">
        <v>847</v>
      </c>
      <c r="C268" s="27" t="s">
        <v>848</v>
      </c>
      <c r="D268" s="27" t="s">
        <v>849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10.0</v>
      </c>
      <c r="K268" s="33" t="n">
        <f>1180</f>
        <v>1180.0</v>
      </c>
      <c r="L268" s="34" t="s">
        <v>48</v>
      </c>
      <c r="M268" s="33" t="n">
        <f>1201.5</f>
        <v>1201.5</v>
      </c>
      <c r="N268" s="34" t="s">
        <v>68</v>
      </c>
      <c r="O268" s="33" t="n">
        <f>1166</f>
        <v>1166.0</v>
      </c>
      <c r="P268" s="34" t="s">
        <v>64</v>
      </c>
      <c r="Q268" s="33" t="n">
        <f>1201.5</f>
        <v>1201.5</v>
      </c>
      <c r="R268" s="34" t="s">
        <v>49</v>
      </c>
      <c r="S268" s="35" t="n">
        <f>1186.44</f>
        <v>1186.44</v>
      </c>
      <c r="T268" s="32" t="n">
        <f>4098000</f>
        <v>4098000.0</v>
      </c>
      <c r="U268" s="32" t="n">
        <f>1958020</f>
        <v>1958020.0</v>
      </c>
      <c r="V268" s="32" t="n">
        <f>4839520034</f>
        <v>4.839520034E9</v>
      </c>
      <c r="W268" s="32" t="n">
        <f>2305509949</f>
        <v>2.305509949E9</v>
      </c>
      <c r="X268" s="36" t="n">
        <f>18</f>
        <v>18.0</v>
      </c>
    </row>
    <row r="269">
      <c r="A269" s="27" t="s">
        <v>42</v>
      </c>
      <c r="B269" s="27" t="s">
        <v>850</v>
      </c>
      <c r="C269" s="27" t="s">
        <v>851</v>
      </c>
      <c r="D269" s="27" t="s">
        <v>852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10.0</v>
      </c>
      <c r="K269" s="33" t="n">
        <f>753.9</f>
        <v>753.9</v>
      </c>
      <c r="L269" s="34" t="s">
        <v>48</v>
      </c>
      <c r="M269" s="33" t="n">
        <f>771.8</f>
        <v>771.8</v>
      </c>
      <c r="N269" s="34" t="s">
        <v>160</v>
      </c>
      <c r="O269" s="33" t="n">
        <f>749.5</f>
        <v>749.5</v>
      </c>
      <c r="P269" s="34" t="s">
        <v>101</v>
      </c>
      <c r="Q269" s="33" t="n">
        <f>761.6</f>
        <v>761.6</v>
      </c>
      <c r="R269" s="34" t="s">
        <v>49</v>
      </c>
      <c r="S269" s="35" t="n">
        <f>757.22</f>
        <v>757.22</v>
      </c>
      <c r="T269" s="32" t="n">
        <f>43929810</f>
        <v>4.392981E7</v>
      </c>
      <c r="U269" s="32" t="n">
        <f>41907860</f>
        <v>4.190786E7</v>
      </c>
      <c r="V269" s="32" t="n">
        <f>33149733851</f>
        <v>3.3149733851E10</v>
      </c>
      <c r="W269" s="32" t="n">
        <f>31619308099</f>
        <v>3.1619308099E10</v>
      </c>
      <c r="X269" s="36" t="n">
        <f>18</f>
        <v>18.0</v>
      </c>
    </row>
    <row r="270">
      <c r="A270" s="27" t="s">
        <v>42</v>
      </c>
      <c r="B270" s="27" t="s">
        <v>853</v>
      </c>
      <c r="C270" s="27" t="s">
        <v>854</v>
      </c>
      <c r="D270" s="27" t="s">
        <v>855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3211</f>
        <v>3211.0</v>
      </c>
      <c r="L270" s="34" t="s">
        <v>48</v>
      </c>
      <c r="M270" s="33" t="n">
        <f>3272</f>
        <v>3272.0</v>
      </c>
      <c r="N270" s="34" t="s">
        <v>59</v>
      </c>
      <c r="O270" s="33" t="n">
        <f>3121</f>
        <v>3121.0</v>
      </c>
      <c r="P270" s="34" t="s">
        <v>274</v>
      </c>
      <c r="Q270" s="33" t="n">
        <f>3245</f>
        <v>3245.0</v>
      </c>
      <c r="R270" s="34" t="s">
        <v>49</v>
      </c>
      <c r="S270" s="35" t="n">
        <f>3211.39</f>
        <v>3211.39</v>
      </c>
      <c r="T270" s="32" t="n">
        <f>1700579</f>
        <v>1700579.0</v>
      </c>
      <c r="U270" s="32" t="n">
        <f>410324</f>
        <v>410324.0</v>
      </c>
      <c r="V270" s="32" t="n">
        <f>5454254670</f>
        <v>5.45425467E9</v>
      </c>
      <c r="W270" s="32" t="n">
        <f>1304789999</f>
        <v>1.304789999E9</v>
      </c>
      <c r="X270" s="36" t="n">
        <f>18</f>
        <v>18.0</v>
      </c>
    </row>
    <row r="271">
      <c r="A271" s="27" t="s">
        <v>42</v>
      </c>
      <c r="B271" s="27" t="s">
        <v>856</v>
      </c>
      <c r="C271" s="27" t="s">
        <v>857</v>
      </c>
      <c r="D271" s="27" t="s">
        <v>858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1876</f>
        <v>1876.0</v>
      </c>
      <c r="L271" s="34" t="s">
        <v>48</v>
      </c>
      <c r="M271" s="33" t="n">
        <f>1903</f>
        <v>1903.0</v>
      </c>
      <c r="N271" s="34" t="s">
        <v>60</v>
      </c>
      <c r="O271" s="33" t="n">
        <f>1835</f>
        <v>1835.0</v>
      </c>
      <c r="P271" s="34" t="s">
        <v>94</v>
      </c>
      <c r="Q271" s="33" t="n">
        <f>1889</f>
        <v>1889.0</v>
      </c>
      <c r="R271" s="34" t="s">
        <v>49</v>
      </c>
      <c r="S271" s="35" t="n">
        <f>1880.06</f>
        <v>1880.06</v>
      </c>
      <c r="T271" s="32" t="n">
        <f>263992</f>
        <v>263992.0</v>
      </c>
      <c r="U271" s="32" t="n">
        <f>1410</f>
        <v>1410.0</v>
      </c>
      <c r="V271" s="32" t="n">
        <f>494291910</f>
        <v>4.9429191E8</v>
      </c>
      <c r="W271" s="32" t="n">
        <f>2658581</f>
        <v>2658581.0</v>
      </c>
      <c r="X271" s="36" t="n">
        <f>18</f>
        <v>18.0</v>
      </c>
    </row>
    <row r="272">
      <c r="A272" s="27" t="s">
        <v>42</v>
      </c>
      <c r="B272" s="27" t="s">
        <v>859</v>
      </c>
      <c r="C272" s="27" t="s">
        <v>860</v>
      </c>
      <c r="D272" s="27" t="s">
        <v>861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1514</f>
        <v>1514.0</v>
      </c>
      <c r="L272" s="34" t="s">
        <v>48</v>
      </c>
      <c r="M272" s="33" t="n">
        <f>1609</f>
        <v>1609.0</v>
      </c>
      <c r="N272" s="34" t="s">
        <v>49</v>
      </c>
      <c r="O272" s="33" t="n">
        <f>1494</f>
        <v>1494.0</v>
      </c>
      <c r="P272" s="34" t="s">
        <v>48</v>
      </c>
      <c r="Q272" s="33" t="n">
        <f>1605</f>
        <v>1605.0</v>
      </c>
      <c r="R272" s="34" t="s">
        <v>49</v>
      </c>
      <c r="S272" s="35" t="n">
        <f>1559.94</f>
        <v>1559.94</v>
      </c>
      <c r="T272" s="32" t="n">
        <f>953625</f>
        <v>953625.0</v>
      </c>
      <c r="U272" s="32" t="n">
        <f>343824</f>
        <v>343824.0</v>
      </c>
      <c r="V272" s="32" t="n">
        <f>1482364040</f>
        <v>1.48236404E9</v>
      </c>
      <c r="W272" s="32" t="n">
        <f>535855458</f>
        <v>5.35855458E8</v>
      </c>
      <c r="X272" s="36" t="n">
        <f>18</f>
        <v>18.0</v>
      </c>
    </row>
    <row r="273">
      <c r="A273" s="27" t="s">
        <v>42</v>
      </c>
      <c r="B273" s="27" t="s">
        <v>862</v>
      </c>
      <c r="C273" s="27" t="s">
        <v>863</v>
      </c>
      <c r="D273" s="27" t="s">
        <v>864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10.0</v>
      </c>
      <c r="K273" s="33" t="n">
        <f>555.3</f>
        <v>555.3</v>
      </c>
      <c r="L273" s="34" t="s">
        <v>48</v>
      </c>
      <c r="M273" s="33" t="n">
        <f>610.4</f>
        <v>610.4</v>
      </c>
      <c r="N273" s="34" t="s">
        <v>49</v>
      </c>
      <c r="O273" s="33" t="n">
        <f>545.1</f>
        <v>545.1</v>
      </c>
      <c r="P273" s="34" t="s">
        <v>94</v>
      </c>
      <c r="Q273" s="33" t="n">
        <f>607.3</f>
        <v>607.3</v>
      </c>
      <c r="R273" s="34" t="s">
        <v>49</v>
      </c>
      <c r="S273" s="35" t="n">
        <f>576.31</f>
        <v>576.31</v>
      </c>
      <c r="T273" s="32" t="n">
        <f>17422620</f>
        <v>1.742262E7</v>
      </c>
      <c r="U273" s="32" t="n">
        <f>1116500</f>
        <v>1116500.0</v>
      </c>
      <c r="V273" s="32" t="n">
        <f>10139745613</f>
        <v>1.0139745613E10</v>
      </c>
      <c r="W273" s="32" t="n">
        <f>689929570</f>
        <v>6.8992957E8</v>
      </c>
      <c r="X273" s="36" t="n">
        <f>18</f>
        <v>18.0</v>
      </c>
    </row>
    <row r="274">
      <c r="A274" s="27" t="s">
        <v>42</v>
      </c>
      <c r="B274" s="27" t="s">
        <v>865</v>
      </c>
      <c r="C274" s="27" t="s">
        <v>866</v>
      </c>
      <c r="D274" s="27" t="s">
        <v>867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10.0</v>
      </c>
      <c r="K274" s="33" t="n">
        <f>1227.5</f>
        <v>1227.5</v>
      </c>
      <c r="L274" s="34" t="s">
        <v>48</v>
      </c>
      <c r="M274" s="33" t="n">
        <f>1234.5</f>
        <v>1234.5</v>
      </c>
      <c r="N274" s="34" t="s">
        <v>68</v>
      </c>
      <c r="O274" s="33" t="n">
        <f>1192.5</f>
        <v>1192.5</v>
      </c>
      <c r="P274" s="34" t="s">
        <v>105</v>
      </c>
      <c r="Q274" s="33" t="n">
        <f>1217.5</f>
        <v>1217.5</v>
      </c>
      <c r="R274" s="34" t="s">
        <v>49</v>
      </c>
      <c r="S274" s="35" t="n">
        <f>1214.17</f>
        <v>1214.17</v>
      </c>
      <c r="T274" s="32" t="n">
        <f>409800</f>
        <v>409800.0</v>
      </c>
      <c r="U274" s="32" t="n">
        <f>82030</f>
        <v>82030.0</v>
      </c>
      <c r="V274" s="32" t="n">
        <f>496715755</f>
        <v>4.96715755E8</v>
      </c>
      <c r="W274" s="32" t="n">
        <f>99436810</f>
        <v>9.943681E7</v>
      </c>
      <c r="X274" s="36" t="n">
        <f>18</f>
        <v>18.0</v>
      </c>
    </row>
    <row r="275">
      <c r="A275" s="27" t="s">
        <v>42</v>
      </c>
      <c r="B275" s="27" t="s">
        <v>868</v>
      </c>
      <c r="C275" s="27" t="s">
        <v>869</v>
      </c>
      <c r="D275" s="27" t="s">
        <v>870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2050</f>
        <v>2050.0</v>
      </c>
      <c r="L275" s="34" t="s">
        <v>48</v>
      </c>
      <c r="M275" s="33" t="n">
        <f>2218</f>
        <v>2218.0</v>
      </c>
      <c r="N275" s="34" t="s">
        <v>49</v>
      </c>
      <c r="O275" s="33" t="n">
        <f>2027</f>
        <v>2027.0</v>
      </c>
      <c r="P275" s="34" t="s">
        <v>48</v>
      </c>
      <c r="Q275" s="33" t="n">
        <f>2216</f>
        <v>2216.0</v>
      </c>
      <c r="R275" s="34" t="s">
        <v>49</v>
      </c>
      <c r="S275" s="35" t="n">
        <f>2148.67</f>
        <v>2148.67</v>
      </c>
      <c r="T275" s="32" t="n">
        <f>141716</f>
        <v>141716.0</v>
      </c>
      <c r="U275" s="32" t="n">
        <f>53007</f>
        <v>53007.0</v>
      </c>
      <c r="V275" s="32" t="n">
        <f>294583836</f>
        <v>2.94583836E8</v>
      </c>
      <c r="W275" s="32" t="n">
        <f>110096260</f>
        <v>1.1009626E8</v>
      </c>
      <c r="X275" s="36" t="n">
        <f>18</f>
        <v>18.0</v>
      </c>
    </row>
    <row r="276">
      <c r="A276" s="27" t="s">
        <v>42</v>
      </c>
      <c r="B276" s="27" t="s">
        <v>871</v>
      </c>
      <c r="C276" s="27" t="s">
        <v>872</v>
      </c>
      <c r="D276" s="27" t="s">
        <v>873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10.0</v>
      </c>
      <c r="K276" s="33" t="n">
        <f>1164.5</f>
        <v>1164.5</v>
      </c>
      <c r="L276" s="34" t="s">
        <v>48</v>
      </c>
      <c r="M276" s="33" t="n">
        <f>1208</f>
        <v>1208.0</v>
      </c>
      <c r="N276" s="34" t="s">
        <v>49</v>
      </c>
      <c r="O276" s="33" t="n">
        <f>1164.5</f>
        <v>1164.5</v>
      </c>
      <c r="P276" s="34" t="s">
        <v>48</v>
      </c>
      <c r="Q276" s="33" t="n">
        <f>1205</f>
        <v>1205.0</v>
      </c>
      <c r="R276" s="34" t="s">
        <v>49</v>
      </c>
      <c r="S276" s="35" t="n">
        <f>1187.08</f>
        <v>1187.08</v>
      </c>
      <c r="T276" s="32" t="n">
        <f>129000</f>
        <v>129000.0</v>
      </c>
      <c r="U276" s="32" t="n">
        <f>2460</f>
        <v>2460.0</v>
      </c>
      <c r="V276" s="32" t="n">
        <f>152871992</f>
        <v>1.52871992E8</v>
      </c>
      <c r="W276" s="32" t="n">
        <f>2913722</f>
        <v>2913722.0</v>
      </c>
      <c r="X276" s="36" t="n">
        <f>18</f>
        <v>18.0</v>
      </c>
    </row>
    <row r="277">
      <c r="A277" s="27" t="s">
        <v>42</v>
      </c>
      <c r="B277" s="27" t="s">
        <v>874</v>
      </c>
      <c r="C277" s="27" t="s">
        <v>875</v>
      </c>
      <c r="D277" s="27" t="s">
        <v>876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2044</f>
        <v>2044.0</v>
      </c>
      <c r="L277" s="34" t="s">
        <v>48</v>
      </c>
      <c r="M277" s="33" t="n">
        <f>2245</f>
        <v>2245.0</v>
      </c>
      <c r="N277" s="34" t="s">
        <v>68</v>
      </c>
      <c r="O277" s="33" t="n">
        <f>2000</f>
        <v>2000.0</v>
      </c>
      <c r="P277" s="34" t="s">
        <v>48</v>
      </c>
      <c r="Q277" s="33" t="n">
        <f>2182</f>
        <v>2182.0</v>
      </c>
      <c r="R277" s="34" t="s">
        <v>49</v>
      </c>
      <c r="S277" s="35" t="n">
        <f>2109.78</f>
        <v>2109.78</v>
      </c>
      <c r="T277" s="32" t="n">
        <f>441396</f>
        <v>441396.0</v>
      </c>
      <c r="U277" s="32" t="n">
        <f>151533</f>
        <v>151533.0</v>
      </c>
      <c r="V277" s="32" t="n">
        <f>933467289</f>
        <v>9.33467289E8</v>
      </c>
      <c r="W277" s="32" t="n">
        <f>321324138</f>
        <v>3.21324138E8</v>
      </c>
      <c r="X277" s="36" t="n">
        <f>18</f>
        <v>18.0</v>
      </c>
    </row>
    <row r="278">
      <c r="A278" s="27" t="s">
        <v>42</v>
      </c>
      <c r="B278" s="27" t="s">
        <v>877</v>
      </c>
      <c r="C278" s="27" t="s">
        <v>878</v>
      </c>
      <c r="D278" s="27" t="s">
        <v>879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1983</f>
        <v>1983.0</v>
      </c>
      <c r="L278" s="34" t="s">
        <v>48</v>
      </c>
      <c r="M278" s="33" t="n">
        <f>2005</f>
        <v>2005.0</v>
      </c>
      <c r="N278" s="34" t="s">
        <v>60</v>
      </c>
      <c r="O278" s="33" t="n">
        <f>1929</f>
        <v>1929.0</v>
      </c>
      <c r="P278" s="34" t="s">
        <v>94</v>
      </c>
      <c r="Q278" s="33" t="n">
        <f>1972</f>
        <v>1972.0</v>
      </c>
      <c r="R278" s="34" t="s">
        <v>49</v>
      </c>
      <c r="S278" s="35" t="n">
        <f>1973.06</f>
        <v>1973.06</v>
      </c>
      <c r="T278" s="32" t="n">
        <f>5827108</f>
        <v>5827108.0</v>
      </c>
      <c r="U278" s="32" t="n">
        <f>5013458</f>
        <v>5013458.0</v>
      </c>
      <c r="V278" s="32" t="n">
        <f>11529939368</f>
        <v>1.1529939368E10</v>
      </c>
      <c r="W278" s="32" t="n">
        <f>9930804934</f>
        <v>9.930804934E9</v>
      </c>
      <c r="X278" s="36" t="n">
        <f>18</f>
        <v>18.0</v>
      </c>
    </row>
    <row r="279">
      <c r="A279" s="27" t="s">
        <v>42</v>
      </c>
      <c r="B279" s="27" t="s">
        <v>880</v>
      </c>
      <c r="C279" s="27" t="s">
        <v>881</v>
      </c>
      <c r="D279" s="27" t="s">
        <v>882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6881</f>
        <v>6881.0</v>
      </c>
      <c r="L279" s="34" t="s">
        <v>48</v>
      </c>
      <c r="M279" s="33" t="n">
        <f>7030</f>
        <v>7030.0</v>
      </c>
      <c r="N279" s="34" t="s">
        <v>68</v>
      </c>
      <c r="O279" s="33" t="n">
        <f>6518</f>
        <v>6518.0</v>
      </c>
      <c r="P279" s="34" t="s">
        <v>94</v>
      </c>
      <c r="Q279" s="33" t="n">
        <f>6957</f>
        <v>6957.0</v>
      </c>
      <c r="R279" s="34" t="s">
        <v>49</v>
      </c>
      <c r="S279" s="35" t="n">
        <f>6814.89</f>
        <v>6814.89</v>
      </c>
      <c r="T279" s="32" t="n">
        <f>119767</f>
        <v>119767.0</v>
      </c>
      <c r="U279" s="32" t="str">
        <f>"－"</f>
        <v>－</v>
      </c>
      <c r="V279" s="32" t="n">
        <f>817659786</f>
        <v>8.17659786E8</v>
      </c>
      <c r="W279" s="32" t="str">
        <f>"－"</f>
        <v>－</v>
      </c>
      <c r="X279" s="36" t="n">
        <f>18</f>
        <v>18.0</v>
      </c>
    </row>
    <row r="280">
      <c r="A280" s="27" t="s">
        <v>42</v>
      </c>
      <c r="B280" s="27" t="s">
        <v>883</v>
      </c>
      <c r="C280" s="27" t="s">
        <v>884</v>
      </c>
      <c r="D280" s="27" t="s">
        <v>885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10.0</v>
      </c>
      <c r="K280" s="33" t="n">
        <f>2680</f>
        <v>2680.0</v>
      </c>
      <c r="L280" s="34" t="s">
        <v>48</v>
      </c>
      <c r="M280" s="33" t="n">
        <f>2949</f>
        <v>2949.0</v>
      </c>
      <c r="N280" s="34" t="s">
        <v>68</v>
      </c>
      <c r="O280" s="33" t="n">
        <f>2652</f>
        <v>2652.0</v>
      </c>
      <c r="P280" s="34" t="s">
        <v>48</v>
      </c>
      <c r="Q280" s="33" t="n">
        <f>2949</f>
        <v>2949.0</v>
      </c>
      <c r="R280" s="34" t="s">
        <v>68</v>
      </c>
      <c r="S280" s="35" t="n">
        <f>2798.77</f>
        <v>2798.77</v>
      </c>
      <c r="T280" s="32" t="n">
        <f>1050</f>
        <v>1050.0</v>
      </c>
      <c r="U280" s="32" t="n">
        <f>10</f>
        <v>10.0</v>
      </c>
      <c r="V280" s="32" t="n">
        <f>2925126</f>
        <v>2925126.0</v>
      </c>
      <c r="W280" s="32" t="n">
        <f>28851</f>
        <v>28851.0</v>
      </c>
      <c r="X280" s="36" t="n">
        <f>13</f>
        <v>13.0</v>
      </c>
    </row>
    <row r="281">
      <c r="A281" s="27" t="s">
        <v>42</v>
      </c>
      <c r="B281" s="27" t="s">
        <v>886</v>
      </c>
      <c r="C281" s="27" t="s">
        <v>887</v>
      </c>
      <c r="D281" s="27" t="s">
        <v>888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3722</f>
        <v>3722.0</v>
      </c>
      <c r="L281" s="34" t="s">
        <v>48</v>
      </c>
      <c r="M281" s="33" t="n">
        <f>4015</f>
        <v>4015.0</v>
      </c>
      <c r="N281" s="34" t="s">
        <v>49</v>
      </c>
      <c r="O281" s="33" t="n">
        <f>3647</f>
        <v>3647.0</v>
      </c>
      <c r="P281" s="34" t="s">
        <v>48</v>
      </c>
      <c r="Q281" s="33" t="n">
        <f>4015</f>
        <v>4015.0</v>
      </c>
      <c r="R281" s="34" t="s">
        <v>49</v>
      </c>
      <c r="S281" s="35" t="n">
        <f>3867.89</f>
        <v>3867.89</v>
      </c>
      <c r="T281" s="32" t="n">
        <f>489562</f>
        <v>489562.0</v>
      </c>
      <c r="U281" s="32" t="n">
        <f>424011</f>
        <v>424011.0</v>
      </c>
      <c r="V281" s="32" t="n">
        <f>1874526058</f>
        <v>1.874526058E9</v>
      </c>
      <c r="W281" s="32" t="n">
        <f>1622620995</f>
        <v>1.622620995E9</v>
      </c>
      <c r="X281" s="36" t="n">
        <f>18</f>
        <v>18.0</v>
      </c>
    </row>
    <row r="282">
      <c r="A282" s="27" t="s">
        <v>42</v>
      </c>
      <c r="B282" s="27" t="s">
        <v>889</v>
      </c>
      <c r="C282" s="27" t="s">
        <v>890</v>
      </c>
      <c r="D282" s="27" t="s">
        <v>891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54640</f>
        <v>54640.0</v>
      </c>
      <c r="L282" s="34" t="s">
        <v>48</v>
      </c>
      <c r="M282" s="33" t="n">
        <f>59680</f>
        <v>59680.0</v>
      </c>
      <c r="N282" s="34" t="s">
        <v>68</v>
      </c>
      <c r="O282" s="33" t="n">
        <f>53310</f>
        <v>53310.0</v>
      </c>
      <c r="P282" s="34" t="s">
        <v>48</v>
      </c>
      <c r="Q282" s="33" t="n">
        <f>59240</f>
        <v>59240.0</v>
      </c>
      <c r="R282" s="34" t="s">
        <v>49</v>
      </c>
      <c r="S282" s="35" t="n">
        <f>56963.33</f>
        <v>56963.33</v>
      </c>
      <c r="T282" s="32" t="n">
        <f>106544</f>
        <v>106544.0</v>
      </c>
      <c r="U282" s="32" t="n">
        <f>80243</f>
        <v>80243.0</v>
      </c>
      <c r="V282" s="32" t="n">
        <f>5989202264</f>
        <v>5.989202264E9</v>
      </c>
      <c r="W282" s="32" t="n">
        <f>4505679184</f>
        <v>4.505679184E9</v>
      </c>
      <c r="X282" s="36" t="n">
        <f>18</f>
        <v>18.0</v>
      </c>
    </row>
    <row r="283">
      <c r="A283" s="27" t="s">
        <v>42</v>
      </c>
      <c r="B283" s="27" t="s">
        <v>892</v>
      </c>
      <c r="C283" s="27" t="s">
        <v>893</v>
      </c>
      <c r="D283" s="27" t="s">
        <v>894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33130</f>
        <v>33130.0</v>
      </c>
      <c r="L283" s="34" t="s">
        <v>48</v>
      </c>
      <c r="M283" s="33" t="n">
        <f>35830</f>
        <v>35830.0</v>
      </c>
      <c r="N283" s="34" t="s">
        <v>64</v>
      </c>
      <c r="O283" s="33" t="n">
        <f>32770</f>
        <v>32770.0</v>
      </c>
      <c r="P283" s="34" t="s">
        <v>48</v>
      </c>
      <c r="Q283" s="33" t="n">
        <f>35710</f>
        <v>35710.0</v>
      </c>
      <c r="R283" s="34" t="s">
        <v>49</v>
      </c>
      <c r="S283" s="35" t="n">
        <f>34731.25</f>
        <v>34731.25</v>
      </c>
      <c r="T283" s="32" t="n">
        <f>6300</f>
        <v>6300.0</v>
      </c>
      <c r="U283" s="32" t="str">
        <f>"－"</f>
        <v>－</v>
      </c>
      <c r="V283" s="32" t="n">
        <f>215881470</f>
        <v>2.1588147E8</v>
      </c>
      <c r="W283" s="32" t="str">
        <f>"－"</f>
        <v>－</v>
      </c>
      <c r="X283" s="36" t="n">
        <f>16</f>
        <v>16.0</v>
      </c>
    </row>
    <row r="284">
      <c r="A284" s="27" t="s">
        <v>42</v>
      </c>
      <c r="B284" s="27" t="s">
        <v>895</v>
      </c>
      <c r="C284" s="27" t="s">
        <v>896</v>
      </c>
      <c r="D284" s="27" t="s">
        <v>897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1207</f>
        <v>1207.0</v>
      </c>
      <c r="L284" s="34" t="s">
        <v>48</v>
      </c>
      <c r="M284" s="33" t="n">
        <f>1249</f>
        <v>1249.0</v>
      </c>
      <c r="N284" s="34" t="s">
        <v>49</v>
      </c>
      <c r="O284" s="33" t="n">
        <f>1202</f>
        <v>1202.0</v>
      </c>
      <c r="P284" s="34" t="s">
        <v>105</v>
      </c>
      <c r="Q284" s="33" t="n">
        <f>1249</f>
        <v>1249.0</v>
      </c>
      <c r="R284" s="34" t="s">
        <v>49</v>
      </c>
      <c r="S284" s="35" t="n">
        <f>1220.28</f>
        <v>1220.28</v>
      </c>
      <c r="T284" s="32" t="n">
        <f>2545587</f>
        <v>2545587.0</v>
      </c>
      <c r="U284" s="32" t="n">
        <f>2365000</f>
        <v>2365000.0</v>
      </c>
      <c r="V284" s="32" t="n">
        <f>3128038982</f>
        <v>3.128038982E9</v>
      </c>
      <c r="W284" s="32" t="n">
        <f>2907534610</f>
        <v>2.90753461E9</v>
      </c>
      <c r="X284" s="36" t="n">
        <f>18</f>
        <v>18.0</v>
      </c>
    </row>
    <row r="285">
      <c r="A285" s="27" t="s">
        <v>42</v>
      </c>
      <c r="B285" s="27" t="s">
        <v>898</v>
      </c>
      <c r="C285" s="27" t="s">
        <v>899</v>
      </c>
      <c r="D285" s="27" t="s">
        <v>900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1215</f>
        <v>1215.0</v>
      </c>
      <c r="L285" s="34" t="s">
        <v>48</v>
      </c>
      <c r="M285" s="33" t="n">
        <f>1250</f>
        <v>1250.0</v>
      </c>
      <c r="N285" s="34" t="s">
        <v>49</v>
      </c>
      <c r="O285" s="33" t="n">
        <f>1203</f>
        <v>1203.0</v>
      </c>
      <c r="P285" s="34" t="s">
        <v>105</v>
      </c>
      <c r="Q285" s="33" t="n">
        <f>1225</f>
        <v>1225.0</v>
      </c>
      <c r="R285" s="34" t="s">
        <v>49</v>
      </c>
      <c r="S285" s="35" t="n">
        <f>1220.61</f>
        <v>1220.61</v>
      </c>
      <c r="T285" s="32" t="n">
        <f>1216157</f>
        <v>1216157.0</v>
      </c>
      <c r="U285" s="32" t="n">
        <f>1148802</f>
        <v>1148802.0</v>
      </c>
      <c r="V285" s="32" t="n">
        <f>1476376700</f>
        <v>1.4763767E9</v>
      </c>
      <c r="W285" s="32" t="n">
        <f>1394153690</f>
        <v>1.39415369E9</v>
      </c>
      <c r="X285" s="36" t="n">
        <f>18</f>
        <v>18.0</v>
      </c>
    </row>
    <row r="286">
      <c r="A286" s="27" t="s">
        <v>42</v>
      </c>
      <c r="B286" s="27" t="s">
        <v>901</v>
      </c>
      <c r="C286" s="27" t="s">
        <v>902</v>
      </c>
      <c r="D286" s="27" t="s">
        <v>903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2132</f>
        <v>2132.0</v>
      </c>
      <c r="L286" s="34" t="s">
        <v>48</v>
      </c>
      <c r="M286" s="33" t="n">
        <f>2325</f>
        <v>2325.0</v>
      </c>
      <c r="N286" s="34" t="s">
        <v>49</v>
      </c>
      <c r="O286" s="33" t="n">
        <f>2107</f>
        <v>2107.0</v>
      </c>
      <c r="P286" s="34" t="s">
        <v>48</v>
      </c>
      <c r="Q286" s="33" t="n">
        <f>2325</f>
        <v>2325.0</v>
      </c>
      <c r="R286" s="34" t="s">
        <v>49</v>
      </c>
      <c r="S286" s="35" t="n">
        <f>2247.06</f>
        <v>2247.06</v>
      </c>
      <c r="T286" s="32" t="n">
        <f>288157</f>
        <v>288157.0</v>
      </c>
      <c r="U286" s="32" t="n">
        <f>48506</f>
        <v>48506.0</v>
      </c>
      <c r="V286" s="32" t="n">
        <f>648002377</f>
        <v>6.48002377E8</v>
      </c>
      <c r="W286" s="32" t="n">
        <f>105947237</f>
        <v>1.05947237E8</v>
      </c>
      <c r="X286" s="36" t="n">
        <f>18</f>
        <v>18.0</v>
      </c>
    </row>
    <row r="287">
      <c r="A287" s="27" t="s">
        <v>42</v>
      </c>
      <c r="B287" s="27" t="s">
        <v>904</v>
      </c>
      <c r="C287" s="27" t="s">
        <v>905</v>
      </c>
      <c r="D287" s="27" t="s">
        <v>906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17800</f>
        <v>17800.0</v>
      </c>
      <c r="L287" s="34" t="s">
        <v>48</v>
      </c>
      <c r="M287" s="33" t="n">
        <f>17970</f>
        <v>17970.0</v>
      </c>
      <c r="N287" s="34" t="s">
        <v>79</v>
      </c>
      <c r="O287" s="33" t="n">
        <f>16775</f>
        <v>16775.0</v>
      </c>
      <c r="P287" s="34" t="s">
        <v>48</v>
      </c>
      <c r="Q287" s="33" t="n">
        <f>17475</f>
        <v>17475.0</v>
      </c>
      <c r="R287" s="34" t="s">
        <v>49</v>
      </c>
      <c r="S287" s="35" t="n">
        <f>17450.56</f>
        <v>17450.56</v>
      </c>
      <c r="T287" s="32" t="n">
        <f>9891</f>
        <v>9891.0</v>
      </c>
      <c r="U287" s="32" t="str">
        <f>"－"</f>
        <v>－</v>
      </c>
      <c r="V287" s="32" t="n">
        <f>172278920</f>
        <v>1.7227892E8</v>
      </c>
      <c r="W287" s="32" t="str">
        <f>"－"</f>
        <v>－</v>
      </c>
      <c r="X287" s="36" t="n">
        <f>18</f>
        <v>18.0</v>
      </c>
    </row>
    <row r="288">
      <c r="A288" s="27" t="s">
        <v>42</v>
      </c>
      <c r="B288" s="27" t="s">
        <v>907</v>
      </c>
      <c r="C288" s="27" t="s">
        <v>908</v>
      </c>
      <c r="D288" s="27" t="s">
        <v>909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2173</f>
        <v>2173.0</v>
      </c>
      <c r="L288" s="34" t="s">
        <v>48</v>
      </c>
      <c r="M288" s="33" t="n">
        <f>2218</f>
        <v>2218.0</v>
      </c>
      <c r="N288" s="34" t="s">
        <v>49</v>
      </c>
      <c r="O288" s="33" t="n">
        <f>2123</f>
        <v>2123.0</v>
      </c>
      <c r="P288" s="34" t="s">
        <v>105</v>
      </c>
      <c r="Q288" s="33" t="n">
        <f>2150</f>
        <v>2150.0</v>
      </c>
      <c r="R288" s="34" t="s">
        <v>49</v>
      </c>
      <c r="S288" s="35" t="n">
        <f>2159</f>
        <v>2159.0</v>
      </c>
      <c r="T288" s="32" t="n">
        <f>1222544</f>
        <v>1222544.0</v>
      </c>
      <c r="U288" s="32" t="n">
        <f>791810</f>
        <v>791810.0</v>
      </c>
      <c r="V288" s="32" t="n">
        <f>2646887443</f>
        <v>2.646887443E9</v>
      </c>
      <c r="W288" s="32" t="n">
        <f>1711174410</f>
        <v>1.71117441E9</v>
      </c>
      <c r="X288" s="36" t="n">
        <f>18</f>
        <v>18.0</v>
      </c>
    </row>
    <row r="289">
      <c r="A289" s="27" t="s">
        <v>42</v>
      </c>
      <c r="B289" s="27" t="s">
        <v>910</v>
      </c>
      <c r="C289" s="27" t="s">
        <v>911</v>
      </c>
      <c r="D289" s="27" t="s">
        <v>912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2477.5</f>
        <v>2477.5</v>
      </c>
      <c r="L289" s="34" t="s">
        <v>48</v>
      </c>
      <c r="M289" s="33" t="n">
        <f>2567</f>
        <v>2567.0</v>
      </c>
      <c r="N289" s="34" t="s">
        <v>79</v>
      </c>
      <c r="O289" s="33" t="n">
        <f>2386</f>
        <v>2386.0</v>
      </c>
      <c r="P289" s="34" t="s">
        <v>60</v>
      </c>
      <c r="Q289" s="33" t="n">
        <f>2530.5</f>
        <v>2530.5</v>
      </c>
      <c r="R289" s="34" t="s">
        <v>49</v>
      </c>
      <c r="S289" s="35" t="n">
        <f>2488.44</f>
        <v>2488.44</v>
      </c>
      <c r="T289" s="32" t="n">
        <f>392260</f>
        <v>392260.0</v>
      </c>
      <c r="U289" s="32" t="str">
        <f>"－"</f>
        <v>－</v>
      </c>
      <c r="V289" s="32" t="n">
        <f>969368305</f>
        <v>9.69368305E8</v>
      </c>
      <c r="W289" s="32" t="str">
        <f>"－"</f>
        <v>－</v>
      </c>
      <c r="X289" s="36" t="n">
        <f>18</f>
        <v>18.0</v>
      </c>
    </row>
    <row r="290">
      <c r="A290" s="27" t="s">
        <v>42</v>
      </c>
      <c r="B290" s="27" t="s">
        <v>913</v>
      </c>
      <c r="C290" s="27" t="s">
        <v>914</v>
      </c>
      <c r="D290" s="27" t="s">
        <v>915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777.4</f>
        <v>777.4</v>
      </c>
      <c r="L290" s="34" t="s">
        <v>48</v>
      </c>
      <c r="M290" s="33" t="n">
        <f>784.9</f>
        <v>784.9</v>
      </c>
      <c r="N290" s="34" t="s">
        <v>203</v>
      </c>
      <c r="O290" s="33" t="n">
        <f>776</f>
        <v>776.0</v>
      </c>
      <c r="P290" s="34" t="s">
        <v>69</v>
      </c>
      <c r="Q290" s="33" t="n">
        <f>782.1</f>
        <v>782.1</v>
      </c>
      <c r="R290" s="34" t="s">
        <v>49</v>
      </c>
      <c r="S290" s="35" t="n">
        <f>780.45</f>
        <v>780.45</v>
      </c>
      <c r="T290" s="32" t="n">
        <f>615720</f>
        <v>615720.0</v>
      </c>
      <c r="U290" s="32" t="n">
        <f>487370</f>
        <v>487370.0</v>
      </c>
      <c r="V290" s="32" t="n">
        <f>480254561</f>
        <v>4.80254561E8</v>
      </c>
      <c r="W290" s="32" t="n">
        <f>379904517</f>
        <v>3.79904517E8</v>
      </c>
      <c r="X290" s="36" t="n">
        <f>18</f>
        <v>18.0</v>
      </c>
    </row>
    <row r="291">
      <c r="A291" s="27" t="s">
        <v>42</v>
      </c>
      <c r="B291" s="27" t="s">
        <v>916</v>
      </c>
      <c r="C291" s="27" t="s">
        <v>917</v>
      </c>
      <c r="D291" s="27" t="s">
        <v>918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10.0</v>
      </c>
      <c r="K291" s="33" t="n">
        <f>2052</f>
        <v>2052.0</v>
      </c>
      <c r="L291" s="34" t="s">
        <v>48</v>
      </c>
      <c r="M291" s="33" t="n">
        <f>2117</f>
        <v>2117.0</v>
      </c>
      <c r="N291" s="34" t="s">
        <v>49</v>
      </c>
      <c r="O291" s="33" t="n">
        <f>2036.5</f>
        <v>2036.5</v>
      </c>
      <c r="P291" s="34" t="s">
        <v>48</v>
      </c>
      <c r="Q291" s="33" t="n">
        <f>2073</f>
        <v>2073.0</v>
      </c>
      <c r="R291" s="34" t="s">
        <v>49</v>
      </c>
      <c r="S291" s="35" t="n">
        <f>2065.72</f>
        <v>2065.72</v>
      </c>
      <c r="T291" s="32" t="n">
        <f>1401020</f>
        <v>1401020.0</v>
      </c>
      <c r="U291" s="32" t="n">
        <f>984840</f>
        <v>984840.0</v>
      </c>
      <c r="V291" s="32" t="n">
        <f>2887763064</f>
        <v>2.887763064E9</v>
      </c>
      <c r="W291" s="32" t="n">
        <f>2028274314</f>
        <v>2.028274314E9</v>
      </c>
      <c r="X291" s="36" t="n">
        <f>18</f>
        <v>18.0</v>
      </c>
    </row>
    <row r="292">
      <c r="A292" s="27" t="s">
        <v>42</v>
      </c>
      <c r="B292" s="27" t="s">
        <v>919</v>
      </c>
      <c r="C292" s="27" t="s">
        <v>920</v>
      </c>
      <c r="D292" s="27" t="s">
        <v>921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10.0</v>
      </c>
      <c r="K292" s="33" t="n">
        <f>2046.5</f>
        <v>2046.5</v>
      </c>
      <c r="L292" s="34" t="s">
        <v>48</v>
      </c>
      <c r="M292" s="33" t="n">
        <f>2105.5</f>
        <v>2105.5</v>
      </c>
      <c r="N292" s="34" t="s">
        <v>68</v>
      </c>
      <c r="O292" s="33" t="n">
        <f>2030.5</f>
        <v>2030.5</v>
      </c>
      <c r="P292" s="34" t="s">
        <v>48</v>
      </c>
      <c r="Q292" s="33" t="n">
        <f>2070.5</f>
        <v>2070.5</v>
      </c>
      <c r="R292" s="34" t="s">
        <v>49</v>
      </c>
      <c r="S292" s="35" t="n">
        <f>2059.36</f>
        <v>2059.36</v>
      </c>
      <c r="T292" s="32" t="n">
        <f>3895030</f>
        <v>3895030.0</v>
      </c>
      <c r="U292" s="32" t="n">
        <f>3056190</f>
        <v>3056190.0</v>
      </c>
      <c r="V292" s="32" t="n">
        <f>8013075903</f>
        <v>8.013075903E9</v>
      </c>
      <c r="W292" s="32" t="n">
        <f>6288937603</f>
        <v>6.288937603E9</v>
      </c>
      <c r="X292" s="36" t="n">
        <f>18</f>
        <v>18.0</v>
      </c>
    </row>
    <row r="293">
      <c r="A293" s="27" t="s">
        <v>42</v>
      </c>
      <c r="B293" s="27" t="s">
        <v>922</v>
      </c>
      <c r="C293" s="27" t="s">
        <v>923</v>
      </c>
      <c r="D293" s="27" t="s">
        <v>924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10.0</v>
      </c>
      <c r="K293" s="33" t="n">
        <f>3644</f>
        <v>3644.0</v>
      </c>
      <c r="L293" s="34" t="s">
        <v>48</v>
      </c>
      <c r="M293" s="33" t="n">
        <f>3974</f>
        <v>3974.0</v>
      </c>
      <c r="N293" s="34" t="s">
        <v>49</v>
      </c>
      <c r="O293" s="33" t="n">
        <f>3575</f>
        <v>3575.0</v>
      </c>
      <c r="P293" s="34" t="s">
        <v>48</v>
      </c>
      <c r="Q293" s="33" t="n">
        <f>3974</f>
        <v>3974.0</v>
      </c>
      <c r="R293" s="34" t="s">
        <v>49</v>
      </c>
      <c r="S293" s="35" t="n">
        <f>3821.28</f>
        <v>3821.28</v>
      </c>
      <c r="T293" s="32" t="n">
        <f>1241390</f>
        <v>1241390.0</v>
      </c>
      <c r="U293" s="32" t="n">
        <f>763250</f>
        <v>763250.0</v>
      </c>
      <c r="V293" s="32" t="n">
        <f>4806315835</f>
        <v>4.806315835E9</v>
      </c>
      <c r="W293" s="32" t="n">
        <f>2960391265</f>
        <v>2.960391265E9</v>
      </c>
      <c r="X293" s="36" t="n">
        <f>18</f>
        <v>18.0</v>
      </c>
    </row>
    <row r="294">
      <c r="A294" s="27" t="s">
        <v>42</v>
      </c>
      <c r="B294" s="27" t="s">
        <v>925</v>
      </c>
      <c r="C294" s="27" t="s">
        <v>926</v>
      </c>
      <c r="D294" s="27" t="s">
        <v>927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30860</f>
        <v>30860.0</v>
      </c>
      <c r="L294" s="34" t="s">
        <v>48</v>
      </c>
      <c r="M294" s="33" t="n">
        <f>31400</f>
        <v>31400.0</v>
      </c>
      <c r="N294" s="34" t="s">
        <v>59</v>
      </c>
      <c r="O294" s="33" t="n">
        <f>29870</f>
        <v>29870.0</v>
      </c>
      <c r="P294" s="34" t="s">
        <v>274</v>
      </c>
      <c r="Q294" s="33" t="n">
        <f>30860</f>
        <v>30860.0</v>
      </c>
      <c r="R294" s="34" t="s">
        <v>49</v>
      </c>
      <c r="S294" s="35" t="n">
        <f>30691.94</f>
        <v>30691.94</v>
      </c>
      <c r="T294" s="32" t="n">
        <f>468933</f>
        <v>468933.0</v>
      </c>
      <c r="U294" s="32" t="n">
        <f>42080</f>
        <v>42080.0</v>
      </c>
      <c r="V294" s="32" t="n">
        <f>14412863379</f>
        <v>1.4412863379E10</v>
      </c>
      <c r="W294" s="32" t="n">
        <f>1287671024</f>
        <v>1.287671024E9</v>
      </c>
      <c r="X294" s="36" t="n">
        <f>18</f>
        <v>18.0</v>
      </c>
    </row>
    <row r="295">
      <c r="A295" s="27" t="s">
        <v>42</v>
      </c>
      <c r="B295" s="27" t="s">
        <v>928</v>
      </c>
      <c r="C295" s="27" t="s">
        <v>929</v>
      </c>
      <c r="D295" s="27" t="s">
        <v>930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26465</f>
        <v>26465.0</v>
      </c>
      <c r="L295" s="34" t="s">
        <v>48</v>
      </c>
      <c r="M295" s="33" t="n">
        <f>27220</f>
        <v>27220.0</v>
      </c>
      <c r="N295" s="34" t="s">
        <v>68</v>
      </c>
      <c r="O295" s="33" t="n">
        <f>26050</f>
        <v>26050.0</v>
      </c>
      <c r="P295" s="34" t="s">
        <v>274</v>
      </c>
      <c r="Q295" s="33" t="n">
        <f>27055</f>
        <v>27055.0</v>
      </c>
      <c r="R295" s="34" t="s">
        <v>49</v>
      </c>
      <c r="S295" s="35" t="n">
        <f>26640</f>
        <v>26640.0</v>
      </c>
      <c r="T295" s="32" t="n">
        <f>550550</f>
        <v>550550.0</v>
      </c>
      <c r="U295" s="32" t="n">
        <f>20575</f>
        <v>20575.0</v>
      </c>
      <c r="V295" s="32" t="n">
        <f>14651333023</f>
        <v>1.4651333023E10</v>
      </c>
      <c r="W295" s="32" t="n">
        <f>545021388</f>
        <v>5.45021388E8</v>
      </c>
      <c r="X295" s="36" t="n">
        <f>18</f>
        <v>18.0</v>
      </c>
    </row>
    <row r="296">
      <c r="A296" s="27" t="s">
        <v>42</v>
      </c>
      <c r="B296" s="27" t="s">
        <v>931</v>
      </c>
      <c r="C296" s="27" t="s">
        <v>932</v>
      </c>
      <c r="D296" s="27" t="s">
        <v>933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47620</f>
        <v>47620.0</v>
      </c>
      <c r="L296" s="34" t="s">
        <v>48</v>
      </c>
      <c r="M296" s="33" t="n">
        <f>52000</f>
        <v>52000.0</v>
      </c>
      <c r="N296" s="34" t="s">
        <v>49</v>
      </c>
      <c r="O296" s="33" t="n">
        <f>47620</f>
        <v>47620.0</v>
      </c>
      <c r="P296" s="34" t="s">
        <v>48</v>
      </c>
      <c r="Q296" s="33" t="n">
        <f>52000</f>
        <v>52000.0</v>
      </c>
      <c r="R296" s="34" t="s">
        <v>49</v>
      </c>
      <c r="S296" s="35" t="n">
        <f>50622.86</f>
        <v>50622.86</v>
      </c>
      <c r="T296" s="32" t="n">
        <f>46</f>
        <v>46.0</v>
      </c>
      <c r="U296" s="32" t="str">
        <f>"－"</f>
        <v>－</v>
      </c>
      <c r="V296" s="32" t="n">
        <f>2322680</f>
        <v>2322680.0</v>
      </c>
      <c r="W296" s="32" t="str">
        <f>"－"</f>
        <v>－</v>
      </c>
      <c r="X296" s="36" t="n">
        <f>7</f>
        <v>7.0</v>
      </c>
    </row>
    <row r="297">
      <c r="A297" s="27" t="s">
        <v>42</v>
      </c>
      <c r="B297" s="27" t="s">
        <v>934</v>
      </c>
      <c r="C297" s="27" t="s">
        <v>935</v>
      </c>
      <c r="D297" s="27" t="s">
        <v>936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2064</f>
        <v>2064.0</v>
      </c>
      <c r="L297" s="34" t="s">
        <v>48</v>
      </c>
      <c r="M297" s="33" t="n">
        <f>2179</f>
        <v>2179.0</v>
      </c>
      <c r="N297" s="34" t="s">
        <v>79</v>
      </c>
      <c r="O297" s="33" t="n">
        <f>2060</f>
        <v>2060.0</v>
      </c>
      <c r="P297" s="34" t="s">
        <v>60</v>
      </c>
      <c r="Q297" s="33" t="n">
        <f>2110</f>
        <v>2110.0</v>
      </c>
      <c r="R297" s="34" t="s">
        <v>49</v>
      </c>
      <c r="S297" s="35" t="n">
        <f>2091.56</f>
        <v>2091.56</v>
      </c>
      <c r="T297" s="32" t="n">
        <f>1621413</f>
        <v>1621413.0</v>
      </c>
      <c r="U297" s="32" t="n">
        <f>466653</f>
        <v>466653.0</v>
      </c>
      <c r="V297" s="32" t="n">
        <f>3385126989</f>
        <v>3.385126989E9</v>
      </c>
      <c r="W297" s="32" t="n">
        <f>973745566</f>
        <v>9.73745566E8</v>
      </c>
      <c r="X297" s="36" t="n">
        <f>18</f>
        <v>18.0</v>
      </c>
    </row>
    <row r="298">
      <c r="A298" s="27" t="s">
        <v>42</v>
      </c>
      <c r="B298" s="27" t="s">
        <v>937</v>
      </c>
      <c r="C298" s="27" t="s">
        <v>938</v>
      </c>
      <c r="D298" s="27" t="s">
        <v>939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3463</f>
        <v>3463.0</v>
      </c>
      <c r="L298" s="34" t="s">
        <v>48</v>
      </c>
      <c r="M298" s="33" t="n">
        <f>3557</f>
        <v>3557.0</v>
      </c>
      <c r="N298" s="34" t="s">
        <v>64</v>
      </c>
      <c r="O298" s="33" t="n">
        <f>3426</f>
        <v>3426.0</v>
      </c>
      <c r="P298" s="34" t="s">
        <v>48</v>
      </c>
      <c r="Q298" s="33" t="n">
        <f>3479</f>
        <v>3479.0</v>
      </c>
      <c r="R298" s="34" t="s">
        <v>49</v>
      </c>
      <c r="S298" s="35" t="n">
        <f>3495.5</f>
        <v>3495.5</v>
      </c>
      <c r="T298" s="32" t="n">
        <f>3516555</f>
        <v>3516555.0</v>
      </c>
      <c r="U298" s="32" t="n">
        <f>2876706</f>
        <v>2876706.0</v>
      </c>
      <c r="V298" s="32" t="n">
        <f>12391519226</f>
        <v>1.2391519226E10</v>
      </c>
      <c r="W298" s="32" t="n">
        <f>10136220651</f>
        <v>1.0136220651E10</v>
      </c>
      <c r="X298" s="36" t="n">
        <f>18</f>
        <v>18.0</v>
      </c>
    </row>
    <row r="299">
      <c r="A299" s="27" t="s">
        <v>42</v>
      </c>
      <c r="B299" s="27" t="s">
        <v>940</v>
      </c>
      <c r="C299" s="27" t="s">
        <v>941</v>
      </c>
      <c r="D299" s="27" t="s">
        <v>942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10.0</v>
      </c>
      <c r="K299" s="33" t="n">
        <f>373.9</f>
        <v>373.9</v>
      </c>
      <c r="L299" s="34" t="s">
        <v>48</v>
      </c>
      <c r="M299" s="33" t="n">
        <f>378.1</f>
        <v>378.1</v>
      </c>
      <c r="N299" s="34" t="s">
        <v>60</v>
      </c>
      <c r="O299" s="33" t="n">
        <f>361.4</f>
        <v>361.4</v>
      </c>
      <c r="P299" s="34" t="s">
        <v>94</v>
      </c>
      <c r="Q299" s="33" t="n">
        <f>369.5</f>
        <v>369.5</v>
      </c>
      <c r="R299" s="34" t="s">
        <v>49</v>
      </c>
      <c r="S299" s="35" t="n">
        <f>370.34</f>
        <v>370.34</v>
      </c>
      <c r="T299" s="32" t="n">
        <f>30081570</f>
        <v>3.008157E7</v>
      </c>
      <c r="U299" s="32" t="n">
        <f>18767810</f>
        <v>1.876781E7</v>
      </c>
      <c r="V299" s="32" t="n">
        <f>11137018187</f>
        <v>1.1137018187E10</v>
      </c>
      <c r="W299" s="32" t="n">
        <f>6942559668</f>
        <v>6.942559668E9</v>
      </c>
      <c r="X299" s="36" t="n">
        <f>18</f>
        <v>18.0</v>
      </c>
    </row>
    <row r="300">
      <c r="A300" s="27" t="s">
        <v>42</v>
      </c>
      <c r="B300" s="27" t="s">
        <v>943</v>
      </c>
      <c r="C300" s="27" t="s">
        <v>944</v>
      </c>
      <c r="D300" s="27" t="s">
        <v>945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3544</f>
        <v>3544.0</v>
      </c>
      <c r="L300" s="34" t="s">
        <v>48</v>
      </c>
      <c r="M300" s="33" t="n">
        <f>3771</f>
        <v>3771.0</v>
      </c>
      <c r="N300" s="34" t="s">
        <v>49</v>
      </c>
      <c r="O300" s="33" t="n">
        <f>3480</f>
        <v>3480.0</v>
      </c>
      <c r="P300" s="34" t="s">
        <v>48</v>
      </c>
      <c r="Q300" s="33" t="n">
        <f>3737</f>
        <v>3737.0</v>
      </c>
      <c r="R300" s="34" t="s">
        <v>49</v>
      </c>
      <c r="S300" s="35" t="n">
        <f>3648.94</f>
        <v>3648.94</v>
      </c>
      <c r="T300" s="32" t="n">
        <f>1091618</f>
        <v>1091618.0</v>
      </c>
      <c r="U300" s="32" t="n">
        <f>178256</f>
        <v>178256.0</v>
      </c>
      <c r="V300" s="32" t="n">
        <f>3986597759</f>
        <v>3.986597759E9</v>
      </c>
      <c r="W300" s="32" t="n">
        <f>641951362</f>
        <v>6.41951362E8</v>
      </c>
      <c r="X300" s="36" t="n">
        <f>18</f>
        <v>18.0</v>
      </c>
    </row>
    <row r="301">
      <c r="A301" s="27" t="s">
        <v>42</v>
      </c>
      <c r="B301" s="27" t="s">
        <v>946</v>
      </c>
      <c r="C301" s="27" t="s">
        <v>947</v>
      </c>
      <c r="D301" s="27" t="s">
        <v>948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972</f>
        <v>972.0</v>
      </c>
      <c r="L301" s="34" t="s">
        <v>48</v>
      </c>
      <c r="M301" s="33" t="n">
        <f>986</f>
        <v>986.0</v>
      </c>
      <c r="N301" s="34" t="s">
        <v>68</v>
      </c>
      <c r="O301" s="33" t="n">
        <f>955</f>
        <v>955.0</v>
      </c>
      <c r="P301" s="34" t="s">
        <v>258</v>
      </c>
      <c r="Q301" s="33" t="n">
        <f>973</f>
        <v>973.0</v>
      </c>
      <c r="R301" s="34" t="s">
        <v>49</v>
      </c>
      <c r="S301" s="35" t="n">
        <f>972.89</f>
        <v>972.89</v>
      </c>
      <c r="T301" s="32" t="n">
        <f>1412797</f>
        <v>1412797.0</v>
      </c>
      <c r="U301" s="32" t="n">
        <f>552232</f>
        <v>552232.0</v>
      </c>
      <c r="V301" s="32" t="n">
        <f>1373006646</f>
        <v>1.373006646E9</v>
      </c>
      <c r="W301" s="32" t="n">
        <f>536731263</f>
        <v>5.36731263E8</v>
      </c>
      <c r="X301" s="36" t="n">
        <f>18</f>
        <v>18.0</v>
      </c>
    </row>
    <row r="302">
      <c r="A302" s="27" t="s">
        <v>42</v>
      </c>
      <c r="B302" s="27" t="s">
        <v>949</v>
      </c>
      <c r="C302" s="27" t="s">
        <v>950</v>
      </c>
      <c r="D302" s="27" t="s">
        <v>951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1118</f>
        <v>1118.0</v>
      </c>
      <c r="L302" s="34" t="s">
        <v>48</v>
      </c>
      <c r="M302" s="33" t="n">
        <f>1161</f>
        <v>1161.0</v>
      </c>
      <c r="N302" s="34" t="s">
        <v>60</v>
      </c>
      <c r="O302" s="33" t="n">
        <f>1110</f>
        <v>1110.0</v>
      </c>
      <c r="P302" s="34" t="s">
        <v>105</v>
      </c>
      <c r="Q302" s="33" t="n">
        <f>1143</f>
        <v>1143.0</v>
      </c>
      <c r="R302" s="34" t="s">
        <v>49</v>
      </c>
      <c r="S302" s="35" t="n">
        <f>1137</f>
        <v>1137.0</v>
      </c>
      <c r="T302" s="32" t="n">
        <f>1529151</f>
        <v>1529151.0</v>
      </c>
      <c r="U302" s="32" t="n">
        <f>1398685</f>
        <v>1398685.0</v>
      </c>
      <c r="V302" s="32" t="n">
        <f>1742129812</f>
        <v>1.742129812E9</v>
      </c>
      <c r="W302" s="32" t="n">
        <f>1594388963</f>
        <v>1.594388963E9</v>
      </c>
      <c r="X302" s="36" t="n">
        <f>18</f>
        <v>18.0</v>
      </c>
    </row>
    <row r="303">
      <c r="A303" s="27" t="s">
        <v>42</v>
      </c>
      <c r="B303" s="27" t="s">
        <v>952</v>
      </c>
      <c r="C303" s="27" t="s">
        <v>953</v>
      </c>
      <c r="D303" s="27" t="s">
        <v>954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10.0</v>
      </c>
      <c r="K303" s="33" t="n">
        <f>489.7</f>
        <v>489.7</v>
      </c>
      <c r="L303" s="34" t="s">
        <v>48</v>
      </c>
      <c r="M303" s="33" t="n">
        <f>544</f>
        <v>544.0</v>
      </c>
      <c r="N303" s="34" t="s">
        <v>64</v>
      </c>
      <c r="O303" s="33" t="n">
        <f>455.5</f>
        <v>455.5</v>
      </c>
      <c r="P303" s="34" t="s">
        <v>48</v>
      </c>
      <c r="Q303" s="33" t="n">
        <f>522.6</f>
        <v>522.6</v>
      </c>
      <c r="R303" s="34" t="s">
        <v>49</v>
      </c>
      <c r="S303" s="35" t="n">
        <f>501.12</f>
        <v>501.12</v>
      </c>
      <c r="T303" s="32" t="n">
        <f>8810</f>
        <v>8810.0</v>
      </c>
      <c r="U303" s="32" t="str">
        <f>"－"</f>
        <v>－</v>
      </c>
      <c r="V303" s="32" t="n">
        <f>4447053</f>
        <v>4447053.0</v>
      </c>
      <c r="W303" s="32" t="str">
        <f>"－"</f>
        <v>－</v>
      </c>
      <c r="X303" s="36" t="n">
        <f>17</f>
        <v>17.0</v>
      </c>
    </row>
    <row r="304">
      <c r="A304" s="27" t="s">
        <v>42</v>
      </c>
      <c r="B304" s="27" t="s">
        <v>955</v>
      </c>
      <c r="C304" s="27" t="s">
        <v>956</v>
      </c>
      <c r="D304" s="27" t="s">
        <v>957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6766</f>
        <v>6766.0</v>
      </c>
      <c r="L304" s="34" t="s">
        <v>48</v>
      </c>
      <c r="M304" s="33" t="n">
        <f>6905</f>
        <v>6905.0</v>
      </c>
      <c r="N304" s="34" t="s">
        <v>60</v>
      </c>
      <c r="O304" s="33" t="n">
        <f>6429</f>
        <v>6429.0</v>
      </c>
      <c r="P304" s="34" t="s">
        <v>274</v>
      </c>
      <c r="Q304" s="33" t="n">
        <f>6678</f>
        <v>6678.0</v>
      </c>
      <c r="R304" s="34" t="s">
        <v>49</v>
      </c>
      <c r="S304" s="35" t="n">
        <f>6645.28</f>
        <v>6645.28</v>
      </c>
      <c r="T304" s="32" t="n">
        <f>396434</f>
        <v>396434.0</v>
      </c>
      <c r="U304" s="32" t="n">
        <f>408</f>
        <v>408.0</v>
      </c>
      <c r="V304" s="32" t="n">
        <f>2640610682</f>
        <v>2.640610682E9</v>
      </c>
      <c r="W304" s="32" t="n">
        <f>2730168</f>
        <v>2730168.0</v>
      </c>
      <c r="X304" s="36" t="n">
        <f>18</f>
        <v>18.0</v>
      </c>
    </row>
    <row r="305">
      <c r="A305" s="27" t="s">
        <v>42</v>
      </c>
      <c r="B305" s="27" t="s">
        <v>958</v>
      </c>
      <c r="C305" s="27" t="s">
        <v>959</v>
      </c>
      <c r="D305" s="27" t="s">
        <v>960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3772</f>
        <v>3772.0</v>
      </c>
      <c r="L305" s="34" t="s">
        <v>48</v>
      </c>
      <c r="M305" s="33" t="n">
        <f>3840</f>
        <v>3840.0</v>
      </c>
      <c r="N305" s="34" t="s">
        <v>60</v>
      </c>
      <c r="O305" s="33" t="n">
        <f>3579</f>
        <v>3579.0</v>
      </c>
      <c r="P305" s="34" t="s">
        <v>94</v>
      </c>
      <c r="Q305" s="33" t="n">
        <f>3695</f>
        <v>3695.0</v>
      </c>
      <c r="R305" s="34" t="s">
        <v>49</v>
      </c>
      <c r="S305" s="35" t="n">
        <f>3704.22</f>
        <v>3704.22</v>
      </c>
      <c r="T305" s="32" t="n">
        <f>766767</f>
        <v>766767.0</v>
      </c>
      <c r="U305" s="32" t="n">
        <f>215470</f>
        <v>215470.0</v>
      </c>
      <c r="V305" s="32" t="n">
        <f>2832178224</f>
        <v>2.832178224E9</v>
      </c>
      <c r="W305" s="32" t="n">
        <f>796391634</f>
        <v>7.96391634E8</v>
      </c>
      <c r="X305" s="36" t="n">
        <f>18</f>
        <v>18.0</v>
      </c>
    </row>
    <row r="306">
      <c r="A306" s="27" t="s">
        <v>42</v>
      </c>
      <c r="B306" s="27" t="s">
        <v>961</v>
      </c>
      <c r="C306" s="27" t="s">
        <v>962</v>
      </c>
      <c r="D306" s="27" t="s">
        <v>963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2898</f>
        <v>2898.0</v>
      </c>
      <c r="L306" s="34" t="s">
        <v>48</v>
      </c>
      <c r="M306" s="33" t="n">
        <f>3235</f>
        <v>3235.0</v>
      </c>
      <c r="N306" s="34" t="s">
        <v>49</v>
      </c>
      <c r="O306" s="33" t="n">
        <f>2842</f>
        <v>2842.0</v>
      </c>
      <c r="P306" s="34" t="s">
        <v>48</v>
      </c>
      <c r="Q306" s="33" t="n">
        <f>3102</f>
        <v>3102.0</v>
      </c>
      <c r="R306" s="34" t="s">
        <v>49</v>
      </c>
      <c r="S306" s="35" t="n">
        <f>3058.94</f>
        <v>3058.94</v>
      </c>
      <c r="T306" s="32" t="n">
        <f>52158</f>
        <v>52158.0</v>
      </c>
      <c r="U306" s="32" t="str">
        <f>"－"</f>
        <v>－</v>
      </c>
      <c r="V306" s="32" t="n">
        <f>157897101</f>
        <v>1.57897101E8</v>
      </c>
      <c r="W306" s="32" t="str">
        <f>"－"</f>
        <v>－</v>
      </c>
      <c r="X306" s="36" t="n">
        <f>18</f>
        <v>18.0</v>
      </c>
    </row>
    <row r="307">
      <c r="A307" s="27" t="s">
        <v>42</v>
      </c>
      <c r="B307" s="27" t="s">
        <v>964</v>
      </c>
      <c r="C307" s="27" t="s">
        <v>965</v>
      </c>
      <c r="D307" s="27" t="s">
        <v>966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2350</f>
        <v>2350.0</v>
      </c>
      <c r="L307" s="34" t="s">
        <v>48</v>
      </c>
      <c r="M307" s="33" t="n">
        <f>2383</f>
        <v>2383.0</v>
      </c>
      <c r="N307" s="34" t="s">
        <v>101</v>
      </c>
      <c r="O307" s="33" t="n">
        <f>2261</f>
        <v>2261.0</v>
      </c>
      <c r="P307" s="34" t="s">
        <v>48</v>
      </c>
      <c r="Q307" s="33" t="n">
        <f>2310</f>
        <v>2310.0</v>
      </c>
      <c r="R307" s="34" t="s">
        <v>49</v>
      </c>
      <c r="S307" s="35" t="n">
        <f>2293</f>
        <v>2293.0</v>
      </c>
      <c r="T307" s="32" t="n">
        <f>12081</f>
        <v>12081.0</v>
      </c>
      <c r="U307" s="32" t="str">
        <f>"－"</f>
        <v>－</v>
      </c>
      <c r="V307" s="32" t="n">
        <f>27638701</f>
        <v>2.7638701E7</v>
      </c>
      <c r="W307" s="32" t="str">
        <f>"－"</f>
        <v>－</v>
      </c>
      <c r="X307" s="36" t="n">
        <f>18</f>
        <v>18.0</v>
      </c>
    </row>
    <row r="308">
      <c r="A308" s="27" t="s">
        <v>42</v>
      </c>
      <c r="B308" s="27" t="s">
        <v>967</v>
      </c>
      <c r="C308" s="27" t="s">
        <v>968</v>
      </c>
      <c r="D308" s="27" t="s">
        <v>969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10.0</v>
      </c>
      <c r="K308" s="33" t="n">
        <f>361.6</f>
        <v>361.6</v>
      </c>
      <c r="L308" s="34" t="s">
        <v>48</v>
      </c>
      <c r="M308" s="33" t="n">
        <f>366.8</f>
        <v>366.8</v>
      </c>
      <c r="N308" s="34" t="s">
        <v>59</v>
      </c>
      <c r="O308" s="33" t="n">
        <f>355.3</f>
        <v>355.3</v>
      </c>
      <c r="P308" s="34" t="s">
        <v>64</v>
      </c>
      <c r="Q308" s="33" t="n">
        <f>364.8</f>
        <v>364.8</v>
      </c>
      <c r="R308" s="34" t="s">
        <v>49</v>
      </c>
      <c r="S308" s="35" t="n">
        <f>362.04</f>
        <v>362.04</v>
      </c>
      <c r="T308" s="32" t="n">
        <f>7571150</f>
        <v>7571150.0</v>
      </c>
      <c r="U308" s="32" t="n">
        <f>2761480</f>
        <v>2761480.0</v>
      </c>
      <c r="V308" s="32" t="n">
        <f>2743486219</f>
        <v>2.743486219E9</v>
      </c>
      <c r="W308" s="32" t="n">
        <f>1002347413</f>
        <v>1.002347413E9</v>
      </c>
      <c r="X308" s="36" t="n">
        <f>18</f>
        <v>18.0</v>
      </c>
    </row>
    <row r="309">
      <c r="A309" s="27" t="s">
        <v>42</v>
      </c>
      <c r="B309" s="27" t="s">
        <v>970</v>
      </c>
      <c r="C309" s="27" t="s">
        <v>971</v>
      </c>
      <c r="D309" s="27" t="s">
        <v>972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1071</f>
        <v>1071.0</v>
      </c>
      <c r="L309" s="34" t="s">
        <v>48</v>
      </c>
      <c r="M309" s="33" t="n">
        <f>1113</f>
        <v>1113.0</v>
      </c>
      <c r="N309" s="34" t="s">
        <v>49</v>
      </c>
      <c r="O309" s="33" t="n">
        <f>1064</f>
        <v>1064.0</v>
      </c>
      <c r="P309" s="34" t="s">
        <v>60</v>
      </c>
      <c r="Q309" s="33" t="n">
        <f>1113</f>
        <v>1113.0</v>
      </c>
      <c r="R309" s="34" t="s">
        <v>49</v>
      </c>
      <c r="S309" s="35" t="n">
        <f>1089.28</f>
        <v>1089.28</v>
      </c>
      <c r="T309" s="32" t="n">
        <f>18510339</f>
        <v>1.8510339E7</v>
      </c>
      <c r="U309" s="32" t="n">
        <f>90600</f>
        <v>90600.0</v>
      </c>
      <c r="V309" s="32" t="n">
        <f>20186653128</f>
        <v>2.0186653128E10</v>
      </c>
      <c r="W309" s="32" t="n">
        <f>99379140</f>
        <v>9.937914E7</v>
      </c>
      <c r="X309" s="36" t="n">
        <f>18</f>
        <v>18.0</v>
      </c>
    </row>
    <row r="310">
      <c r="A310" s="27" t="s">
        <v>42</v>
      </c>
      <c r="B310" s="27" t="s">
        <v>973</v>
      </c>
      <c r="C310" s="27" t="s">
        <v>974</v>
      </c>
      <c r="D310" s="27" t="s">
        <v>975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1740</f>
        <v>1740.0</v>
      </c>
      <c r="L310" s="34" t="s">
        <v>48</v>
      </c>
      <c r="M310" s="33" t="n">
        <f>1783</f>
        <v>1783.0</v>
      </c>
      <c r="N310" s="34" t="s">
        <v>90</v>
      </c>
      <c r="O310" s="33" t="n">
        <f>1740</f>
        <v>1740.0</v>
      </c>
      <c r="P310" s="34" t="s">
        <v>48</v>
      </c>
      <c r="Q310" s="33" t="n">
        <f>1779</f>
        <v>1779.0</v>
      </c>
      <c r="R310" s="34" t="s">
        <v>49</v>
      </c>
      <c r="S310" s="35" t="n">
        <f>1768.56</f>
        <v>1768.56</v>
      </c>
      <c r="T310" s="32" t="n">
        <f>29632</f>
        <v>29632.0</v>
      </c>
      <c r="U310" s="32" t="n">
        <f>2</f>
        <v>2.0</v>
      </c>
      <c r="V310" s="32" t="n">
        <f>52532641</f>
        <v>5.2532641E7</v>
      </c>
      <c r="W310" s="32" t="n">
        <f>3506</f>
        <v>3506.0</v>
      </c>
      <c r="X310" s="36" t="n">
        <f>18</f>
        <v>18.0</v>
      </c>
    </row>
    <row r="311">
      <c r="A311" s="27" t="s">
        <v>42</v>
      </c>
      <c r="B311" s="27" t="s">
        <v>976</v>
      </c>
      <c r="C311" s="27" t="s">
        <v>977</v>
      </c>
      <c r="D311" s="27" t="s">
        <v>978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2014</f>
        <v>2014.0</v>
      </c>
      <c r="L311" s="34" t="s">
        <v>48</v>
      </c>
      <c r="M311" s="33" t="n">
        <f>2061</f>
        <v>2061.0</v>
      </c>
      <c r="N311" s="34" t="s">
        <v>585</v>
      </c>
      <c r="O311" s="33" t="n">
        <f>2005</f>
        <v>2005.0</v>
      </c>
      <c r="P311" s="34" t="s">
        <v>48</v>
      </c>
      <c r="Q311" s="33" t="n">
        <f>2020</f>
        <v>2020.0</v>
      </c>
      <c r="R311" s="34" t="s">
        <v>49</v>
      </c>
      <c r="S311" s="35" t="n">
        <f>2016.11</f>
        <v>2016.11</v>
      </c>
      <c r="T311" s="32" t="n">
        <f>23444</f>
        <v>23444.0</v>
      </c>
      <c r="U311" s="32" t="n">
        <f>10000</f>
        <v>10000.0</v>
      </c>
      <c r="V311" s="32" t="n">
        <f>47183308</f>
        <v>4.7183308E7</v>
      </c>
      <c r="W311" s="32" t="n">
        <f>20107000</f>
        <v>2.0107E7</v>
      </c>
      <c r="X311" s="36" t="n">
        <f>18</f>
        <v>18.0</v>
      </c>
    </row>
    <row r="312">
      <c r="A312" s="27" t="s">
        <v>42</v>
      </c>
      <c r="B312" s="27" t="s">
        <v>979</v>
      </c>
      <c r="C312" s="27" t="s">
        <v>980</v>
      </c>
      <c r="D312" s="27" t="s">
        <v>981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5391</f>
        <v>5391.0</v>
      </c>
      <c r="L312" s="34" t="s">
        <v>48</v>
      </c>
      <c r="M312" s="33" t="n">
        <f>5966</f>
        <v>5966.0</v>
      </c>
      <c r="N312" s="34" t="s">
        <v>68</v>
      </c>
      <c r="O312" s="33" t="n">
        <f>5295</f>
        <v>5295.0</v>
      </c>
      <c r="P312" s="34" t="s">
        <v>48</v>
      </c>
      <c r="Q312" s="33" t="n">
        <f>5909</f>
        <v>5909.0</v>
      </c>
      <c r="R312" s="34" t="s">
        <v>49</v>
      </c>
      <c r="S312" s="35" t="n">
        <f>5680.5</f>
        <v>5680.5</v>
      </c>
      <c r="T312" s="32" t="n">
        <f>615846</f>
        <v>615846.0</v>
      </c>
      <c r="U312" s="32" t="n">
        <f>250110</f>
        <v>250110.0</v>
      </c>
      <c r="V312" s="32" t="n">
        <f>3479058262</f>
        <v>3.479058262E9</v>
      </c>
      <c r="W312" s="32" t="n">
        <f>1430945453</f>
        <v>1.430945453E9</v>
      </c>
      <c r="X312" s="36" t="n">
        <f>18</f>
        <v>18.0</v>
      </c>
    </row>
    <row r="313">
      <c r="A313" s="27" t="s">
        <v>42</v>
      </c>
      <c r="B313" s="27" t="s">
        <v>982</v>
      </c>
      <c r="C313" s="27" t="s">
        <v>983</v>
      </c>
      <c r="D313" s="27" t="s">
        <v>984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3625</f>
        <v>3625.0</v>
      </c>
      <c r="L313" s="34" t="s">
        <v>48</v>
      </c>
      <c r="M313" s="33" t="n">
        <f>3955</f>
        <v>3955.0</v>
      </c>
      <c r="N313" s="34" t="s">
        <v>49</v>
      </c>
      <c r="O313" s="33" t="n">
        <f>3545</f>
        <v>3545.0</v>
      </c>
      <c r="P313" s="34" t="s">
        <v>48</v>
      </c>
      <c r="Q313" s="33" t="n">
        <f>3955</f>
        <v>3955.0</v>
      </c>
      <c r="R313" s="34" t="s">
        <v>49</v>
      </c>
      <c r="S313" s="35" t="n">
        <f>3792.56</f>
        <v>3792.56</v>
      </c>
      <c r="T313" s="32" t="n">
        <f>762390</f>
        <v>762390.0</v>
      </c>
      <c r="U313" s="32" t="n">
        <f>645960</f>
        <v>645960.0</v>
      </c>
      <c r="V313" s="32" t="n">
        <f>2829140712</f>
        <v>2.829140712E9</v>
      </c>
      <c r="W313" s="32" t="n">
        <f>2384043047</f>
        <v>2.384043047E9</v>
      </c>
      <c r="X313" s="36" t="n">
        <f>18</f>
        <v>18.0</v>
      </c>
    </row>
    <row r="314">
      <c r="A314" s="27" t="s">
        <v>42</v>
      </c>
      <c r="B314" s="27" t="s">
        <v>985</v>
      </c>
      <c r="C314" s="27" t="s">
        <v>986</v>
      </c>
      <c r="D314" s="27" t="s">
        <v>987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2903</f>
        <v>2903.0</v>
      </c>
      <c r="L314" s="34" t="s">
        <v>48</v>
      </c>
      <c r="M314" s="33" t="n">
        <f>2964</f>
        <v>2964.0</v>
      </c>
      <c r="N314" s="34" t="s">
        <v>69</v>
      </c>
      <c r="O314" s="33" t="n">
        <f>2630</f>
        <v>2630.0</v>
      </c>
      <c r="P314" s="34" t="s">
        <v>90</v>
      </c>
      <c r="Q314" s="33" t="n">
        <f>2811</f>
        <v>2811.0</v>
      </c>
      <c r="R314" s="34" t="s">
        <v>49</v>
      </c>
      <c r="S314" s="35" t="n">
        <f>2786.67</f>
        <v>2786.67</v>
      </c>
      <c r="T314" s="32" t="n">
        <f>49992</f>
        <v>49992.0</v>
      </c>
      <c r="U314" s="32" t="n">
        <f>60</f>
        <v>60.0</v>
      </c>
      <c r="V314" s="32" t="n">
        <f>139132162</f>
        <v>1.39132162E8</v>
      </c>
      <c r="W314" s="32" t="n">
        <f>163755</f>
        <v>163755.0</v>
      </c>
      <c r="X314" s="36" t="n">
        <f>18</f>
        <v>18.0</v>
      </c>
    </row>
    <row r="315">
      <c r="A315" s="27" t="s">
        <v>42</v>
      </c>
      <c r="B315" s="27" t="s">
        <v>988</v>
      </c>
      <c r="C315" s="27" t="s">
        <v>989</v>
      </c>
      <c r="D315" s="27" t="s">
        <v>990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1482</f>
        <v>1482.0</v>
      </c>
      <c r="L315" s="34" t="s">
        <v>48</v>
      </c>
      <c r="M315" s="33" t="n">
        <f>1482</f>
        <v>1482.0</v>
      </c>
      <c r="N315" s="34" t="s">
        <v>48</v>
      </c>
      <c r="O315" s="33" t="n">
        <f>1308</f>
        <v>1308.0</v>
      </c>
      <c r="P315" s="34" t="s">
        <v>83</v>
      </c>
      <c r="Q315" s="33" t="n">
        <f>1392</f>
        <v>1392.0</v>
      </c>
      <c r="R315" s="34" t="s">
        <v>49</v>
      </c>
      <c r="S315" s="35" t="n">
        <f>1385.67</f>
        <v>1385.67</v>
      </c>
      <c r="T315" s="32" t="n">
        <f>14891</f>
        <v>14891.0</v>
      </c>
      <c r="U315" s="32" t="n">
        <f>10</f>
        <v>10.0</v>
      </c>
      <c r="V315" s="32" t="n">
        <f>20707963</f>
        <v>2.0707963E7</v>
      </c>
      <c r="W315" s="32" t="n">
        <f>13211</f>
        <v>13211.0</v>
      </c>
      <c r="X315" s="36" t="n">
        <f>18</f>
        <v>18.0</v>
      </c>
    </row>
    <row r="316">
      <c r="A316" s="27" t="s">
        <v>42</v>
      </c>
      <c r="B316" s="27" t="s">
        <v>991</v>
      </c>
      <c r="C316" s="27" t="s">
        <v>992</v>
      </c>
      <c r="D316" s="27" t="s">
        <v>993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3212</f>
        <v>3212.0</v>
      </c>
      <c r="L316" s="34" t="s">
        <v>48</v>
      </c>
      <c r="M316" s="33" t="n">
        <f>3285</f>
        <v>3285.0</v>
      </c>
      <c r="N316" s="34" t="s">
        <v>101</v>
      </c>
      <c r="O316" s="33" t="n">
        <f>3099</f>
        <v>3099.0</v>
      </c>
      <c r="P316" s="34" t="s">
        <v>160</v>
      </c>
      <c r="Q316" s="33" t="n">
        <f>3240</f>
        <v>3240.0</v>
      </c>
      <c r="R316" s="34" t="s">
        <v>49</v>
      </c>
      <c r="S316" s="35" t="n">
        <f>3202.94</f>
        <v>3202.94</v>
      </c>
      <c r="T316" s="32" t="n">
        <f>320032</f>
        <v>320032.0</v>
      </c>
      <c r="U316" s="32" t="str">
        <f>"－"</f>
        <v>－</v>
      </c>
      <c r="V316" s="32" t="n">
        <f>1023768033</f>
        <v>1.023768033E9</v>
      </c>
      <c r="W316" s="32" t="str">
        <f>"－"</f>
        <v>－</v>
      </c>
      <c r="X316" s="36" t="n">
        <f>18</f>
        <v>18.0</v>
      </c>
    </row>
    <row r="317">
      <c r="A317" s="27" t="s">
        <v>42</v>
      </c>
      <c r="B317" s="27" t="s">
        <v>994</v>
      </c>
      <c r="C317" s="27" t="s">
        <v>995</v>
      </c>
      <c r="D317" s="27" t="s">
        <v>996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3701</f>
        <v>3701.0</v>
      </c>
      <c r="L317" s="34" t="s">
        <v>48</v>
      </c>
      <c r="M317" s="33" t="n">
        <f>3873</f>
        <v>3873.0</v>
      </c>
      <c r="N317" s="34" t="s">
        <v>79</v>
      </c>
      <c r="O317" s="33" t="n">
        <f>3453</f>
        <v>3453.0</v>
      </c>
      <c r="P317" s="34" t="s">
        <v>160</v>
      </c>
      <c r="Q317" s="33" t="n">
        <f>3588</f>
        <v>3588.0</v>
      </c>
      <c r="R317" s="34" t="s">
        <v>49</v>
      </c>
      <c r="S317" s="35" t="n">
        <f>3647</f>
        <v>3647.0</v>
      </c>
      <c r="T317" s="32" t="n">
        <f>501052</f>
        <v>501052.0</v>
      </c>
      <c r="U317" s="32" t="str">
        <f>"－"</f>
        <v>－</v>
      </c>
      <c r="V317" s="32" t="n">
        <f>1819373405</f>
        <v>1.819373405E9</v>
      </c>
      <c r="W317" s="32" t="str">
        <f>"－"</f>
        <v>－</v>
      </c>
      <c r="X317" s="36" t="n">
        <f>18</f>
        <v>18.0</v>
      </c>
    </row>
    <row r="318">
      <c r="A318" s="27" t="s">
        <v>42</v>
      </c>
      <c r="B318" s="27" t="s">
        <v>997</v>
      </c>
      <c r="C318" s="27" t="s">
        <v>998</v>
      </c>
      <c r="D318" s="27" t="s">
        <v>999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14760</f>
        <v>14760.0</v>
      </c>
      <c r="L318" s="34" t="s">
        <v>48</v>
      </c>
      <c r="M318" s="33" t="n">
        <f>14915</f>
        <v>14915.0</v>
      </c>
      <c r="N318" s="34" t="s">
        <v>60</v>
      </c>
      <c r="O318" s="33" t="n">
        <f>14345</f>
        <v>14345.0</v>
      </c>
      <c r="P318" s="34" t="s">
        <v>94</v>
      </c>
      <c r="Q318" s="33" t="n">
        <f>14660</f>
        <v>14660.0</v>
      </c>
      <c r="R318" s="34" t="s">
        <v>49</v>
      </c>
      <c r="S318" s="35" t="n">
        <f>14681.39</f>
        <v>14681.39</v>
      </c>
      <c r="T318" s="32" t="n">
        <f>541929</f>
        <v>541929.0</v>
      </c>
      <c r="U318" s="32" t="n">
        <f>443551</f>
        <v>443551.0</v>
      </c>
      <c r="V318" s="32" t="n">
        <f>7987834578</f>
        <v>7.987834578E9</v>
      </c>
      <c r="W318" s="32" t="n">
        <f>6544430908</f>
        <v>6.544430908E9</v>
      </c>
      <c r="X318" s="36" t="n">
        <f>18</f>
        <v>18.0</v>
      </c>
    </row>
    <row r="319">
      <c r="A319" s="27" t="s">
        <v>42</v>
      </c>
      <c r="B319" s="27" t="s">
        <v>1000</v>
      </c>
      <c r="C319" s="27" t="s">
        <v>1001</v>
      </c>
      <c r="D319" s="27" t="s">
        <v>1002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28235</f>
        <v>28235.0</v>
      </c>
      <c r="L319" s="34" t="s">
        <v>48</v>
      </c>
      <c r="M319" s="33" t="n">
        <f>28800</f>
        <v>28800.0</v>
      </c>
      <c r="N319" s="34" t="s">
        <v>60</v>
      </c>
      <c r="O319" s="33" t="n">
        <f>26800</f>
        <v>26800.0</v>
      </c>
      <c r="P319" s="34" t="s">
        <v>94</v>
      </c>
      <c r="Q319" s="33" t="n">
        <f>27875</f>
        <v>27875.0</v>
      </c>
      <c r="R319" s="34" t="s">
        <v>49</v>
      </c>
      <c r="S319" s="35" t="n">
        <f>27722.78</f>
        <v>27722.78</v>
      </c>
      <c r="T319" s="32" t="n">
        <f>296712</f>
        <v>296712.0</v>
      </c>
      <c r="U319" s="32" t="n">
        <f>74721</f>
        <v>74721.0</v>
      </c>
      <c r="V319" s="32" t="n">
        <f>8259431020</f>
        <v>8.25943102E9</v>
      </c>
      <c r="W319" s="32" t="n">
        <f>2090508790</f>
        <v>2.09050879E9</v>
      </c>
      <c r="X319" s="36" t="n">
        <f>18</f>
        <v>18.0</v>
      </c>
    </row>
    <row r="320">
      <c r="A320" s="27" t="s">
        <v>42</v>
      </c>
      <c r="B320" s="27" t="s">
        <v>1003</v>
      </c>
      <c r="C320" s="27" t="s">
        <v>1004</v>
      </c>
      <c r="D320" s="27" t="s">
        <v>1005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15785</f>
        <v>15785.0</v>
      </c>
      <c r="L320" s="34" t="s">
        <v>48</v>
      </c>
      <c r="M320" s="33" t="n">
        <f>16035</f>
        <v>16035.0</v>
      </c>
      <c r="N320" s="34" t="s">
        <v>60</v>
      </c>
      <c r="O320" s="33" t="n">
        <f>14945</f>
        <v>14945.0</v>
      </c>
      <c r="P320" s="34" t="s">
        <v>94</v>
      </c>
      <c r="Q320" s="33" t="n">
        <f>15425</f>
        <v>15425.0</v>
      </c>
      <c r="R320" s="34" t="s">
        <v>49</v>
      </c>
      <c r="S320" s="35" t="n">
        <f>15450.28</f>
        <v>15450.28</v>
      </c>
      <c r="T320" s="32" t="n">
        <f>150569</f>
        <v>150569.0</v>
      </c>
      <c r="U320" s="32" t="n">
        <f>64786</f>
        <v>64786.0</v>
      </c>
      <c r="V320" s="32" t="n">
        <f>2334463679</f>
        <v>2.334463679E9</v>
      </c>
      <c r="W320" s="32" t="n">
        <f>1004562519</f>
        <v>1.004562519E9</v>
      </c>
      <c r="X320" s="36" t="n">
        <f>18</f>
        <v>18.0</v>
      </c>
    </row>
    <row r="321">
      <c r="A321" s="27" t="s">
        <v>42</v>
      </c>
      <c r="B321" s="27" t="s">
        <v>1006</v>
      </c>
      <c r="C321" s="27" t="s">
        <v>1007</v>
      </c>
      <c r="D321" s="27" t="s">
        <v>1008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10.0</v>
      </c>
      <c r="K321" s="33" t="n">
        <f>496.6</f>
        <v>496.6</v>
      </c>
      <c r="L321" s="34" t="s">
        <v>48</v>
      </c>
      <c r="M321" s="33" t="n">
        <f>505.4</f>
        <v>505.4</v>
      </c>
      <c r="N321" s="34" t="s">
        <v>59</v>
      </c>
      <c r="O321" s="33" t="n">
        <f>480.6</f>
        <v>480.6</v>
      </c>
      <c r="P321" s="34" t="s">
        <v>274</v>
      </c>
      <c r="Q321" s="33" t="n">
        <f>496.1</f>
        <v>496.1</v>
      </c>
      <c r="R321" s="34" t="s">
        <v>49</v>
      </c>
      <c r="S321" s="35" t="n">
        <f>493.81</f>
        <v>493.81</v>
      </c>
      <c r="T321" s="32" t="n">
        <f>6917370</f>
        <v>6917370.0</v>
      </c>
      <c r="U321" s="32" t="n">
        <f>2098360</f>
        <v>2098360.0</v>
      </c>
      <c r="V321" s="32" t="n">
        <f>3413219727</f>
        <v>3.413219727E9</v>
      </c>
      <c r="W321" s="32" t="n">
        <f>1032547958</f>
        <v>1.032547958E9</v>
      </c>
      <c r="X321" s="36" t="n">
        <f>18</f>
        <v>18.0</v>
      </c>
    </row>
    <row r="322">
      <c r="A322" s="27" t="s">
        <v>42</v>
      </c>
      <c r="B322" s="27" t="s">
        <v>1009</v>
      </c>
      <c r="C322" s="27" t="s">
        <v>1010</v>
      </c>
      <c r="D322" s="27" t="s">
        <v>1011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2917</f>
        <v>2917.0</v>
      </c>
      <c r="L322" s="34" t="s">
        <v>48</v>
      </c>
      <c r="M322" s="33" t="n">
        <f>2949</f>
        <v>2949.0</v>
      </c>
      <c r="N322" s="34" t="s">
        <v>60</v>
      </c>
      <c r="O322" s="33" t="n">
        <f>2834</f>
        <v>2834.0</v>
      </c>
      <c r="P322" s="34" t="s">
        <v>94</v>
      </c>
      <c r="Q322" s="33" t="n">
        <f>2897</f>
        <v>2897.0</v>
      </c>
      <c r="R322" s="34" t="s">
        <v>49</v>
      </c>
      <c r="S322" s="35" t="n">
        <f>2902.11</f>
        <v>2902.11</v>
      </c>
      <c r="T322" s="32" t="n">
        <f>2818017</f>
        <v>2818017.0</v>
      </c>
      <c r="U322" s="32" t="n">
        <f>1674564</f>
        <v>1674564.0</v>
      </c>
      <c r="V322" s="32" t="n">
        <f>8164287554</f>
        <v>8.164287554E9</v>
      </c>
      <c r="W322" s="32" t="n">
        <f>4837099269</f>
        <v>4.837099269E9</v>
      </c>
      <c r="X322" s="36" t="n">
        <f>18</f>
        <v>18.0</v>
      </c>
    </row>
    <row r="323">
      <c r="A323" s="27" t="s">
        <v>42</v>
      </c>
      <c r="B323" s="27" t="s">
        <v>1012</v>
      </c>
      <c r="C323" s="27" t="s">
        <v>1013</v>
      </c>
      <c r="D323" s="27" t="s">
        <v>1014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4310</f>
        <v>4310.0</v>
      </c>
      <c r="L323" s="34" t="s">
        <v>48</v>
      </c>
      <c r="M323" s="33" t="n">
        <f>4665</f>
        <v>4665.0</v>
      </c>
      <c r="N323" s="34" t="s">
        <v>64</v>
      </c>
      <c r="O323" s="33" t="n">
        <f>4221</f>
        <v>4221.0</v>
      </c>
      <c r="P323" s="34" t="s">
        <v>48</v>
      </c>
      <c r="Q323" s="33" t="n">
        <f>4658</f>
        <v>4658.0</v>
      </c>
      <c r="R323" s="34" t="s">
        <v>49</v>
      </c>
      <c r="S323" s="35" t="n">
        <f>4460.28</f>
        <v>4460.28</v>
      </c>
      <c r="T323" s="32" t="n">
        <f>7856</f>
        <v>7856.0</v>
      </c>
      <c r="U323" s="32" t="str">
        <f>"－"</f>
        <v>－</v>
      </c>
      <c r="V323" s="32" t="n">
        <f>33730177</f>
        <v>3.3730177E7</v>
      </c>
      <c r="W323" s="32" t="str">
        <f>"－"</f>
        <v>－</v>
      </c>
      <c r="X323" s="36" t="n">
        <f>18</f>
        <v>18.0</v>
      </c>
    </row>
    <row r="324">
      <c r="A324" s="27" t="s">
        <v>42</v>
      </c>
      <c r="B324" s="27" t="s">
        <v>1015</v>
      </c>
      <c r="C324" s="27" t="s">
        <v>1016</v>
      </c>
      <c r="D324" s="27" t="s">
        <v>1017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2010</f>
        <v>2010.0</v>
      </c>
      <c r="L324" s="34" t="s">
        <v>48</v>
      </c>
      <c r="M324" s="33" t="n">
        <f>2500</f>
        <v>2500.0</v>
      </c>
      <c r="N324" s="34" t="s">
        <v>68</v>
      </c>
      <c r="O324" s="33" t="n">
        <f>2010</f>
        <v>2010.0</v>
      </c>
      <c r="P324" s="34" t="s">
        <v>48</v>
      </c>
      <c r="Q324" s="33" t="n">
        <f>2485</f>
        <v>2485.0</v>
      </c>
      <c r="R324" s="34" t="s">
        <v>49</v>
      </c>
      <c r="S324" s="35" t="n">
        <f>2303</f>
        <v>2303.0</v>
      </c>
      <c r="T324" s="32" t="n">
        <f>53006</f>
        <v>53006.0</v>
      </c>
      <c r="U324" s="32" t="n">
        <f>110</f>
        <v>110.0</v>
      </c>
      <c r="V324" s="32" t="n">
        <f>121102669</f>
        <v>1.21102669E8</v>
      </c>
      <c r="W324" s="32" t="n">
        <f>266500</f>
        <v>266500.0</v>
      </c>
      <c r="X324" s="36" t="n">
        <f>18</f>
        <v>18.0</v>
      </c>
    </row>
    <row r="325">
      <c r="A325" s="27" t="s">
        <v>42</v>
      </c>
      <c r="B325" s="27" t="s">
        <v>1018</v>
      </c>
      <c r="C325" s="27" t="s">
        <v>1019</v>
      </c>
      <c r="D325" s="27" t="s">
        <v>1020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2436</f>
        <v>2436.0</v>
      </c>
      <c r="L325" s="34" t="s">
        <v>48</v>
      </c>
      <c r="M325" s="33" t="n">
        <f>2691</f>
        <v>2691.0</v>
      </c>
      <c r="N325" s="34" t="s">
        <v>49</v>
      </c>
      <c r="O325" s="33" t="n">
        <f>2351</f>
        <v>2351.0</v>
      </c>
      <c r="P325" s="34" t="s">
        <v>94</v>
      </c>
      <c r="Q325" s="33" t="n">
        <f>2691</f>
        <v>2691.0</v>
      </c>
      <c r="R325" s="34" t="s">
        <v>49</v>
      </c>
      <c r="S325" s="35" t="n">
        <f>2505.17</f>
        <v>2505.17</v>
      </c>
      <c r="T325" s="32" t="n">
        <f>840916</f>
        <v>840916.0</v>
      </c>
      <c r="U325" s="32" t="n">
        <f>10</f>
        <v>10.0</v>
      </c>
      <c r="V325" s="32" t="n">
        <f>2108628043</f>
        <v>2.108628043E9</v>
      </c>
      <c r="W325" s="32" t="n">
        <f>24789</f>
        <v>24789.0</v>
      </c>
      <c r="X325" s="36" t="n">
        <f>18</f>
        <v>18.0</v>
      </c>
    </row>
    <row r="326">
      <c r="A326" s="27" t="s">
        <v>42</v>
      </c>
      <c r="B326" s="27" t="s">
        <v>1021</v>
      </c>
      <c r="C326" s="27" t="s">
        <v>1022</v>
      </c>
      <c r="D326" s="27" t="s">
        <v>1023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1732</f>
        <v>1732.0</v>
      </c>
      <c r="L326" s="34" t="s">
        <v>48</v>
      </c>
      <c r="M326" s="33" t="n">
        <f>1798</f>
        <v>1798.0</v>
      </c>
      <c r="N326" s="34" t="s">
        <v>49</v>
      </c>
      <c r="O326" s="33" t="n">
        <f>1662</f>
        <v>1662.0</v>
      </c>
      <c r="P326" s="34" t="s">
        <v>48</v>
      </c>
      <c r="Q326" s="33" t="n">
        <f>1793</f>
        <v>1793.0</v>
      </c>
      <c r="R326" s="34" t="s">
        <v>49</v>
      </c>
      <c r="S326" s="35" t="n">
        <f>1724.28</f>
        <v>1724.28</v>
      </c>
      <c r="T326" s="32" t="n">
        <f>16691</f>
        <v>16691.0</v>
      </c>
      <c r="U326" s="32" t="str">
        <f>"－"</f>
        <v>－</v>
      </c>
      <c r="V326" s="32" t="n">
        <f>28926798</f>
        <v>2.8926798E7</v>
      </c>
      <c r="W326" s="32" t="str">
        <f>"－"</f>
        <v>－</v>
      </c>
      <c r="X326" s="36" t="n">
        <f>18</f>
        <v>18.0</v>
      </c>
    </row>
    <row r="327">
      <c r="A327" s="27" t="s">
        <v>42</v>
      </c>
      <c r="B327" s="27" t="s">
        <v>1024</v>
      </c>
      <c r="C327" s="27" t="s">
        <v>1025</v>
      </c>
      <c r="D327" s="27" t="s">
        <v>1026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4181</f>
        <v>4181.0</v>
      </c>
      <c r="L327" s="34" t="s">
        <v>48</v>
      </c>
      <c r="M327" s="33" t="n">
        <f>4193</f>
        <v>4193.0</v>
      </c>
      <c r="N327" s="34" t="s">
        <v>48</v>
      </c>
      <c r="O327" s="33" t="n">
        <f>3770</f>
        <v>3770.0</v>
      </c>
      <c r="P327" s="34" t="s">
        <v>90</v>
      </c>
      <c r="Q327" s="33" t="n">
        <f>4067</f>
        <v>4067.0</v>
      </c>
      <c r="R327" s="34" t="s">
        <v>49</v>
      </c>
      <c r="S327" s="35" t="n">
        <f>3929.61</f>
        <v>3929.61</v>
      </c>
      <c r="T327" s="32" t="n">
        <f>742026</f>
        <v>742026.0</v>
      </c>
      <c r="U327" s="32" t="n">
        <f>54199</f>
        <v>54199.0</v>
      </c>
      <c r="V327" s="32" t="n">
        <f>2930601098</f>
        <v>2.930601098E9</v>
      </c>
      <c r="W327" s="32" t="n">
        <f>209514087</f>
        <v>2.09514087E8</v>
      </c>
      <c r="X327" s="36" t="n">
        <f>18</f>
        <v>18.0</v>
      </c>
    </row>
    <row r="328">
      <c r="A328" s="27" t="s">
        <v>42</v>
      </c>
      <c r="B328" s="27" t="s">
        <v>1027</v>
      </c>
      <c r="C328" s="27" t="s">
        <v>1028</v>
      </c>
      <c r="D328" s="27" t="s">
        <v>1029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4113</f>
        <v>4113.0</v>
      </c>
      <c r="L328" s="34" t="s">
        <v>48</v>
      </c>
      <c r="M328" s="33" t="n">
        <f>4474</f>
        <v>4474.0</v>
      </c>
      <c r="N328" s="34" t="s">
        <v>64</v>
      </c>
      <c r="O328" s="33" t="n">
        <f>4065</f>
        <v>4065.0</v>
      </c>
      <c r="P328" s="34" t="s">
        <v>48</v>
      </c>
      <c r="Q328" s="33" t="n">
        <f>4469</f>
        <v>4469.0</v>
      </c>
      <c r="R328" s="34" t="s">
        <v>49</v>
      </c>
      <c r="S328" s="35" t="n">
        <f>4312.11</f>
        <v>4312.11</v>
      </c>
      <c r="T328" s="32" t="n">
        <f>806709</f>
        <v>806709.0</v>
      </c>
      <c r="U328" s="32" t="n">
        <f>567379</f>
        <v>567379.0</v>
      </c>
      <c r="V328" s="32" t="n">
        <f>3443982108</f>
        <v>3.443982108E9</v>
      </c>
      <c r="W328" s="32" t="n">
        <f>2420175780</f>
        <v>2.42017578E9</v>
      </c>
      <c r="X328" s="36" t="n">
        <f>18</f>
        <v>18.0</v>
      </c>
    </row>
    <row r="329">
      <c r="A329" s="27" t="s">
        <v>42</v>
      </c>
      <c r="B329" s="27" t="s">
        <v>1030</v>
      </c>
      <c r="C329" s="27" t="s">
        <v>1031</v>
      </c>
      <c r="D329" s="27" t="s">
        <v>1032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47620</f>
        <v>47620.0</v>
      </c>
      <c r="L329" s="34" t="s">
        <v>48</v>
      </c>
      <c r="M329" s="33" t="n">
        <f>51570</f>
        <v>51570.0</v>
      </c>
      <c r="N329" s="34" t="s">
        <v>49</v>
      </c>
      <c r="O329" s="33" t="n">
        <f>46920</f>
        <v>46920.0</v>
      </c>
      <c r="P329" s="34" t="s">
        <v>48</v>
      </c>
      <c r="Q329" s="33" t="n">
        <f>51570</f>
        <v>51570.0</v>
      </c>
      <c r="R329" s="34" t="s">
        <v>49</v>
      </c>
      <c r="S329" s="35" t="n">
        <f>49921.18</f>
        <v>49921.18</v>
      </c>
      <c r="T329" s="32" t="n">
        <f>26</f>
        <v>26.0</v>
      </c>
      <c r="U329" s="32" t="str">
        <f>"－"</f>
        <v>－</v>
      </c>
      <c r="V329" s="32" t="n">
        <f>1288360</f>
        <v>1288360.0</v>
      </c>
      <c r="W329" s="32" t="str">
        <f>"－"</f>
        <v>－</v>
      </c>
      <c r="X329" s="36" t="n">
        <f>17</f>
        <v>17.0</v>
      </c>
    </row>
    <row r="330">
      <c r="A330" s="27" t="s">
        <v>42</v>
      </c>
      <c r="B330" s="27" t="s">
        <v>1033</v>
      </c>
      <c r="C330" s="27" t="s">
        <v>1034</v>
      </c>
      <c r="D330" s="27" t="s">
        <v>1035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3785</f>
        <v>3785.0</v>
      </c>
      <c r="L330" s="34" t="s">
        <v>48</v>
      </c>
      <c r="M330" s="33" t="n">
        <f>4057</f>
        <v>4057.0</v>
      </c>
      <c r="N330" s="34" t="s">
        <v>49</v>
      </c>
      <c r="O330" s="33" t="n">
        <f>3713</f>
        <v>3713.0</v>
      </c>
      <c r="P330" s="34" t="s">
        <v>48</v>
      </c>
      <c r="Q330" s="33" t="n">
        <f>4010</f>
        <v>4010.0</v>
      </c>
      <c r="R330" s="34" t="s">
        <v>49</v>
      </c>
      <c r="S330" s="35" t="n">
        <f>3916.83</f>
        <v>3916.83</v>
      </c>
      <c r="T330" s="32" t="n">
        <f>1066</f>
        <v>1066.0</v>
      </c>
      <c r="U330" s="32" t="str">
        <f>"－"</f>
        <v>－</v>
      </c>
      <c r="V330" s="32" t="n">
        <f>4211080</f>
        <v>4211080.0</v>
      </c>
      <c r="W330" s="32" t="str">
        <f>"－"</f>
        <v>－</v>
      </c>
      <c r="X330" s="36" t="n">
        <f>12</f>
        <v>12.0</v>
      </c>
    </row>
    <row r="331">
      <c r="A331" s="27" t="s">
        <v>42</v>
      </c>
      <c r="B331" s="27" t="s">
        <v>1036</v>
      </c>
      <c r="C331" s="27" t="s">
        <v>1037</v>
      </c>
      <c r="D331" s="27" t="s">
        <v>1038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3082</f>
        <v>3082.0</v>
      </c>
      <c r="L331" s="34" t="s">
        <v>48</v>
      </c>
      <c r="M331" s="33" t="n">
        <f>3579</f>
        <v>3579.0</v>
      </c>
      <c r="N331" s="34" t="s">
        <v>68</v>
      </c>
      <c r="O331" s="33" t="n">
        <f>2994</f>
        <v>2994.0</v>
      </c>
      <c r="P331" s="34" t="s">
        <v>48</v>
      </c>
      <c r="Q331" s="33" t="n">
        <f>3467</f>
        <v>3467.0</v>
      </c>
      <c r="R331" s="34" t="s">
        <v>49</v>
      </c>
      <c r="S331" s="35" t="n">
        <f>3280</f>
        <v>3280.0</v>
      </c>
      <c r="T331" s="32" t="n">
        <f>25572819</f>
        <v>2.5572819E7</v>
      </c>
      <c r="U331" s="32" t="n">
        <f>739001</f>
        <v>739001.0</v>
      </c>
      <c r="V331" s="32" t="n">
        <f>83456329679</f>
        <v>8.3456329679E10</v>
      </c>
      <c r="W331" s="32" t="n">
        <f>2447633749</f>
        <v>2.447633749E9</v>
      </c>
      <c r="X331" s="36" t="n">
        <f>18</f>
        <v>18.0</v>
      </c>
    </row>
    <row r="332">
      <c r="A332" s="27" t="s">
        <v>42</v>
      </c>
      <c r="B332" s="27" t="s">
        <v>1039</v>
      </c>
      <c r="C332" s="27" t="s">
        <v>1040</v>
      </c>
      <c r="D332" s="27" t="s">
        <v>1041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2678</f>
        <v>2678.0</v>
      </c>
      <c r="L332" s="34" t="s">
        <v>48</v>
      </c>
      <c r="M332" s="33" t="n">
        <f>2791</f>
        <v>2791.0</v>
      </c>
      <c r="N332" s="34" t="s">
        <v>64</v>
      </c>
      <c r="O332" s="33" t="n">
        <f>2602</f>
        <v>2602.0</v>
      </c>
      <c r="P332" s="34" t="s">
        <v>60</v>
      </c>
      <c r="Q332" s="33" t="n">
        <f>2710</f>
        <v>2710.0</v>
      </c>
      <c r="R332" s="34" t="s">
        <v>49</v>
      </c>
      <c r="S332" s="35" t="n">
        <f>2688.06</f>
        <v>2688.06</v>
      </c>
      <c r="T332" s="32" t="n">
        <f>14335</f>
        <v>14335.0</v>
      </c>
      <c r="U332" s="32" t="str">
        <f>"－"</f>
        <v>－</v>
      </c>
      <c r="V332" s="32" t="n">
        <f>38800682</f>
        <v>3.8800682E7</v>
      </c>
      <c r="W332" s="32" t="str">
        <f>"－"</f>
        <v>－</v>
      </c>
      <c r="X332" s="36" t="n">
        <f>18</f>
        <v>18.0</v>
      </c>
    </row>
    <row r="333">
      <c r="A333" s="27" t="s">
        <v>42</v>
      </c>
      <c r="B333" s="27" t="s">
        <v>1042</v>
      </c>
      <c r="C333" s="27" t="s">
        <v>1043</v>
      </c>
      <c r="D333" s="27" t="s">
        <v>1044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3137</f>
        <v>3137.0</v>
      </c>
      <c r="L333" s="34" t="s">
        <v>48</v>
      </c>
      <c r="M333" s="33" t="n">
        <f>4320</f>
        <v>4320.0</v>
      </c>
      <c r="N333" s="34" t="s">
        <v>68</v>
      </c>
      <c r="O333" s="33" t="n">
        <f>3107</f>
        <v>3107.0</v>
      </c>
      <c r="P333" s="34" t="s">
        <v>48</v>
      </c>
      <c r="Q333" s="33" t="n">
        <f>4274</f>
        <v>4274.0</v>
      </c>
      <c r="R333" s="34" t="s">
        <v>49</v>
      </c>
      <c r="S333" s="35" t="n">
        <f>3676.67</f>
        <v>3676.67</v>
      </c>
      <c r="T333" s="32" t="n">
        <f>1178049</f>
        <v>1178049.0</v>
      </c>
      <c r="U333" s="32" t="n">
        <f>789</f>
        <v>789.0</v>
      </c>
      <c r="V333" s="32" t="n">
        <f>4378515417</f>
        <v>4.378515417E9</v>
      </c>
      <c r="W333" s="32" t="n">
        <f>3143624</f>
        <v>3143624.0</v>
      </c>
      <c r="X333" s="36" t="n">
        <f>18</f>
        <v>18.0</v>
      </c>
    </row>
    <row r="334">
      <c r="A334" s="27" t="s">
        <v>42</v>
      </c>
      <c r="B334" s="27" t="s">
        <v>1045</v>
      </c>
      <c r="C334" s="27" t="s">
        <v>1046</v>
      </c>
      <c r="D334" s="27" t="s">
        <v>1047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5899</f>
        <v>5899.0</v>
      </c>
      <c r="L334" s="34" t="s">
        <v>48</v>
      </c>
      <c r="M334" s="33" t="n">
        <f>6057</f>
        <v>6057.0</v>
      </c>
      <c r="N334" s="34" t="s">
        <v>49</v>
      </c>
      <c r="O334" s="33" t="n">
        <f>5827</f>
        <v>5827.0</v>
      </c>
      <c r="P334" s="34" t="s">
        <v>64</v>
      </c>
      <c r="Q334" s="33" t="n">
        <f>6057</f>
        <v>6057.0</v>
      </c>
      <c r="R334" s="34" t="s">
        <v>49</v>
      </c>
      <c r="S334" s="35" t="n">
        <f>5947.06</f>
        <v>5947.06</v>
      </c>
      <c r="T334" s="32" t="n">
        <f>238659</f>
        <v>238659.0</v>
      </c>
      <c r="U334" s="32" t="n">
        <f>141380</f>
        <v>141380.0</v>
      </c>
      <c r="V334" s="32" t="n">
        <f>1419732726</f>
        <v>1.419732726E9</v>
      </c>
      <c r="W334" s="32" t="n">
        <f>841908651</f>
        <v>8.41908651E8</v>
      </c>
      <c r="X334" s="36" t="n">
        <f>18</f>
        <v>18.0</v>
      </c>
    </row>
    <row r="335">
      <c r="A335" s="27" t="s">
        <v>42</v>
      </c>
      <c r="B335" s="27" t="s">
        <v>1048</v>
      </c>
      <c r="C335" s="27" t="s">
        <v>1049</v>
      </c>
      <c r="D335" s="27" t="s">
        <v>1050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3480</f>
        <v>3480.0</v>
      </c>
      <c r="L335" s="34" t="s">
        <v>48</v>
      </c>
      <c r="M335" s="33" t="n">
        <f>3590</f>
        <v>3590.0</v>
      </c>
      <c r="N335" s="34" t="s">
        <v>68</v>
      </c>
      <c r="O335" s="33" t="n">
        <f>3480</f>
        <v>3480.0</v>
      </c>
      <c r="P335" s="34" t="s">
        <v>48</v>
      </c>
      <c r="Q335" s="33" t="n">
        <f>3575</f>
        <v>3575.0</v>
      </c>
      <c r="R335" s="34" t="s">
        <v>49</v>
      </c>
      <c r="S335" s="35" t="n">
        <f>3537.67</f>
        <v>3537.67</v>
      </c>
      <c r="T335" s="32" t="n">
        <f>426962</f>
        <v>426962.0</v>
      </c>
      <c r="U335" s="32" t="n">
        <f>141560</f>
        <v>141560.0</v>
      </c>
      <c r="V335" s="32" t="n">
        <f>1509399636</f>
        <v>1.509399636E9</v>
      </c>
      <c r="W335" s="32" t="n">
        <f>500145571</f>
        <v>5.00145571E8</v>
      </c>
      <c r="X335" s="36" t="n">
        <f>18</f>
        <v>18.0</v>
      </c>
    </row>
    <row r="336">
      <c r="A336" s="27" t="s">
        <v>42</v>
      </c>
      <c r="B336" s="27" t="s">
        <v>1051</v>
      </c>
      <c r="C336" s="27" t="s">
        <v>1052</v>
      </c>
      <c r="D336" s="27" t="s">
        <v>1053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10.0</v>
      </c>
      <c r="K336" s="33" t="n">
        <f>601</f>
        <v>601.0</v>
      </c>
      <c r="L336" s="34" t="s">
        <v>48</v>
      </c>
      <c r="M336" s="33" t="n">
        <f>607.7</f>
        <v>607.7</v>
      </c>
      <c r="N336" s="34" t="s">
        <v>274</v>
      </c>
      <c r="O336" s="33" t="n">
        <f>599.4</f>
        <v>599.4</v>
      </c>
      <c r="P336" s="34" t="s">
        <v>69</v>
      </c>
      <c r="Q336" s="33" t="n">
        <f>607.7</f>
        <v>607.7</v>
      </c>
      <c r="R336" s="34" t="s">
        <v>49</v>
      </c>
      <c r="S336" s="35" t="n">
        <f>604.31</f>
        <v>604.31</v>
      </c>
      <c r="T336" s="32" t="n">
        <f>18740</f>
        <v>18740.0</v>
      </c>
      <c r="U336" s="32" t="n">
        <f>20</f>
        <v>20.0</v>
      </c>
      <c r="V336" s="32" t="n">
        <f>11292196</f>
        <v>1.1292196E7</v>
      </c>
      <c r="W336" s="32" t="n">
        <f>12006</f>
        <v>12006.0</v>
      </c>
      <c r="X336" s="36" t="n">
        <f>18</f>
        <v>18.0</v>
      </c>
    </row>
    <row r="337">
      <c r="A337" s="27" t="s">
        <v>42</v>
      </c>
      <c r="B337" s="27" t="s">
        <v>1054</v>
      </c>
      <c r="C337" s="27" t="s">
        <v>1055</v>
      </c>
      <c r="D337" s="27" t="s">
        <v>1056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10020</f>
        <v>10020.0</v>
      </c>
      <c r="L337" s="34" t="s">
        <v>48</v>
      </c>
      <c r="M337" s="33" t="n">
        <f>10270</f>
        <v>10270.0</v>
      </c>
      <c r="N337" s="34" t="s">
        <v>94</v>
      </c>
      <c r="O337" s="33" t="n">
        <f>9588</f>
        <v>9588.0</v>
      </c>
      <c r="P337" s="34" t="s">
        <v>49</v>
      </c>
      <c r="Q337" s="33" t="n">
        <f>9625</f>
        <v>9625.0</v>
      </c>
      <c r="R337" s="34" t="s">
        <v>49</v>
      </c>
      <c r="S337" s="35" t="n">
        <f>9906.33</f>
        <v>9906.33</v>
      </c>
      <c r="T337" s="32" t="n">
        <f>9133</f>
        <v>9133.0</v>
      </c>
      <c r="U337" s="32" t="n">
        <f>2</f>
        <v>2.0</v>
      </c>
      <c r="V337" s="32" t="n">
        <f>90808129</f>
        <v>9.0808129E7</v>
      </c>
      <c r="W337" s="32" t="n">
        <f>19250</f>
        <v>19250.0</v>
      </c>
      <c r="X337" s="36" t="n">
        <f>18</f>
        <v>18.0</v>
      </c>
    </row>
    <row r="338">
      <c r="A338" s="27" t="s">
        <v>42</v>
      </c>
      <c r="B338" s="27" t="s">
        <v>1057</v>
      </c>
      <c r="C338" s="27" t="s">
        <v>1058</v>
      </c>
      <c r="D338" s="27" t="s">
        <v>1059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1735</f>
        <v>1735.0</v>
      </c>
      <c r="L338" s="34" t="s">
        <v>48</v>
      </c>
      <c r="M338" s="33" t="n">
        <f>2007</f>
        <v>2007.0</v>
      </c>
      <c r="N338" s="34" t="s">
        <v>68</v>
      </c>
      <c r="O338" s="33" t="n">
        <f>1656</f>
        <v>1656.0</v>
      </c>
      <c r="P338" s="34" t="s">
        <v>48</v>
      </c>
      <c r="Q338" s="33" t="n">
        <f>1916</f>
        <v>1916.0</v>
      </c>
      <c r="R338" s="34" t="s">
        <v>49</v>
      </c>
      <c r="S338" s="35" t="n">
        <f>1831</f>
        <v>1831.0</v>
      </c>
      <c r="T338" s="32" t="n">
        <f>1791445</f>
        <v>1791445.0</v>
      </c>
      <c r="U338" s="32" t="n">
        <f>144450</f>
        <v>144450.0</v>
      </c>
      <c r="V338" s="32" t="n">
        <f>3293399972</f>
        <v>3.293399972E9</v>
      </c>
      <c r="W338" s="32" t="n">
        <f>271917153</f>
        <v>2.71917153E8</v>
      </c>
      <c r="X338" s="36" t="n">
        <f>18</f>
        <v>18.0</v>
      </c>
    </row>
    <row r="339">
      <c r="A339" s="27" t="s">
        <v>42</v>
      </c>
      <c r="B339" s="27" t="s">
        <v>1060</v>
      </c>
      <c r="C339" s="27" t="s">
        <v>1061</v>
      </c>
      <c r="D339" s="27" t="s">
        <v>1062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3102</f>
        <v>3102.0</v>
      </c>
      <c r="L339" s="34" t="s">
        <v>48</v>
      </c>
      <c r="M339" s="33" t="n">
        <f>3102</f>
        <v>3102.0</v>
      </c>
      <c r="N339" s="34" t="s">
        <v>48</v>
      </c>
      <c r="O339" s="33" t="n">
        <f>2850</f>
        <v>2850.0</v>
      </c>
      <c r="P339" s="34" t="s">
        <v>90</v>
      </c>
      <c r="Q339" s="33" t="n">
        <f>2956</f>
        <v>2956.0</v>
      </c>
      <c r="R339" s="34" t="s">
        <v>49</v>
      </c>
      <c r="S339" s="35" t="n">
        <f>2950.17</f>
        <v>2950.17</v>
      </c>
      <c r="T339" s="32" t="n">
        <f>16072</f>
        <v>16072.0</v>
      </c>
      <c r="U339" s="32" t="str">
        <f>"－"</f>
        <v>－</v>
      </c>
      <c r="V339" s="32" t="n">
        <f>47315552</f>
        <v>4.7315552E7</v>
      </c>
      <c r="W339" s="32" t="str">
        <f>"－"</f>
        <v>－</v>
      </c>
      <c r="X339" s="36" t="n">
        <f>18</f>
        <v>18.0</v>
      </c>
    </row>
    <row r="340">
      <c r="A340" s="27" t="s">
        <v>42</v>
      </c>
      <c r="B340" s="27" t="s">
        <v>1063</v>
      </c>
      <c r="C340" s="27" t="s">
        <v>1064</v>
      </c>
      <c r="D340" s="27" t="s">
        <v>1065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3272</f>
        <v>3272.0</v>
      </c>
      <c r="L340" s="34" t="s">
        <v>48</v>
      </c>
      <c r="M340" s="33" t="n">
        <f>3441</f>
        <v>3441.0</v>
      </c>
      <c r="N340" s="34" t="s">
        <v>105</v>
      </c>
      <c r="O340" s="33" t="n">
        <f>3128</f>
        <v>3128.0</v>
      </c>
      <c r="P340" s="34" t="s">
        <v>94</v>
      </c>
      <c r="Q340" s="33" t="n">
        <f>3315</f>
        <v>3315.0</v>
      </c>
      <c r="R340" s="34" t="s">
        <v>49</v>
      </c>
      <c r="S340" s="35" t="n">
        <f>3279.61</f>
        <v>3279.61</v>
      </c>
      <c r="T340" s="32" t="n">
        <f>128525</f>
        <v>128525.0</v>
      </c>
      <c r="U340" s="32" t="n">
        <f>400</f>
        <v>400.0</v>
      </c>
      <c r="V340" s="32" t="n">
        <f>420869379</f>
        <v>4.20869379E8</v>
      </c>
      <c r="W340" s="32" t="n">
        <f>1316400</f>
        <v>1316400.0</v>
      </c>
      <c r="X340" s="36" t="n">
        <f>18</f>
        <v>18.0</v>
      </c>
    </row>
    <row r="341">
      <c r="A341" s="27" t="s">
        <v>42</v>
      </c>
      <c r="B341" s="27" t="s">
        <v>1066</v>
      </c>
      <c r="C341" s="27" t="s">
        <v>1067</v>
      </c>
      <c r="D341" s="27" t="s">
        <v>1068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8790</f>
        <v>8790.0</v>
      </c>
      <c r="L341" s="34" t="s">
        <v>48</v>
      </c>
      <c r="M341" s="33" t="n">
        <f>8990</f>
        <v>8990.0</v>
      </c>
      <c r="N341" s="34" t="s">
        <v>49</v>
      </c>
      <c r="O341" s="33" t="n">
        <f>8657</f>
        <v>8657.0</v>
      </c>
      <c r="P341" s="34" t="s">
        <v>64</v>
      </c>
      <c r="Q341" s="33" t="n">
        <f>8949</f>
        <v>8949.0</v>
      </c>
      <c r="R341" s="34" t="s">
        <v>49</v>
      </c>
      <c r="S341" s="35" t="n">
        <f>8824.44</f>
        <v>8824.44</v>
      </c>
      <c r="T341" s="32" t="n">
        <f>199880</f>
        <v>199880.0</v>
      </c>
      <c r="U341" s="32" t="n">
        <f>194028</f>
        <v>194028.0</v>
      </c>
      <c r="V341" s="32" t="n">
        <f>1770805983</f>
        <v>1.770805983E9</v>
      </c>
      <c r="W341" s="32" t="n">
        <f>1718525430</f>
        <v>1.71852543E9</v>
      </c>
      <c r="X341" s="36" t="n">
        <f>18</f>
        <v>18.0</v>
      </c>
    </row>
    <row r="342">
      <c r="A342" s="27" t="s">
        <v>42</v>
      </c>
      <c r="B342" s="27" t="s">
        <v>1069</v>
      </c>
      <c r="C342" s="27" t="s">
        <v>1070</v>
      </c>
      <c r="D342" s="27" t="s">
        <v>1071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5217</f>
        <v>5217.0</v>
      </c>
      <c r="L342" s="34" t="s">
        <v>48</v>
      </c>
      <c r="M342" s="33" t="n">
        <f>5310</f>
        <v>5310.0</v>
      </c>
      <c r="N342" s="34" t="s">
        <v>49</v>
      </c>
      <c r="O342" s="33" t="n">
        <f>5204</f>
        <v>5204.0</v>
      </c>
      <c r="P342" s="34" t="s">
        <v>59</v>
      </c>
      <c r="Q342" s="33" t="n">
        <f>5300</f>
        <v>5300.0</v>
      </c>
      <c r="R342" s="34" t="s">
        <v>49</v>
      </c>
      <c r="S342" s="35" t="n">
        <f>5255.89</f>
        <v>5255.89</v>
      </c>
      <c r="T342" s="32" t="n">
        <f>103954</f>
        <v>103954.0</v>
      </c>
      <c r="U342" s="32" t="n">
        <f>94241</f>
        <v>94241.0</v>
      </c>
      <c r="V342" s="32" t="n">
        <f>543515518</f>
        <v>5.43515518E8</v>
      </c>
      <c r="W342" s="32" t="n">
        <f>492524021</f>
        <v>4.92524021E8</v>
      </c>
      <c r="X342" s="36" t="n">
        <f>18</f>
        <v>18.0</v>
      </c>
    </row>
    <row r="343">
      <c r="A343" s="27" t="s">
        <v>42</v>
      </c>
      <c r="B343" s="27" t="s">
        <v>1072</v>
      </c>
      <c r="C343" s="27" t="s">
        <v>1073</v>
      </c>
      <c r="D343" s="27" t="s">
        <v>1074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1167</f>
        <v>1167.0</v>
      </c>
      <c r="L343" s="34" t="s">
        <v>48</v>
      </c>
      <c r="M343" s="33" t="n">
        <f>1200</f>
        <v>1200.0</v>
      </c>
      <c r="N343" s="34" t="s">
        <v>59</v>
      </c>
      <c r="O343" s="33" t="n">
        <f>1149</f>
        <v>1149.0</v>
      </c>
      <c r="P343" s="34" t="s">
        <v>48</v>
      </c>
      <c r="Q343" s="33" t="n">
        <f>1178</f>
        <v>1178.0</v>
      </c>
      <c r="R343" s="34" t="s">
        <v>49</v>
      </c>
      <c r="S343" s="35" t="n">
        <f>1170.22</f>
        <v>1170.22</v>
      </c>
      <c r="T343" s="32" t="n">
        <f>349041</f>
        <v>349041.0</v>
      </c>
      <c r="U343" s="32" t="str">
        <f>"－"</f>
        <v>－</v>
      </c>
      <c r="V343" s="32" t="n">
        <f>410474693</f>
        <v>4.10474693E8</v>
      </c>
      <c r="W343" s="32" t="str">
        <f>"－"</f>
        <v>－</v>
      </c>
      <c r="X343" s="36" t="n">
        <f>18</f>
        <v>18.0</v>
      </c>
    </row>
    <row r="344">
      <c r="A344" s="27" t="s">
        <v>42</v>
      </c>
      <c r="B344" s="27" t="s">
        <v>1075</v>
      </c>
      <c r="C344" s="27" t="s">
        <v>1076</v>
      </c>
      <c r="D344" s="27" t="s">
        <v>1077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2278</f>
        <v>2278.0</v>
      </c>
      <c r="L344" s="34" t="s">
        <v>48</v>
      </c>
      <c r="M344" s="33" t="n">
        <f>2323</f>
        <v>2323.0</v>
      </c>
      <c r="N344" s="34" t="s">
        <v>60</v>
      </c>
      <c r="O344" s="33" t="n">
        <f>2161</f>
        <v>2161.0</v>
      </c>
      <c r="P344" s="34" t="s">
        <v>274</v>
      </c>
      <c r="Q344" s="33" t="n">
        <f>2250</f>
        <v>2250.0</v>
      </c>
      <c r="R344" s="34" t="s">
        <v>49</v>
      </c>
      <c r="S344" s="35" t="n">
        <f>2237.17</f>
        <v>2237.17</v>
      </c>
      <c r="T344" s="32" t="n">
        <f>1955933</f>
        <v>1955933.0</v>
      </c>
      <c r="U344" s="32" t="n">
        <f>187407</f>
        <v>187407.0</v>
      </c>
      <c r="V344" s="32" t="n">
        <f>4383874774</f>
        <v>4.383874774E9</v>
      </c>
      <c r="W344" s="32" t="n">
        <f>424274612</f>
        <v>4.24274612E8</v>
      </c>
      <c r="X344" s="36" t="n">
        <f>18</f>
        <v>18.0</v>
      </c>
    </row>
    <row r="345">
      <c r="A345" s="27" t="s">
        <v>42</v>
      </c>
      <c r="B345" s="27" t="s">
        <v>1078</v>
      </c>
      <c r="C345" s="27" t="s">
        <v>1079</v>
      </c>
      <c r="D345" s="27" t="s">
        <v>1080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1489</f>
        <v>1489.0</v>
      </c>
      <c r="L345" s="34" t="s">
        <v>48</v>
      </c>
      <c r="M345" s="33" t="n">
        <f>1515</f>
        <v>1515.0</v>
      </c>
      <c r="N345" s="34" t="s">
        <v>60</v>
      </c>
      <c r="O345" s="33" t="n">
        <f>1411</f>
        <v>1411.0</v>
      </c>
      <c r="P345" s="34" t="s">
        <v>94</v>
      </c>
      <c r="Q345" s="33" t="n">
        <f>1458</f>
        <v>1458.0</v>
      </c>
      <c r="R345" s="34" t="s">
        <v>49</v>
      </c>
      <c r="S345" s="35" t="n">
        <f>1460.89</f>
        <v>1460.89</v>
      </c>
      <c r="T345" s="32" t="n">
        <f>3531388</f>
        <v>3531388.0</v>
      </c>
      <c r="U345" s="32" t="n">
        <f>2882418</f>
        <v>2882418.0</v>
      </c>
      <c r="V345" s="32" t="n">
        <f>5159348620</f>
        <v>5.15934862E9</v>
      </c>
      <c r="W345" s="32" t="n">
        <f>4209474811</f>
        <v>4.209474811E9</v>
      </c>
      <c r="X345" s="36" t="n">
        <f>18</f>
        <v>18.0</v>
      </c>
    </row>
    <row r="346">
      <c r="A346" s="27" t="s">
        <v>42</v>
      </c>
      <c r="B346" s="27" t="s">
        <v>1081</v>
      </c>
      <c r="C346" s="27" t="s">
        <v>1082</v>
      </c>
      <c r="D346" s="27" t="s">
        <v>1083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14195</f>
        <v>14195.0</v>
      </c>
      <c r="L346" s="34" t="s">
        <v>48</v>
      </c>
      <c r="M346" s="33" t="n">
        <f>14940</f>
        <v>14940.0</v>
      </c>
      <c r="N346" s="34" t="s">
        <v>94</v>
      </c>
      <c r="O346" s="33" t="n">
        <f>13935</f>
        <v>13935.0</v>
      </c>
      <c r="P346" s="34" t="s">
        <v>60</v>
      </c>
      <c r="Q346" s="33" t="n">
        <f>14470</f>
        <v>14470.0</v>
      </c>
      <c r="R346" s="34" t="s">
        <v>49</v>
      </c>
      <c r="S346" s="35" t="n">
        <f>14466.67</f>
        <v>14466.67</v>
      </c>
      <c r="T346" s="32" t="n">
        <f>181893</f>
        <v>181893.0</v>
      </c>
      <c r="U346" s="32" t="n">
        <f>561</f>
        <v>561.0</v>
      </c>
      <c r="V346" s="32" t="n">
        <f>2642765739</f>
        <v>2.642765739E9</v>
      </c>
      <c r="W346" s="32" t="n">
        <f>8011614</f>
        <v>8011614.0</v>
      </c>
      <c r="X346" s="36" t="n">
        <f>18</f>
        <v>18.0</v>
      </c>
    </row>
    <row r="347">
      <c r="A347" s="27" t="s">
        <v>42</v>
      </c>
      <c r="B347" s="27" t="s">
        <v>1084</v>
      </c>
      <c r="C347" s="27" t="s">
        <v>1085</v>
      </c>
      <c r="D347" s="27" t="s">
        <v>1086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3812</f>
        <v>3812.0</v>
      </c>
      <c r="L347" s="34" t="s">
        <v>48</v>
      </c>
      <c r="M347" s="33" t="n">
        <f>3867</f>
        <v>3867.0</v>
      </c>
      <c r="N347" s="34" t="s">
        <v>94</v>
      </c>
      <c r="O347" s="33" t="n">
        <f>3769</f>
        <v>3769.0</v>
      </c>
      <c r="P347" s="34" t="s">
        <v>59</v>
      </c>
      <c r="Q347" s="33" t="n">
        <f>3827</f>
        <v>3827.0</v>
      </c>
      <c r="R347" s="34" t="s">
        <v>49</v>
      </c>
      <c r="S347" s="35" t="n">
        <f>3804.39</f>
        <v>3804.39</v>
      </c>
      <c r="T347" s="32" t="n">
        <f>323779</f>
        <v>323779.0</v>
      </c>
      <c r="U347" s="32" t="n">
        <f>260582</f>
        <v>260582.0</v>
      </c>
      <c r="V347" s="32" t="n">
        <f>1230615405</f>
        <v>1.230615405E9</v>
      </c>
      <c r="W347" s="32" t="n">
        <f>991307446</f>
        <v>9.91307446E8</v>
      </c>
      <c r="X347" s="36" t="n">
        <f>18</f>
        <v>18.0</v>
      </c>
    </row>
    <row r="348">
      <c r="A348" s="27" t="s">
        <v>42</v>
      </c>
      <c r="B348" s="27" t="s">
        <v>1087</v>
      </c>
      <c r="C348" s="27" t="s">
        <v>1088</v>
      </c>
      <c r="D348" s="27" t="s">
        <v>1089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5461</f>
        <v>5461.0</v>
      </c>
      <c r="L348" s="34" t="s">
        <v>48</v>
      </c>
      <c r="M348" s="33" t="n">
        <f>5700</f>
        <v>5700.0</v>
      </c>
      <c r="N348" s="34" t="s">
        <v>49</v>
      </c>
      <c r="O348" s="33" t="n">
        <f>5432</f>
        <v>5432.0</v>
      </c>
      <c r="P348" s="34" t="s">
        <v>48</v>
      </c>
      <c r="Q348" s="33" t="n">
        <f>5624</f>
        <v>5624.0</v>
      </c>
      <c r="R348" s="34" t="s">
        <v>49</v>
      </c>
      <c r="S348" s="35" t="n">
        <f>5512.5</f>
        <v>5512.5</v>
      </c>
      <c r="T348" s="32" t="n">
        <f>283772</f>
        <v>283772.0</v>
      </c>
      <c r="U348" s="32" t="n">
        <f>143522</f>
        <v>143522.0</v>
      </c>
      <c r="V348" s="32" t="n">
        <f>1564069726</f>
        <v>1.564069726E9</v>
      </c>
      <c r="W348" s="32" t="n">
        <f>793446838</f>
        <v>7.93446838E8</v>
      </c>
      <c r="X348" s="36" t="n">
        <f>18</f>
        <v>18.0</v>
      </c>
    </row>
    <row r="349">
      <c r="A349" s="27" t="s">
        <v>42</v>
      </c>
      <c r="B349" s="27" t="s">
        <v>1090</v>
      </c>
      <c r="C349" s="27" t="s">
        <v>1091</v>
      </c>
      <c r="D349" s="27" t="s">
        <v>1092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3149</f>
        <v>3149.0</v>
      </c>
      <c r="L349" s="34" t="s">
        <v>48</v>
      </c>
      <c r="M349" s="33" t="n">
        <f>3173</f>
        <v>3173.0</v>
      </c>
      <c r="N349" s="34" t="s">
        <v>60</v>
      </c>
      <c r="O349" s="33" t="n">
        <f>2958</f>
        <v>2958.0</v>
      </c>
      <c r="P349" s="34" t="s">
        <v>94</v>
      </c>
      <c r="Q349" s="33" t="n">
        <f>3050</f>
        <v>3050.0</v>
      </c>
      <c r="R349" s="34" t="s">
        <v>49</v>
      </c>
      <c r="S349" s="35" t="n">
        <f>3056.89</f>
        <v>3056.89</v>
      </c>
      <c r="T349" s="32" t="n">
        <f>989673</f>
        <v>989673.0</v>
      </c>
      <c r="U349" s="32" t="n">
        <f>308180</f>
        <v>308180.0</v>
      </c>
      <c r="V349" s="32" t="n">
        <f>3002507633</f>
        <v>3.002507633E9</v>
      </c>
      <c r="W349" s="32" t="n">
        <f>923325248</f>
        <v>9.23325248E8</v>
      </c>
      <c r="X349" s="36" t="n">
        <f>18</f>
        <v>18.0</v>
      </c>
    </row>
    <row r="350">
      <c r="A350" s="27" t="s">
        <v>42</v>
      </c>
      <c r="B350" s="27" t="s">
        <v>1093</v>
      </c>
      <c r="C350" s="27" t="s">
        <v>1094</v>
      </c>
      <c r="D350" s="27" t="s">
        <v>1095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2402</f>
        <v>2402.0</v>
      </c>
      <c r="L350" s="34" t="s">
        <v>48</v>
      </c>
      <c r="M350" s="33" t="n">
        <f>2465</f>
        <v>2465.0</v>
      </c>
      <c r="N350" s="34" t="s">
        <v>59</v>
      </c>
      <c r="O350" s="33" t="n">
        <f>2383</f>
        <v>2383.0</v>
      </c>
      <c r="P350" s="34" t="s">
        <v>48</v>
      </c>
      <c r="Q350" s="33" t="n">
        <f>2405</f>
        <v>2405.0</v>
      </c>
      <c r="R350" s="34" t="s">
        <v>49</v>
      </c>
      <c r="S350" s="35" t="n">
        <f>2422.33</f>
        <v>2422.33</v>
      </c>
      <c r="T350" s="32" t="n">
        <f>1640920</f>
        <v>1640920.0</v>
      </c>
      <c r="U350" s="32" t="n">
        <f>1240389</f>
        <v>1240389.0</v>
      </c>
      <c r="V350" s="32" t="n">
        <f>3978832330</f>
        <v>3.97883233E9</v>
      </c>
      <c r="W350" s="32" t="n">
        <f>3003860155</f>
        <v>3.003860155E9</v>
      </c>
      <c r="X350" s="36" t="n">
        <f>18</f>
        <v>18.0</v>
      </c>
    </row>
    <row r="351">
      <c r="A351" s="27" t="s">
        <v>42</v>
      </c>
      <c r="B351" s="27" t="s">
        <v>1096</v>
      </c>
      <c r="C351" s="27" t="s">
        <v>1097</v>
      </c>
      <c r="D351" s="27" t="s">
        <v>1098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1.0</v>
      </c>
      <c r="K351" s="33" t="n">
        <f>2550</f>
        <v>2550.0</v>
      </c>
      <c r="L351" s="34" t="s">
        <v>48</v>
      </c>
      <c r="M351" s="33" t="n">
        <f>3021</f>
        <v>3021.0</v>
      </c>
      <c r="N351" s="34" t="s">
        <v>79</v>
      </c>
      <c r="O351" s="33" t="n">
        <f>2516</f>
        <v>2516.0</v>
      </c>
      <c r="P351" s="34" t="s">
        <v>94</v>
      </c>
      <c r="Q351" s="33" t="n">
        <f>2794</f>
        <v>2794.0</v>
      </c>
      <c r="R351" s="34" t="s">
        <v>49</v>
      </c>
      <c r="S351" s="35" t="n">
        <f>2656.94</f>
        <v>2656.94</v>
      </c>
      <c r="T351" s="32" t="n">
        <f>20105</f>
        <v>20105.0</v>
      </c>
      <c r="U351" s="32" t="n">
        <f>90</f>
        <v>90.0</v>
      </c>
      <c r="V351" s="32" t="n">
        <f>54598291</f>
        <v>5.4598291E7</v>
      </c>
      <c r="W351" s="32" t="n">
        <f>247706</f>
        <v>247706.0</v>
      </c>
      <c r="X351" s="36" t="n">
        <f>18</f>
        <v>18.0</v>
      </c>
    </row>
    <row r="352">
      <c r="A352" s="27" t="s">
        <v>42</v>
      </c>
      <c r="B352" s="27" t="s">
        <v>1099</v>
      </c>
      <c r="C352" s="27" t="s">
        <v>1100</v>
      </c>
      <c r="D352" s="27" t="s">
        <v>1101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2719</f>
        <v>2719.0</v>
      </c>
      <c r="L352" s="34" t="s">
        <v>48</v>
      </c>
      <c r="M352" s="33" t="n">
        <f>2953</f>
        <v>2953.0</v>
      </c>
      <c r="N352" s="34" t="s">
        <v>49</v>
      </c>
      <c r="O352" s="33" t="n">
        <f>2669</f>
        <v>2669.0</v>
      </c>
      <c r="P352" s="34" t="s">
        <v>48</v>
      </c>
      <c r="Q352" s="33" t="n">
        <f>2905</f>
        <v>2905.0</v>
      </c>
      <c r="R352" s="34" t="s">
        <v>49</v>
      </c>
      <c r="S352" s="35" t="n">
        <f>2825.2</f>
        <v>2825.2</v>
      </c>
      <c r="T352" s="32" t="n">
        <f>954</f>
        <v>954.0</v>
      </c>
      <c r="U352" s="32" t="str">
        <f>"－"</f>
        <v>－</v>
      </c>
      <c r="V352" s="32" t="n">
        <f>2659142</f>
        <v>2659142.0</v>
      </c>
      <c r="W352" s="32" t="str">
        <f>"－"</f>
        <v>－</v>
      </c>
      <c r="X352" s="36" t="n">
        <f>15</f>
        <v>15.0</v>
      </c>
    </row>
    <row r="353">
      <c r="A353" s="27" t="s">
        <v>42</v>
      </c>
      <c r="B353" s="27" t="s">
        <v>1102</v>
      </c>
      <c r="C353" s="27" t="s">
        <v>1103</v>
      </c>
      <c r="D353" s="27" t="s">
        <v>1104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5093</f>
        <v>5093.0</v>
      </c>
      <c r="L353" s="34" t="s">
        <v>48</v>
      </c>
      <c r="M353" s="33" t="n">
        <f>5466</f>
        <v>5466.0</v>
      </c>
      <c r="N353" s="34" t="s">
        <v>49</v>
      </c>
      <c r="O353" s="33" t="n">
        <f>5085</f>
        <v>5085.0</v>
      </c>
      <c r="P353" s="34" t="s">
        <v>60</v>
      </c>
      <c r="Q353" s="33" t="n">
        <f>5465</f>
        <v>5465.0</v>
      </c>
      <c r="R353" s="34" t="s">
        <v>49</v>
      </c>
      <c r="S353" s="35" t="n">
        <f>5286.17</f>
        <v>5286.17</v>
      </c>
      <c r="T353" s="32" t="n">
        <f>86601</f>
        <v>86601.0</v>
      </c>
      <c r="U353" s="32" t="n">
        <f>74210</f>
        <v>74210.0</v>
      </c>
      <c r="V353" s="32" t="n">
        <f>444847099</f>
        <v>4.44847099E8</v>
      </c>
      <c r="W353" s="32" t="n">
        <f>379949700</f>
        <v>3.799497E8</v>
      </c>
      <c r="X353" s="36" t="n">
        <f>18</f>
        <v>18.0</v>
      </c>
    </row>
    <row r="354">
      <c r="A354" s="27" t="s">
        <v>42</v>
      </c>
      <c r="B354" s="27" t="s">
        <v>1105</v>
      </c>
      <c r="C354" s="27" t="s">
        <v>1106</v>
      </c>
      <c r="D354" s="27" t="s">
        <v>1107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10.0</v>
      </c>
      <c r="K354" s="33" t="n">
        <f>347.9</f>
        <v>347.9</v>
      </c>
      <c r="L354" s="34" t="s">
        <v>48</v>
      </c>
      <c r="M354" s="33" t="n">
        <f>370.4</f>
        <v>370.4</v>
      </c>
      <c r="N354" s="34" t="s">
        <v>49</v>
      </c>
      <c r="O354" s="33" t="n">
        <f>341.8</f>
        <v>341.8</v>
      </c>
      <c r="P354" s="34" t="s">
        <v>48</v>
      </c>
      <c r="Q354" s="33" t="n">
        <f>370.3</f>
        <v>370.3</v>
      </c>
      <c r="R354" s="34" t="s">
        <v>49</v>
      </c>
      <c r="S354" s="35" t="n">
        <f>355.97</f>
        <v>355.97</v>
      </c>
      <c r="T354" s="32" t="n">
        <f>102530</f>
        <v>102530.0</v>
      </c>
      <c r="U354" s="32" t="n">
        <f>490</f>
        <v>490.0</v>
      </c>
      <c r="V354" s="32" t="n">
        <f>36372938</f>
        <v>3.6372938E7</v>
      </c>
      <c r="W354" s="32" t="n">
        <f>173799</f>
        <v>173799.0</v>
      </c>
      <c r="X354" s="36" t="n">
        <f>18</f>
        <v>18.0</v>
      </c>
    </row>
    <row r="355">
      <c r="A355" s="27" t="s">
        <v>42</v>
      </c>
      <c r="B355" s="27" t="s">
        <v>1108</v>
      </c>
      <c r="C355" s="27" t="s">
        <v>1109</v>
      </c>
      <c r="D355" s="27" t="s">
        <v>1110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10.0</v>
      </c>
      <c r="K355" s="33" t="n">
        <f>194.4</f>
        <v>194.4</v>
      </c>
      <c r="L355" s="34" t="s">
        <v>48</v>
      </c>
      <c r="M355" s="33" t="n">
        <f>200</f>
        <v>200.0</v>
      </c>
      <c r="N355" s="34" t="s">
        <v>69</v>
      </c>
      <c r="O355" s="33" t="n">
        <f>191.4</f>
        <v>191.4</v>
      </c>
      <c r="P355" s="34" t="s">
        <v>160</v>
      </c>
      <c r="Q355" s="33" t="n">
        <f>196.5</f>
        <v>196.5</v>
      </c>
      <c r="R355" s="34" t="s">
        <v>49</v>
      </c>
      <c r="S355" s="35" t="n">
        <f>195.42</f>
        <v>195.42</v>
      </c>
      <c r="T355" s="32" t="n">
        <f>280360</f>
        <v>280360.0</v>
      </c>
      <c r="U355" s="32" t="n">
        <f>230</f>
        <v>230.0</v>
      </c>
      <c r="V355" s="32" t="n">
        <f>54692550</f>
        <v>5.469255E7</v>
      </c>
      <c r="W355" s="32" t="n">
        <f>45076</f>
        <v>45076.0</v>
      </c>
      <c r="X355" s="36" t="n">
        <f>18</f>
        <v>18.0</v>
      </c>
    </row>
    <row r="356">
      <c r="A356" s="27" t="s">
        <v>42</v>
      </c>
      <c r="B356" s="27" t="s">
        <v>1111</v>
      </c>
      <c r="C356" s="27" t="s">
        <v>1112</v>
      </c>
      <c r="D356" s="27" t="s">
        <v>1113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10.0</v>
      </c>
      <c r="K356" s="33" t="n">
        <f>637.2</f>
        <v>637.2</v>
      </c>
      <c r="L356" s="34" t="s">
        <v>48</v>
      </c>
      <c r="M356" s="33" t="n">
        <f>647.7</f>
        <v>647.7</v>
      </c>
      <c r="N356" s="34" t="s">
        <v>274</v>
      </c>
      <c r="O356" s="33" t="n">
        <f>633.6</f>
        <v>633.6</v>
      </c>
      <c r="P356" s="34" t="s">
        <v>48</v>
      </c>
      <c r="Q356" s="33" t="n">
        <f>643</f>
        <v>643.0</v>
      </c>
      <c r="R356" s="34" t="s">
        <v>49</v>
      </c>
      <c r="S356" s="35" t="n">
        <f>638.15</f>
        <v>638.15</v>
      </c>
      <c r="T356" s="32" t="n">
        <f>40060</f>
        <v>40060.0</v>
      </c>
      <c r="U356" s="32" t="n">
        <f>14540</f>
        <v>14540.0</v>
      </c>
      <c r="V356" s="32" t="n">
        <f>25634890</f>
        <v>2.563489E7</v>
      </c>
      <c r="W356" s="32" t="n">
        <f>9328573</f>
        <v>9328573.0</v>
      </c>
      <c r="X356" s="36" t="n">
        <f>17</f>
        <v>17.0</v>
      </c>
    </row>
    <row r="357">
      <c r="A357" s="27" t="s">
        <v>42</v>
      </c>
      <c r="B357" s="27" t="s">
        <v>1114</v>
      </c>
      <c r="C357" s="27" t="s">
        <v>1115</v>
      </c>
      <c r="D357" s="27" t="s">
        <v>1116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1.0</v>
      </c>
      <c r="K357" s="33" t="n">
        <f>2082</f>
        <v>2082.0</v>
      </c>
      <c r="L357" s="34" t="s">
        <v>48</v>
      </c>
      <c r="M357" s="33" t="n">
        <f>2217</f>
        <v>2217.0</v>
      </c>
      <c r="N357" s="34" t="s">
        <v>49</v>
      </c>
      <c r="O357" s="33" t="n">
        <f>1971</f>
        <v>1971.0</v>
      </c>
      <c r="P357" s="34" t="s">
        <v>94</v>
      </c>
      <c r="Q357" s="33" t="n">
        <f>2212</f>
        <v>2212.0</v>
      </c>
      <c r="R357" s="34" t="s">
        <v>49</v>
      </c>
      <c r="S357" s="35" t="n">
        <f>2097</f>
        <v>2097.0</v>
      </c>
      <c r="T357" s="32" t="n">
        <f>368671</f>
        <v>368671.0</v>
      </c>
      <c r="U357" s="32" t="n">
        <f>69965</f>
        <v>69965.0</v>
      </c>
      <c r="V357" s="32" t="n">
        <f>780259729</f>
        <v>7.80259729E8</v>
      </c>
      <c r="W357" s="32" t="n">
        <f>154138626</f>
        <v>1.54138626E8</v>
      </c>
      <c r="X357" s="36" t="n">
        <f>18</f>
        <v>18.0</v>
      </c>
    </row>
    <row r="358">
      <c r="A358" s="27" t="s">
        <v>42</v>
      </c>
      <c r="B358" s="27" t="s">
        <v>1117</v>
      </c>
      <c r="C358" s="27" t="s">
        <v>1118</v>
      </c>
      <c r="D358" s="27" t="s">
        <v>1119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1.0</v>
      </c>
      <c r="K358" s="33" t="n">
        <f>1047</f>
        <v>1047.0</v>
      </c>
      <c r="L358" s="34" t="s">
        <v>48</v>
      </c>
      <c r="M358" s="33" t="n">
        <f>1123</f>
        <v>1123.0</v>
      </c>
      <c r="N358" s="34" t="s">
        <v>64</v>
      </c>
      <c r="O358" s="33" t="n">
        <f>1038</f>
        <v>1038.0</v>
      </c>
      <c r="P358" s="34" t="s">
        <v>105</v>
      </c>
      <c r="Q358" s="33" t="n">
        <f>1055</f>
        <v>1055.0</v>
      </c>
      <c r="R358" s="34" t="s">
        <v>49</v>
      </c>
      <c r="S358" s="35" t="n">
        <f>1054.06</f>
        <v>1054.06</v>
      </c>
      <c r="T358" s="32" t="n">
        <f>1077546</f>
        <v>1077546.0</v>
      </c>
      <c r="U358" s="32" t="n">
        <f>1020112</f>
        <v>1020112.0</v>
      </c>
      <c r="V358" s="32" t="n">
        <f>1137659708</f>
        <v>1.137659708E9</v>
      </c>
      <c r="W358" s="32" t="n">
        <f>1077833740</f>
        <v>1.07783374E9</v>
      </c>
      <c r="X358" s="36" t="n">
        <f>18</f>
        <v>18.0</v>
      </c>
    </row>
    <row r="359">
      <c r="A359" s="27" t="s">
        <v>42</v>
      </c>
      <c r="B359" s="27" t="s">
        <v>1120</v>
      </c>
      <c r="C359" s="27" t="s">
        <v>1121</v>
      </c>
      <c r="D359" s="27" t="s">
        <v>1122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10.0</v>
      </c>
      <c r="K359" s="33" t="n">
        <f>673.3</f>
        <v>673.3</v>
      </c>
      <c r="L359" s="34" t="s">
        <v>48</v>
      </c>
      <c r="M359" s="33" t="n">
        <f>679.9</f>
        <v>679.9</v>
      </c>
      <c r="N359" s="34" t="s">
        <v>49</v>
      </c>
      <c r="O359" s="33" t="n">
        <f>671</f>
        <v>671.0</v>
      </c>
      <c r="P359" s="34" t="s">
        <v>60</v>
      </c>
      <c r="Q359" s="33" t="n">
        <f>679.8</f>
        <v>679.8</v>
      </c>
      <c r="R359" s="34" t="s">
        <v>49</v>
      </c>
      <c r="S359" s="35" t="n">
        <f>675.55</f>
        <v>675.55</v>
      </c>
      <c r="T359" s="32" t="n">
        <f>1263670</f>
        <v>1263670.0</v>
      </c>
      <c r="U359" s="32" t="n">
        <f>735330</f>
        <v>735330.0</v>
      </c>
      <c r="V359" s="32" t="n">
        <f>855884039</f>
        <v>8.55884039E8</v>
      </c>
      <c r="W359" s="32" t="n">
        <f>498031084</f>
        <v>4.98031084E8</v>
      </c>
      <c r="X359" s="36" t="n">
        <f>18</f>
        <v>18.0</v>
      </c>
    </row>
    <row r="360">
      <c r="A360" s="27" t="s">
        <v>42</v>
      </c>
      <c r="B360" s="27" t="s">
        <v>1123</v>
      </c>
      <c r="C360" s="27" t="s">
        <v>1124</v>
      </c>
      <c r="D360" s="27" t="s">
        <v>1125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10.0</v>
      </c>
      <c r="K360" s="33" t="n">
        <f>640.6</f>
        <v>640.6</v>
      </c>
      <c r="L360" s="34" t="s">
        <v>48</v>
      </c>
      <c r="M360" s="33" t="n">
        <f>649</f>
        <v>649.0</v>
      </c>
      <c r="N360" s="34" t="s">
        <v>90</v>
      </c>
      <c r="O360" s="33" t="n">
        <f>640.2</f>
        <v>640.2</v>
      </c>
      <c r="P360" s="34" t="s">
        <v>60</v>
      </c>
      <c r="Q360" s="33" t="n">
        <f>648</f>
        <v>648.0</v>
      </c>
      <c r="R360" s="34" t="s">
        <v>49</v>
      </c>
      <c r="S360" s="35" t="n">
        <f>644.17</f>
        <v>644.17</v>
      </c>
      <c r="T360" s="32" t="n">
        <f>2407050</f>
        <v>2407050.0</v>
      </c>
      <c r="U360" s="32" t="n">
        <f>1136500</f>
        <v>1136500.0</v>
      </c>
      <c r="V360" s="32" t="n">
        <f>1551399220</f>
        <v>1.55139922E9</v>
      </c>
      <c r="W360" s="32" t="n">
        <f>734645949</f>
        <v>7.34645949E8</v>
      </c>
      <c r="X360" s="36" t="n">
        <f>18</f>
        <v>18.0</v>
      </c>
    </row>
    <row r="361">
      <c r="A361" s="27" t="s">
        <v>42</v>
      </c>
      <c r="B361" s="27" t="s">
        <v>1126</v>
      </c>
      <c r="C361" s="27" t="s">
        <v>1127</v>
      </c>
      <c r="D361" s="27" t="s">
        <v>1128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1.0</v>
      </c>
      <c r="K361" s="33" t="n">
        <f>1343</f>
        <v>1343.0</v>
      </c>
      <c r="L361" s="34" t="s">
        <v>48</v>
      </c>
      <c r="M361" s="33" t="n">
        <f>1450</f>
        <v>1450.0</v>
      </c>
      <c r="N361" s="34" t="s">
        <v>105</v>
      </c>
      <c r="O361" s="33" t="n">
        <f>1329</f>
        <v>1329.0</v>
      </c>
      <c r="P361" s="34" t="s">
        <v>274</v>
      </c>
      <c r="Q361" s="33" t="n">
        <f>1415</f>
        <v>1415.0</v>
      </c>
      <c r="R361" s="34" t="s">
        <v>49</v>
      </c>
      <c r="S361" s="35" t="n">
        <f>1383.06</f>
        <v>1383.06</v>
      </c>
      <c r="T361" s="32" t="n">
        <f>26269</f>
        <v>26269.0</v>
      </c>
      <c r="U361" s="32" t="str">
        <f>"－"</f>
        <v>－</v>
      </c>
      <c r="V361" s="32" t="n">
        <f>36280456</f>
        <v>3.6280456E7</v>
      </c>
      <c r="W361" s="32" t="str">
        <f>"－"</f>
        <v>－</v>
      </c>
      <c r="X361" s="36" t="n">
        <f>18</f>
        <v>18.0</v>
      </c>
    </row>
    <row r="362">
      <c r="A362" s="27" t="s">
        <v>42</v>
      </c>
      <c r="B362" s="27" t="s">
        <v>1129</v>
      </c>
      <c r="C362" s="27" t="s">
        <v>1130</v>
      </c>
      <c r="D362" s="27" t="s">
        <v>1131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1.0</v>
      </c>
      <c r="K362" s="33" t="n">
        <f>2986</f>
        <v>2986.0</v>
      </c>
      <c r="L362" s="34" t="s">
        <v>48</v>
      </c>
      <c r="M362" s="33" t="n">
        <f>3120</f>
        <v>3120.0</v>
      </c>
      <c r="N362" s="34" t="s">
        <v>49</v>
      </c>
      <c r="O362" s="33" t="n">
        <f>2960</f>
        <v>2960.0</v>
      </c>
      <c r="P362" s="34" t="s">
        <v>48</v>
      </c>
      <c r="Q362" s="33" t="n">
        <f>3109</f>
        <v>3109.0</v>
      </c>
      <c r="R362" s="34" t="s">
        <v>49</v>
      </c>
      <c r="S362" s="35" t="n">
        <f>3047.44</f>
        <v>3047.44</v>
      </c>
      <c r="T362" s="32" t="n">
        <f>116374</f>
        <v>116374.0</v>
      </c>
      <c r="U362" s="32" t="n">
        <f>59210</f>
        <v>59210.0</v>
      </c>
      <c r="V362" s="32" t="n">
        <f>354553149</f>
        <v>3.54553149E8</v>
      </c>
      <c r="W362" s="32" t="n">
        <f>180296294</f>
        <v>1.80296294E8</v>
      </c>
      <c r="X362" s="36" t="n">
        <f>18</f>
        <v>18.0</v>
      </c>
    </row>
    <row r="363">
      <c r="A363" s="27" t="s">
        <v>42</v>
      </c>
      <c r="B363" s="27" t="s">
        <v>1132</v>
      </c>
      <c r="C363" s="27" t="s">
        <v>1133</v>
      </c>
      <c r="D363" s="27" t="s">
        <v>1134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3155</f>
        <v>3155.0</v>
      </c>
      <c r="L363" s="34" t="s">
        <v>48</v>
      </c>
      <c r="M363" s="33" t="n">
        <f>3265</f>
        <v>3265.0</v>
      </c>
      <c r="N363" s="34" t="s">
        <v>49</v>
      </c>
      <c r="O363" s="33" t="n">
        <f>3130</f>
        <v>3130.0</v>
      </c>
      <c r="P363" s="34" t="s">
        <v>94</v>
      </c>
      <c r="Q363" s="33" t="n">
        <f>3257</f>
        <v>3257.0</v>
      </c>
      <c r="R363" s="34" t="s">
        <v>49</v>
      </c>
      <c r="S363" s="35" t="n">
        <f>3217.72</f>
        <v>3217.72</v>
      </c>
      <c r="T363" s="32" t="n">
        <f>693397</f>
        <v>693397.0</v>
      </c>
      <c r="U363" s="32" t="n">
        <f>413989</f>
        <v>413989.0</v>
      </c>
      <c r="V363" s="32" t="n">
        <f>2223298806</f>
        <v>2.223298806E9</v>
      </c>
      <c r="W363" s="32" t="n">
        <f>1332074590</f>
        <v>1.33207459E9</v>
      </c>
      <c r="X363" s="36" t="n">
        <f>18</f>
        <v>18.0</v>
      </c>
    </row>
    <row r="364">
      <c r="A364" s="27" t="s">
        <v>42</v>
      </c>
      <c r="B364" s="27" t="s">
        <v>1135</v>
      </c>
      <c r="C364" s="27" t="s">
        <v>1136</v>
      </c>
      <c r="D364" s="27" t="s">
        <v>1137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1.0</v>
      </c>
      <c r="K364" s="33" t="n">
        <f>5955</f>
        <v>5955.0</v>
      </c>
      <c r="L364" s="34" t="s">
        <v>48</v>
      </c>
      <c r="M364" s="33" t="n">
        <f>6410</f>
        <v>6410.0</v>
      </c>
      <c r="N364" s="34" t="s">
        <v>59</v>
      </c>
      <c r="O364" s="33" t="n">
        <f>5820</f>
        <v>5820.0</v>
      </c>
      <c r="P364" s="34" t="s">
        <v>64</v>
      </c>
      <c r="Q364" s="33" t="n">
        <f>5998</f>
        <v>5998.0</v>
      </c>
      <c r="R364" s="34" t="s">
        <v>49</v>
      </c>
      <c r="S364" s="35" t="n">
        <f>5922.56</f>
        <v>5922.56</v>
      </c>
      <c r="T364" s="32" t="n">
        <f>223107</f>
        <v>223107.0</v>
      </c>
      <c r="U364" s="32" t="n">
        <f>210042</f>
        <v>210042.0</v>
      </c>
      <c r="V364" s="32" t="n">
        <f>1327089889</f>
        <v>1.327089889E9</v>
      </c>
      <c r="W364" s="32" t="n">
        <f>1249518883</f>
        <v>1.249518883E9</v>
      </c>
      <c r="X364" s="36" t="n">
        <f>18</f>
        <v>18.0</v>
      </c>
    </row>
    <row r="365">
      <c r="A365" s="27" t="s">
        <v>42</v>
      </c>
      <c r="B365" s="27" t="s">
        <v>1138</v>
      </c>
      <c r="C365" s="27" t="s">
        <v>1139</v>
      </c>
      <c r="D365" s="27" t="s">
        <v>1140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4058</f>
        <v>4058.0</v>
      </c>
      <c r="L365" s="34" t="s">
        <v>48</v>
      </c>
      <c r="M365" s="33" t="n">
        <f>4100</f>
        <v>4100.0</v>
      </c>
      <c r="N365" s="34" t="s">
        <v>105</v>
      </c>
      <c r="O365" s="33" t="n">
        <f>4029</f>
        <v>4029.0</v>
      </c>
      <c r="P365" s="34" t="s">
        <v>79</v>
      </c>
      <c r="Q365" s="33" t="n">
        <f>4093</f>
        <v>4093.0</v>
      </c>
      <c r="R365" s="34" t="s">
        <v>49</v>
      </c>
      <c r="S365" s="35" t="n">
        <f>4063.54</f>
        <v>4063.54</v>
      </c>
      <c r="T365" s="32" t="n">
        <f>835</f>
        <v>835.0</v>
      </c>
      <c r="U365" s="32" t="str">
        <f>"－"</f>
        <v>－</v>
      </c>
      <c r="V365" s="32" t="n">
        <f>3395388</f>
        <v>3395388.0</v>
      </c>
      <c r="W365" s="32" t="str">
        <f>"－"</f>
        <v>－</v>
      </c>
      <c r="X365" s="36" t="n">
        <f>13</f>
        <v>13.0</v>
      </c>
    </row>
    <row r="366">
      <c r="A366" s="27" t="s">
        <v>42</v>
      </c>
      <c r="B366" s="27" t="s">
        <v>1141</v>
      </c>
      <c r="C366" s="27" t="s">
        <v>1142</v>
      </c>
      <c r="D366" s="27" t="s">
        <v>1143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1.0</v>
      </c>
      <c r="K366" s="33" t="n">
        <f>1310</f>
        <v>1310.0</v>
      </c>
      <c r="L366" s="34" t="s">
        <v>48</v>
      </c>
      <c r="M366" s="33" t="n">
        <f>1384</f>
        <v>1384.0</v>
      </c>
      <c r="N366" s="34" t="s">
        <v>59</v>
      </c>
      <c r="O366" s="33" t="n">
        <f>1310</f>
        <v>1310.0</v>
      </c>
      <c r="P366" s="34" t="s">
        <v>48</v>
      </c>
      <c r="Q366" s="33" t="n">
        <f>1369</f>
        <v>1369.0</v>
      </c>
      <c r="R366" s="34" t="s">
        <v>49</v>
      </c>
      <c r="S366" s="35" t="n">
        <f>1340.06</f>
        <v>1340.06</v>
      </c>
      <c r="T366" s="32" t="n">
        <f>41053</f>
        <v>41053.0</v>
      </c>
      <c r="U366" s="32" t="str">
        <f>"－"</f>
        <v>－</v>
      </c>
      <c r="V366" s="32" t="n">
        <f>55333371</f>
        <v>5.5333371E7</v>
      </c>
      <c r="W366" s="32" t="str">
        <f>"－"</f>
        <v>－</v>
      </c>
      <c r="X366" s="36" t="n">
        <f>18</f>
        <v>18.0</v>
      </c>
    </row>
    <row r="367">
      <c r="A367" s="27" t="s">
        <v>42</v>
      </c>
      <c r="B367" s="27" t="s">
        <v>1144</v>
      </c>
      <c r="C367" s="27" t="s">
        <v>1145</v>
      </c>
      <c r="D367" s="27" t="s">
        <v>1146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1.0</v>
      </c>
      <c r="K367" s="33" t="n">
        <f>1219</f>
        <v>1219.0</v>
      </c>
      <c r="L367" s="34" t="s">
        <v>48</v>
      </c>
      <c r="M367" s="33" t="n">
        <f>1230</f>
        <v>1230.0</v>
      </c>
      <c r="N367" s="34" t="s">
        <v>60</v>
      </c>
      <c r="O367" s="33" t="n">
        <f>1167</f>
        <v>1167.0</v>
      </c>
      <c r="P367" s="34" t="s">
        <v>274</v>
      </c>
      <c r="Q367" s="33" t="n">
        <f>1210</f>
        <v>1210.0</v>
      </c>
      <c r="R367" s="34" t="s">
        <v>49</v>
      </c>
      <c r="S367" s="35" t="n">
        <f>1201.17</f>
        <v>1201.17</v>
      </c>
      <c r="T367" s="32" t="n">
        <f>7340174</f>
        <v>7340174.0</v>
      </c>
      <c r="U367" s="32" t="n">
        <f>507</f>
        <v>507.0</v>
      </c>
      <c r="V367" s="32" t="n">
        <f>8807100602</f>
        <v>8.807100602E9</v>
      </c>
      <c r="W367" s="32" t="n">
        <f>612171</f>
        <v>612171.0</v>
      </c>
      <c r="X367" s="36" t="n">
        <f>18</f>
        <v>18.0</v>
      </c>
    </row>
    <row r="368">
      <c r="A368" s="27" t="s">
        <v>42</v>
      </c>
      <c r="B368" s="27" t="s">
        <v>1147</v>
      </c>
      <c r="C368" s="27" t="s">
        <v>1148</v>
      </c>
      <c r="D368" s="27" t="s">
        <v>1149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1.0</v>
      </c>
      <c r="K368" s="33" t="n">
        <f>1003</f>
        <v>1003.0</v>
      </c>
      <c r="L368" s="34" t="s">
        <v>48</v>
      </c>
      <c r="M368" s="33" t="n">
        <f>1023</f>
        <v>1023.0</v>
      </c>
      <c r="N368" s="34" t="s">
        <v>101</v>
      </c>
      <c r="O368" s="33" t="n">
        <f>987</f>
        <v>987.0</v>
      </c>
      <c r="P368" s="34" t="s">
        <v>105</v>
      </c>
      <c r="Q368" s="33" t="n">
        <f>1014</f>
        <v>1014.0</v>
      </c>
      <c r="R368" s="34" t="s">
        <v>49</v>
      </c>
      <c r="S368" s="35" t="n">
        <f>1008.89</f>
        <v>1008.89</v>
      </c>
      <c r="T368" s="32" t="n">
        <f>1012421</f>
        <v>1012421.0</v>
      </c>
      <c r="U368" s="32" t="n">
        <f>301</f>
        <v>301.0</v>
      </c>
      <c r="V368" s="32" t="n">
        <f>1019002721</f>
        <v>1.019002721E9</v>
      </c>
      <c r="W368" s="32" t="n">
        <f>284214</f>
        <v>284214.0</v>
      </c>
      <c r="X368" s="36" t="n">
        <f>18</f>
        <v>18.0</v>
      </c>
    </row>
    <row r="369">
      <c r="A369" s="27" t="s">
        <v>42</v>
      </c>
      <c r="B369" s="27" t="s">
        <v>1150</v>
      </c>
      <c r="C369" s="27" t="s">
        <v>1151</v>
      </c>
      <c r="D369" s="27" t="s">
        <v>1152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1590</f>
        <v>1590.0</v>
      </c>
      <c r="L369" s="34" t="s">
        <v>48</v>
      </c>
      <c r="M369" s="33" t="n">
        <f>1648</f>
        <v>1648.0</v>
      </c>
      <c r="N369" s="34" t="s">
        <v>68</v>
      </c>
      <c r="O369" s="33" t="n">
        <f>1496</f>
        <v>1496.0</v>
      </c>
      <c r="P369" s="34" t="s">
        <v>101</v>
      </c>
      <c r="Q369" s="33" t="n">
        <f>1640</f>
        <v>1640.0</v>
      </c>
      <c r="R369" s="34" t="s">
        <v>49</v>
      </c>
      <c r="S369" s="35" t="n">
        <f>1597.39</f>
        <v>1597.39</v>
      </c>
      <c r="T369" s="32" t="n">
        <f>53170</f>
        <v>53170.0</v>
      </c>
      <c r="U369" s="32" t="str">
        <f>"－"</f>
        <v>－</v>
      </c>
      <c r="V369" s="32" t="n">
        <f>84643265</f>
        <v>8.4643265E7</v>
      </c>
      <c r="W369" s="32" t="str">
        <f>"－"</f>
        <v>－</v>
      </c>
      <c r="X369" s="36" t="n">
        <f>18</f>
        <v>18.0</v>
      </c>
    </row>
    <row r="370">
      <c r="A370" s="27" t="s">
        <v>42</v>
      </c>
      <c r="B370" s="27" t="s">
        <v>1153</v>
      </c>
      <c r="C370" s="27" t="s">
        <v>1154</v>
      </c>
      <c r="D370" s="27" t="s">
        <v>1155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1098</f>
        <v>1098.0</v>
      </c>
      <c r="L370" s="34" t="s">
        <v>48</v>
      </c>
      <c r="M370" s="33" t="n">
        <f>1110</f>
        <v>1110.0</v>
      </c>
      <c r="N370" s="34" t="s">
        <v>101</v>
      </c>
      <c r="O370" s="33" t="n">
        <f>1066</f>
        <v>1066.0</v>
      </c>
      <c r="P370" s="34" t="s">
        <v>105</v>
      </c>
      <c r="Q370" s="33" t="n">
        <f>1105</f>
        <v>1105.0</v>
      </c>
      <c r="R370" s="34" t="s">
        <v>49</v>
      </c>
      <c r="S370" s="35" t="n">
        <f>1093.44</f>
        <v>1093.44</v>
      </c>
      <c r="T370" s="32" t="n">
        <f>1458388</f>
        <v>1458388.0</v>
      </c>
      <c r="U370" s="32" t="n">
        <f>250</f>
        <v>250.0</v>
      </c>
      <c r="V370" s="32" t="n">
        <f>1593366090</f>
        <v>1.59336609E9</v>
      </c>
      <c r="W370" s="32" t="n">
        <f>286772</f>
        <v>286772.0</v>
      </c>
      <c r="X370" s="36" t="n">
        <f>18</f>
        <v>18.0</v>
      </c>
    </row>
    <row r="371">
      <c r="A371" s="27" t="s">
        <v>42</v>
      </c>
      <c r="B371" s="27" t="s">
        <v>1156</v>
      </c>
      <c r="C371" s="27" t="s">
        <v>1157</v>
      </c>
      <c r="D371" s="27" t="s">
        <v>1158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59150</f>
        <v>59150.0</v>
      </c>
      <c r="L371" s="34" t="s">
        <v>48</v>
      </c>
      <c r="M371" s="33" t="n">
        <f>61140</f>
        <v>61140.0</v>
      </c>
      <c r="N371" s="34" t="s">
        <v>60</v>
      </c>
      <c r="O371" s="33" t="n">
        <f>53170</f>
        <v>53170.0</v>
      </c>
      <c r="P371" s="34" t="s">
        <v>94</v>
      </c>
      <c r="Q371" s="33" t="n">
        <f>56430</f>
        <v>56430.0</v>
      </c>
      <c r="R371" s="34" t="s">
        <v>49</v>
      </c>
      <c r="S371" s="35" t="n">
        <f>56822.22</f>
        <v>56822.22</v>
      </c>
      <c r="T371" s="32" t="n">
        <f>296145</f>
        <v>296145.0</v>
      </c>
      <c r="U371" s="32" t="n">
        <f>3325</f>
        <v>3325.0</v>
      </c>
      <c r="V371" s="32" t="n">
        <f>16769587905</f>
        <v>1.6769587905E10</v>
      </c>
      <c r="W371" s="32" t="n">
        <f>188135305</f>
        <v>1.88135305E8</v>
      </c>
      <c r="X371" s="36" t="n">
        <f>18</f>
        <v>18.0</v>
      </c>
    </row>
    <row r="372">
      <c r="A372" s="27" t="s">
        <v>42</v>
      </c>
      <c r="B372" s="27" t="s">
        <v>1159</v>
      </c>
      <c r="C372" s="27" t="s">
        <v>1160</v>
      </c>
      <c r="D372" s="27" t="s">
        <v>1161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10660</f>
        <v>10660.0</v>
      </c>
      <c r="L372" s="34" t="s">
        <v>48</v>
      </c>
      <c r="M372" s="33" t="n">
        <f>11795</f>
        <v>11795.0</v>
      </c>
      <c r="N372" s="34" t="s">
        <v>94</v>
      </c>
      <c r="O372" s="33" t="n">
        <f>10280</f>
        <v>10280.0</v>
      </c>
      <c r="P372" s="34" t="s">
        <v>60</v>
      </c>
      <c r="Q372" s="33" t="n">
        <f>11025</f>
        <v>11025.0</v>
      </c>
      <c r="R372" s="34" t="s">
        <v>49</v>
      </c>
      <c r="S372" s="35" t="n">
        <f>11029.17</f>
        <v>11029.17</v>
      </c>
      <c r="T372" s="32" t="n">
        <f>706256</f>
        <v>706256.0</v>
      </c>
      <c r="U372" s="32" t="n">
        <f>4260</f>
        <v>4260.0</v>
      </c>
      <c r="V372" s="32" t="n">
        <f>7809076643</f>
        <v>7.809076643E9</v>
      </c>
      <c r="W372" s="32" t="n">
        <f>46866918</f>
        <v>4.6866918E7</v>
      </c>
      <c r="X372" s="36" t="n">
        <f>18</f>
        <v>18.0</v>
      </c>
    </row>
    <row r="373">
      <c r="A373" s="27" t="s">
        <v>42</v>
      </c>
      <c r="B373" s="27" t="s">
        <v>1162</v>
      </c>
      <c r="C373" s="27" t="s">
        <v>1163</v>
      </c>
      <c r="D373" s="27" t="s">
        <v>1164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2614</f>
        <v>2614.0</v>
      </c>
      <c r="L373" s="34" t="s">
        <v>48</v>
      </c>
      <c r="M373" s="33" t="n">
        <f>2790</f>
        <v>2790.0</v>
      </c>
      <c r="N373" s="34" t="s">
        <v>49</v>
      </c>
      <c r="O373" s="33" t="n">
        <f>2576</f>
        <v>2576.0</v>
      </c>
      <c r="P373" s="34" t="s">
        <v>48</v>
      </c>
      <c r="Q373" s="33" t="n">
        <f>2790</f>
        <v>2790.0</v>
      </c>
      <c r="R373" s="34" t="s">
        <v>49</v>
      </c>
      <c r="S373" s="35" t="n">
        <f>2713</f>
        <v>2713.0</v>
      </c>
      <c r="T373" s="32" t="n">
        <f>263</f>
        <v>263.0</v>
      </c>
      <c r="U373" s="32" t="str">
        <f>"－"</f>
        <v>－</v>
      </c>
      <c r="V373" s="32" t="n">
        <f>714347</f>
        <v>714347.0</v>
      </c>
      <c r="W373" s="32" t="str">
        <f>"－"</f>
        <v>－</v>
      </c>
      <c r="X373" s="36" t="n">
        <f>10</f>
        <v>10.0</v>
      </c>
    </row>
    <row r="374">
      <c r="A374" s="27" t="s">
        <v>42</v>
      </c>
      <c r="B374" s="27" t="s">
        <v>1165</v>
      </c>
      <c r="C374" s="27" t="s">
        <v>1166</v>
      </c>
      <c r="D374" s="27" t="s">
        <v>1167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10050</f>
        <v>10050.0</v>
      </c>
      <c r="L374" s="34" t="s">
        <v>48</v>
      </c>
      <c r="M374" s="33" t="n">
        <f>10310</f>
        <v>10310.0</v>
      </c>
      <c r="N374" s="34" t="s">
        <v>101</v>
      </c>
      <c r="O374" s="33" t="n">
        <f>9510</f>
        <v>9510.0</v>
      </c>
      <c r="P374" s="34" t="s">
        <v>49</v>
      </c>
      <c r="Q374" s="33" t="n">
        <f>9600</f>
        <v>9600.0</v>
      </c>
      <c r="R374" s="34" t="s">
        <v>49</v>
      </c>
      <c r="S374" s="35" t="n">
        <f>9931.94</f>
        <v>9931.94</v>
      </c>
      <c r="T374" s="32" t="n">
        <f>4389</f>
        <v>4389.0</v>
      </c>
      <c r="U374" s="32" t="str">
        <f>"－"</f>
        <v>－</v>
      </c>
      <c r="V374" s="32" t="n">
        <f>43163489</f>
        <v>4.3163489E7</v>
      </c>
      <c r="W374" s="32" t="str">
        <f>"－"</f>
        <v>－</v>
      </c>
      <c r="X374" s="36" t="n">
        <f>18</f>
        <v>18.0</v>
      </c>
    </row>
    <row r="375">
      <c r="A375" s="27" t="s">
        <v>42</v>
      </c>
      <c r="B375" s="27" t="s">
        <v>1168</v>
      </c>
      <c r="C375" s="27" t="s">
        <v>1169</v>
      </c>
      <c r="D375" s="27" t="s">
        <v>1170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125100</f>
        <v>125100.0</v>
      </c>
      <c r="L375" s="34" t="s">
        <v>48</v>
      </c>
      <c r="M375" s="33" t="n">
        <f>126400</f>
        <v>126400.0</v>
      </c>
      <c r="N375" s="34" t="s">
        <v>68</v>
      </c>
      <c r="O375" s="33" t="n">
        <f>124000</f>
        <v>124000.0</v>
      </c>
      <c r="P375" s="34" t="s">
        <v>48</v>
      </c>
      <c r="Q375" s="33" t="n">
        <f>124300</f>
        <v>124300.0</v>
      </c>
      <c r="R375" s="34" t="s">
        <v>49</v>
      </c>
      <c r="S375" s="35" t="n">
        <f>124966.67</f>
        <v>124966.67</v>
      </c>
      <c r="T375" s="32" t="n">
        <f>14752</f>
        <v>14752.0</v>
      </c>
      <c r="U375" s="32" t="n">
        <f>2253</f>
        <v>2253.0</v>
      </c>
      <c r="V375" s="32" t="n">
        <f>1844167766</f>
        <v>1.844167766E9</v>
      </c>
      <c r="W375" s="32" t="n">
        <f>281957666</f>
        <v>2.81957666E8</v>
      </c>
      <c r="X375" s="36" t="n">
        <f>18</f>
        <v>18.0</v>
      </c>
    </row>
    <row r="376">
      <c r="A376" s="27" t="s">
        <v>42</v>
      </c>
      <c r="B376" s="27" t="s">
        <v>1171</v>
      </c>
      <c r="C376" s="27" t="s">
        <v>1172</v>
      </c>
      <c r="D376" s="27" t="s">
        <v>1173</v>
      </c>
      <c r="E376" s="28" t="s">
        <v>46</v>
      </c>
      <c r="F376" s="29" t="s">
        <v>46</v>
      </c>
      <c r="G376" s="30" t="s">
        <v>46</v>
      </c>
      <c r="H376" s="31" t="s">
        <v>1174</v>
      </c>
      <c r="I376" s="31" t="s">
        <v>413</v>
      </c>
      <c r="J376" s="32" t="n">
        <v>1.0</v>
      </c>
      <c r="K376" s="33" t="n">
        <f>132000</f>
        <v>132000.0</v>
      </c>
      <c r="L376" s="34" t="s">
        <v>48</v>
      </c>
      <c r="M376" s="33" t="n">
        <f>132300</f>
        <v>132300.0</v>
      </c>
      <c r="N376" s="34" t="s">
        <v>48</v>
      </c>
      <c r="O376" s="33" t="n">
        <f>125600</f>
        <v>125600.0</v>
      </c>
      <c r="P376" s="34" t="s">
        <v>203</v>
      </c>
      <c r="Q376" s="33" t="n">
        <f>126400</f>
        <v>126400.0</v>
      </c>
      <c r="R376" s="34" t="s">
        <v>49</v>
      </c>
      <c r="S376" s="35" t="n">
        <f>129161.11</f>
        <v>129161.11</v>
      </c>
      <c r="T376" s="32" t="n">
        <f>98243</f>
        <v>98243.0</v>
      </c>
      <c r="U376" s="32" t="n">
        <f>17746</f>
        <v>17746.0</v>
      </c>
      <c r="V376" s="32" t="n">
        <f>12721908455</f>
        <v>1.2721908455E10</v>
      </c>
      <c r="W376" s="32" t="n">
        <f>2288314155</f>
        <v>2.288314155E9</v>
      </c>
      <c r="X376" s="36" t="n">
        <f>18</f>
        <v>18.0</v>
      </c>
    </row>
    <row r="377">
      <c r="A377" s="27" t="s">
        <v>42</v>
      </c>
      <c r="B377" s="27" t="s">
        <v>1175</v>
      </c>
      <c r="C377" s="27" t="s">
        <v>1176</v>
      </c>
      <c r="D377" s="27" t="s">
        <v>1177</v>
      </c>
      <c r="E377" s="28" t="s">
        <v>46</v>
      </c>
      <c r="F377" s="29" t="s">
        <v>46</v>
      </c>
      <c r="G377" s="30" t="s">
        <v>46</v>
      </c>
      <c r="H377" s="31"/>
      <c r="I377" s="31" t="s">
        <v>47</v>
      </c>
      <c r="J377" s="32" t="n">
        <v>1.0</v>
      </c>
      <c r="K377" s="33" t="n">
        <f>128000</f>
        <v>128000.0</v>
      </c>
      <c r="L377" s="34" t="s">
        <v>48</v>
      </c>
      <c r="M377" s="33" t="n">
        <f>130600</f>
        <v>130600.0</v>
      </c>
      <c r="N377" s="34" t="s">
        <v>83</v>
      </c>
      <c r="O377" s="33" t="n">
        <f>124300</f>
        <v>124300.0</v>
      </c>
      <c r="P377" s="34" t="s">
        <v>105</v>
      </c>
      <c r="Q377" s="33" t="n">
        <f>129500</f>
        <v>129500.0</v>
      </c>
      <c r="R377" s="34" t="s">
        <v>49</v>
      </c>
      <c r="S377" s="35" t="n">
        <f>127661.11</f>
        <v>127661.11</v>
      </c>
      <c r="T377" s="32" t="n">
        <f>47620</f>
        <v>47620.0</v>
      </c>
      <c r="U377" s="32" t="n">
        <f>9427</f>
        <v>9427.0</v>
      </c>
      <c r="V377" s="32" t="n">
        <f>6087489952</f>
        <v>6.087489952E9</v>
      </c>
      <c r="W377" s="32" t="n">
        <f>1205153352</f>
        <v>1.205153352E9</v>
      </c>
      <c r="X377" s="36" t="n">
        <f>18</f>
        <v>18.0</v>
      </c>
    </row>
    <row r="378">
      <c r="A378" s="27" t="s">
        <v>42</v>
      </c>
      <c r="B378" s="27" t="s">
        <v>1178</v>
      </c>
      <c r="C378" s="27" t="s">
        <v>1179</v>
      </c>
      <c r="D378" s="27" t="s">
        <v>1180</v>
      </c>
      <c r="E378" s="28" t="s">
        <v>46</v>
      </c>
      <c r="F378" s="29" t="s">
        <v>46</v>
      </c>
      <c r="G378" s="30" t="s">
        <v>46</v>
      </c>
      <c r="H378" s="31"/>
      <c r="I378" s="31" t="s">
        <v>413</v>
      </c>
      <c r="J378" s="32" t="n">
        <v>1.0</v>
      </c>
      <c r="K378" s="33" t="n">
        <f>112500</f>
        <v>112500.0</v>
      </c>
      <c r="L378" s="34" t="s">
        <v>48</v>
      </c>
      <c r="M378" s="33" t="n">
        <f>113800</f>
        <v>113800.0</v>
      </c>
      <c r="N378" s="34" t="s">
        <v>68</v>
      </c>
      <c r="O378" s="33" t="n">
        <f>111300</f>
        <v>111300.0</v>
      </c>
      <c r="P378" s="34" t="s">
        <v>203</v>
      </c>
      <c r="Q378" s="33" t="n">
        <f>112700</f>
        <v>112700.0</v>
      </c>
      <c r="R378" s="34" t="s">
        <v>49</v>
      </c>
      <c r="S378" s="35" t="n">
        <f>112533.33</f>
        <v>112533.33</v>
      </c>
      <c r="T378" s="32" t="n">
        <f>68038</f>
        <v>68038.0</v>
      </c>
      <c r="U378" s="32" t="n">
        <f>18111</f>
        <v>18111.0</v>
      </c>
      <c r="V378" s="32" t="n">
        <f>7667172669</f>
        <v>7.667172669E9</v>
      </c>
      <c r="W378" s="32" t="n">
        <f>2049658969</f>
        <v>2.049658969E9</v>
      </c>
      <c r="X378" s="36" t="n">
        <f>18</f>
        <v>18.0</v>
      </c>
    </row>
    <row r="379">
      <c r="A379" s="27" t="s">
        <v>42</v>
      </c>
      <c r="B379" s="27" t="s">
        <v>1181</v>
      </c>
      <c r="C379" s="27" t="s">
        <v>1182</v>
      </c>
      <c r="D379" s="27" t="s">
        <v>1183</v>
      </c>
      <c r="E379" s="28" t="s">
        <v>46</v>
      </c>
      <c r="F379" s="29" t="s">
        <v>46</v>
      </c>
      <c r="G379" s="30" t="s">
        <v>46</v>
      </c>
      <c r="H379" s="31"/>
      <c r="I379" s="31" t="s">
        <v>47</v>
      </c>
      <c r="J379" s="32" t="n">
        <v>10.0</v>
      </c>
      <c r="K379" s="33" t="n">
        <f>234.6</f>
        <v>234.6</v>
      </c>
      <c r="L379" s="34" t="s">
        <v>48</v>
      </c>
      <c r="M379" s="33" t="n">
        <f>238.6</f>
        <v>238.6</v>
      </c>
      <c r="N379" s="34" t="s">
        <v>59</v>
      </c>
      <c r="O379" s="33" t="n">
        <f>223.1</f>
        <v>223.1</v>
      </c>
      <c r="P379" s="34" t="s">
        <v>274</v>
      </c>
      <c r="Q379" s="33" t="n">
        <f>231.2</f>
        <v>231.2</v>
      </c>
      <c r="R379" s="34" t="s">
        <v>49</v>
      </c>
      <c r="S379" s="35" t="n">
        <f>231.71</f>
        <v>231.71</v>
      </c>
      <c r="T379" s="32" t="n">
        <f>4722810</f>
        <v>4722810.0</v>
      </c>
      <c r="U379" s="32" t="str">
        <f>"－"</f>
        <v>－</v>
      </c>
      <c r="V379" s="32" t="n">
        <f>1096020642</f>
        <v>1.096020642E9</v>
      </c>
      <c r="W379" s="32" t="str">
        <f>"－"</f>
        <v>－</v>
      </c>
      <c r="X379" s="36" t="n">
        <f>18</f>
        <v>18.0</v>
      </c>
    </row>
    <row r="380">
      <c r="A380" s="27" t="s">
        <v>42</v>
      </c>
      <c r="B380" s="27" t="s">
        <v>1184</v>
      </c>
      <c r="C380" s="27" t="s">
        <v>1185</v>
      </c>
      <c r="D380" s="27" t="s">
        <v>1186</v>
      </c>
      <c r="E380" s="28" t="s">
        <v>46</v>
      </c>
      <c r="F380" s="29" t="s">
        <v>46</v>
      </c>
      <c r="G380" s="30" t="s">
        <v>46</v>
      </c>
      <c r="H380" s="31"/>
      <c r="I380" s="31" t="s">
        <v>47</v>
      </c>
      <c r="J380" s="32" t="n">
        <v>10.0</v>
      </c>
      <c r="K380" s="33" t="n">
        <f>351</f>
        <v>351.0</v>
      </c>
      <c r="L380" s="34" t="s">
        <v>48</v>
      </c>
      <c r="M380" s="33" t="n">
        <f>384.6</f>
        <v>384.6</v>
      </c>
      <c r="N380" s="34" t="s">
        <v>68</v>
      </c>
      <c r="O380" s="33" t="n">
        <f>327</f>
        <v>327.0</v>
      </c>
      <c r="P380" s="34" t="s">
        <v>48</v>
      </c>
      <c r="Q380" s="33" t="n">
        <f>383.6</f>
        <v>383.6</v>
      </c>
      <c r="R380" s="34" t="s">
        <v>49</v>
      </c>
      <c r="S380" s="35" t="n">
        <f>366.97</f>
        <v>366.97</v>
      </c>
      <c r="T380" s="32" t="n">
        <f>208934950</f>
        <v>2.0893495E8</v>
      </c>
      <c r="U380" s="32" t="n">
        <f>7111240</f>
        <v>7111240.0</v>
      </c>
      <c r="V380" s="32" t="n">
        <f>75314279525</f>
        <v>7.5314279525E10</v>
      </c>
      <c r="W380" s="32" t="n">
        <f>2502522086</f>
        <v>2.502522086E9</v>
      </c>
      <c r="X380" s="36" t="n">
        <f>18</f>
        <v>18.0</v>
      </c>
    </row>
    <row r="381">
      <c r="A381" s="27" t="s">
        <v>42</v>
      </c>
      <c r="B381" s="27" t="s">
        <v>1187</v>
      </c>
      <c r="C381" s="27" t="s">
        <v>1188</v>
      </c>
      <c r="D381" s="27" t="s">
        <v>1189</v>
      </c>
      <c r="E381" s="28" t="s">
        <v>46</v>
      </c>
      <c r="F381" s="29" t="s">
        <v>46</v>
      </c>
      <c r="G381" s="30" t="s">
        <v>46</v>
      </c>
      <c r="H381" s="31"/>
      <c r="I381" s="31" t="s">
        <v>47</v>
      </c>
      <c r="J381" s="32" t="n">
        <v>1.0</v>
      </c>
      <c r="K381" s="33" t="n">
        <f>1572</f>
        <v>1572.0</v>
      </c>
      <c r="L381" s="34" t="s">
        <v>48</v>
      </c>
      <c r="M381" s="33" t="n">
        <f>1742</f>
        <v>1742.0</v>
      </c>
      <c r="N381" s="34" t="s">
        <v>64</v>
      </c>
      <c r="O381" s="33" t="n">
        <f>1489</f>
        <v>1489.0</v>
      </c>
      <c r="P381" s="34" t="s">
        <v>48</v>
      </c>
      <c r="Q381" s="33" t="n">
        <f>1649</f>
        <v>1649.0</v>
      </c>
      <c r="R381" s="34" t="s">
        <v>49</v>
      </c>
      <c r="S381" s="35" t="n">
        <f>1631.61</f>
        <v>1631.61</v>
      </c>
      <c r="T381" s="32" t="n">
        <f>2350255</f>
        <v>2350255.0</v>
      </c>
      <c r="U381" s="32" t="n">
        <f>367454</f>
        <v>367454.0</v>
      </c>
      <c r="V381" s="32" t="n">
        <f>3807234568</f>
        <v>3.807234568E9</v>
      </c>
      <c r="W381" s="32" t="n">
        <f>581998070</f>
        <v>5.8199807E8</v>
      </c>
      <c r="X381" s="36" t="n">
        <f>18</f>
        <v>18.0</v>
      </c>
    </row>
    <row r="382">
      <c r="A382" s="27" t="s">
        <v>42</v>
      </c>
      <c r="B382" s="27" t="s">
        <v>1190</v>
      </c>
      <c r="C382" s="27" t="s">
        <v>1191</v>
      </c>
      <c r="D382" s="27" t="s">
        <v>1192</v>
      </c>
      <c r="E382" s="28" t="s">
        <v>46</v>
      </c>
      <c r="F382" s="29" t="s">
        <v>46</v>
      </c>
      <c r="G382" s="30" t="s">
        <v>46</v>
      </c>
      <c r="H382" s="31"/>
      <c r="I382" s="31" t="s">
        <v>47</v>
      </c>
      <c r="J382" s="32" t="n">
        <v>1.0</v>
      </c>
      <c r="K382" s="33" t="n">
        <f>2179</f>
        <v>2179.0</v>
      </c>
      <c r="L382" s="34" t="s">
        <v>48</v>
      </c>
      <c r="M382" s="33" t="n">
        <f>2233</f>
        <v>2233.0</v>
      </c>
      <c r="N382" s="34" t="s">
        <v>60</v>
      </c>
      <c r="O382" s="33" t="n">
        <f>1982</f>
        <v>1982.0</v>
      </c>
      <c r="P382" s="34" t="s">
        <v>274</v>
      </c>
      <c r="Q382" s="33" t="n">
        <f>2089</f>
        <v>2089.0</v>
      </c>
      <c r="R382" s="34" t="s">
        <v>49</v>
      </c>
      <c r="S382" s="35" t="n">
        <f>2084.44</f>
        <v>2084.44</v>
      </c>
      <c r="T382" s="32" t="n">
        <f>7431178</f>
        <v>7431178.0</v>
      </c>
      <c r="U382" s="32" t="n">
        <f>17161</f>
        <v>17161.0</v>
      </c>
      <c r="V382" s="32" t="n">
        <f>15433320605</f>
        <v>1.5433320605E10</v>
      </c>
      <c r="W382" s="32" t="n">
        <f>36208722</f>
        <v>3.6208722E7</v>
      </c>
      <c r="X382" s="36" t="n">
        <f>18</f>
        <v>18.0</v>
      </c>
    </row>
    <row r="383">
      <c r="A383" s="27" t="s">
        <v>42</v>
      </c>
      <c r="B383" s="27" t="s">
        <v>1193</v>
      </c>
      <c r="C383" s="27" t="s">
        <v>1194</v>
      </c>
      <c r="D383" s="27" t="s">
        <v>1195</v>
      </c>
      <c r="E383" s="28" t="s">
        <v>46</v>
      </c>
      <c r="F383" s="29" t="s">
        <v>46</v>
      </c>
      <c r="G383" s="30" t="s">
        <v>46</v>
      </c>
      <c r="H383" s="31"/>
      <c r="I383" s="31" t="s">
        <v>47</v>
      </c>
      <c r="J383" s="32" t="n">
        <v>10.0</v>
      </c>
      <c r="K383" s="33" t="n">
        <f>567.8</f>
        <v>567.8</v>
      </c>
      <c r="L383" s="34" t="s">
        <v>48</v>
      </c>
      <c r="M383" s="33" t="n">
        <f>621</f>
        <v>621.0</v>
      </c>
      <c r="N383" s="34" t="s">
        <v>94</v>
      </c>
      <c r="O383" s="33" t="n">
        <f>525</f>
        <v>525.0</v>
      </c>
      <c r="P383" s="34" t="s">
        <v>60</v>
      </c>
      <c r="Q383" s="33" t="n">
        <f>568.3</f>
        <v>568.3</v>
      </c>
      <c r="R383" s="34" t="s">
        <v>49</v>
      </c>
      <c r="S383" s="35" t="n">
        <f>565.48</f>
        <v>565.48</v>
      </c>
      <c r="T383" s="32" t="n">
        <f>23267350</f>
        <v>2.326735E7</v>
      </c>
      <c r="U383" s="32" t="n">
        <f>7110</f>
        <v>7110.0</v>
      </c>
      <c r="V383" s="32" t="n">
        <f>13231994477</f>
        <v>1.3231994477E10</v>
      </c>
      <c r="W383" s="32" t="n">
        <f>4001927</f>
        <v>4001927.0</v>
      </c>
      <c r="X383" s="36" t="n">
        <f>18</f>
        <v>18.0</v>
      </c>
    </row>
    <row r="384">
      <c r="A384" s="27" t="s">
        <v>42</v>
      </c>
      <c r="B384" s="27" t="s">
        <v>1196</v>
      </c>
      <c r="C384" s="27" t="s">
        <v>1197</v>
      </c>
      <c r="D384" s="27" t="s">
        <v>1198</v>
      </c>
      <c r="E384" s="28" t="s">
        <v>46</v>
      </c>
      <c r="F384" s="29" t="s">
        <v>46</v>
      </c>
      <c r="G384" s="30" t="s">
        <v>46</v>
      </c>
      <c r="H384" s="31"/>
      <c r="I384" s="31" t="s">
        <v>47</v>
      </c>
      <c r="J384" s="32" t="n">
        <v>1.0</v>
      </c>
      <c r="K384" s="33" t="n">
        <f>138700</f>
        <v>138700.0</v>
      </c>
      <c r="L384" s="34" t="s">
        <v>48</v>
      </c>
      <c r="M384" s="33" t="n">
        <f>143300</f>
        <v>143300.0</v>
      </c>
      <c r="N384" s="34" t="s">
        <v>83</v>
      </c>
      <c r="O384" s="33" t="n">
        <f>136700</f>
        <v>136700.0</v>
      </c>
      <c r="P384" s="34" t="s">
        <v>69</v>
      </c>
      <c r="Q384" s="33" t="n">
        <f>137900</f>
        <v>137900.0</v>
      </c>
      <c r="R384" s="34" t="s">
        <v>49</v>
      </c>
      <c r="S384" s="35" t="n">
        <f>139250</f>
        <v>139250.0</v>
      </c>
      <c r="T384" s="32" t="n">
        <f>149403</f>
        <v>149403.0</v>
      </c>
      <c r="U384" s="32" t="n">
        <f>40722</f>
        <v>40722.0</v>
      </c>
      <c r="V384" s="32" t="n">
        <f>20837536996</f>
        <v>2.0837536996E10</v>
      </c>
      <c r="W384" s="32" t="n">
        <f>5696065196</f>
        <v>5.696065196E9</v>
      </c>
      <c r="X384" s="36" t="n">
        <f>18</f>
        <v>18.0</v>
      </c>
    </row>
    <row r="385">
      <c r="A385" s="27" t="s">
        <v>42</v>
      </c>
      <c r="B385" s="27" t="s">
        <v>1199</v>
      </c>
      <c r="C385" s="27" t="s">
        <v>1200</v>
      </c>
      <c r="D385" s="27" t="s">
        <v>1201</v>
      </c>
      <c r="E385" s="28" t="s">
        <v>46</v>
      </c>
      <c r="F385" s="29" t="s">
        <v>46</v>
      </c>
      <c r="G385" s="30" t="s">
        <v>46</v>
      </c>
      <c r="H385" s="31"/>
      <c r="I385" s="31" t="s">
        <v>47</v>
      </c>
      <c r="J385" s="32" t="n">
        <v>1.0</v>
      </c>
      <c r="K385" s="33" t="n">
        <f>145800</f>
        <v>145800.0</v>
      </c>
      <c r="L385" s="34" t="s">
        <v>48</v>
      </c>
      <c r="M385" s="33" t="n">
        <f>150000</f>
        <v>150000.0</v>
      </c>
      <c r="N385" s="34" t="s">
        <v>68</v>
      </c>
      <c r="O385" s="33" t="n">
        <f>144500</f>
        <v>144500.0</v>
      </c>
      <c r="P385" s="34" t="s">
        <v>258</v>
      </c>
      <c r="Q385" s="33" t="n">
        <f>147000</f>
        <v>147000.0</v>
      </c>
      <c r="R385" s="34" t="s">
        <v>49</v>
      </c>
      <c r="S385" s="35" t="n">
        <f>147055.56</f>
        <v>147055.56</v>
      </c>
      <c r="T385" s="32" t="n">
        <f>101986</f>
        <v>101986.0</v>
      </c>
      <c r="U385" s="32" t="n">
        <f>29079</f>
        <v>29079.0</v>
      </c>
      <c r="V385" s="32" t="n">
        <f>14992200925</f>
        <v>1.4992200925E10</v>
      </c>
      <c r="W385" s="32" t="n">
        <f>4270668425</f>
        <v>4.270668425E9</v>
      </c>
      <c r="X385" s="36" t="n">
        <f>18</f>
        <v>18.0</v>
      </c>
    </row>
    <row r="386">
      <c r="A386" s="27" t="s">
        <v>42</v>
      </c>
      <c r="B386" s="27" t="s">
        <v>1202</v>
      </c>
      <c r="C386" s="27" t="s">
        <v>1203</v>
      </c>
      <c r="D386" s="27" t="s">
        <v>1204</v>
      </c>
      <c r="E386" s="28" t="s">
        <v>46</v>
      </c>
      <c r="F386" s="29" t="s">
        <v>46</v>
      </c>
      <c r="G386" s="30" t="s">
        <v>46</v>
      </c>
      <c r="H386" s="31"/>
      <c r="I386" s="31" t="s">
        <v>47</v>
      </c>
      <c r="J386" s="32" t="n">
        <v>1.0</v>
      </c>
      <c r="K386" s="33" t="n">
        <f>149700</f>
        <v>149700.0</v>
      </c>
      <c r="L386" s="34" t="s">
        <v>48</v>
      </c>
      <c r="M386" s="33" t="n">
        <f>154200</f>
        <v>154200.0</v>
      </c>
      <c r="N386" s="34" t="s">
        <v>68</v>
      </c>
      <c r="O386" s="33" t="n">
        <f>147100</f>
        <v>147100.0</v>
      </c>
      <c r="P386" s="34" t="s">
        <v>105</v>
      </c>
      <c r="Q386" s="33" t="n">
        <f>152000</f>
        <v>152000.0</v>
      </c>
      <c r="R386" s="34" t="s">
        <v>49</v>
      </c>
      <c r="S386" s="35" t="n">
        <f>150522.22</f>
        <v>150522.22</v>
      </c>
      <c r="T386" s="32" t="n">
        <f>179722</f>
        <v>179722.0</v>
      </c>
      <c r="U386" s="32" t="n">
        <f>40712</f>
        <v>40712.0</v>
      </c>
      <c r="V386" s="32" t="n">
        <f>27090964946</f>
        <v>2.7090964946E10</v>
      </c>
      <c r="W386" s="32" t="n">
        <f>6166874046</f>
        <v>6.166874046E9</v>
      </c>
      <c r="X386" s="36" t="n">
        <f>18</f>
        <v>18.0</v>
      </c>
    </row>
    <row r="387">
      <c r="A387" s="27" t="s">
        <v>42</v>
      </c>
      <c r="B387" s="27" t="s">
        <v>1205</v>
      </c>
      <c r="C387" s="27" t="s">
        <v>1206</v>
      </c>
      <c r="D387" s="27" t="s">
        <v>1207</v>
      </c>
      <c r="E387" s="28" t="s">
        <v>46</v>
      </c>
      <c r="F387" s="29" t="s">
        <v>46</v>
      </c>
      <c r="G387" s="30" t="s">
        <v>46</v>
      </c>
      <c r="H387" s="31"/>
      <c r="I387" s="31" t="s">
        <v>47</v>
      </c>
      <c r="J387" s="32" t="n">
        <v>1.0</v>
      </c>
      <c r="K387" s="33" t="n">
        <f>168000</f>
        <v>168000.0</v>
      </c>
      <c r="L387" s="34" t="s">
        <v>48</v>
      </c>
      <c r="M387" s="33" t="n">
        <f>176300</f>
        <v>176300.0</v>
      </c>
      <c r="N387" s="34" t="s">
        <v>83</v>
      </c>
      <c r="O387" s="33" t="n">
        <f>167800</f>
        <v>167800.0</v>
      </c>
      <c r="P387" s="34" t="s">
        <v>48</v>
      </c>
      <c r="Q387" s="33" t="n">
        <f>172000</f>
        <v>172000.0</v>
      </c>
      <c r="R387" s="34" t="s">
        <v>49</v>
      </c>
      <c r="S387" s="35" t="n">
        <f>170838.89</f>
        <v>170838.89</v>
      </c>
      <c r="T387" s="32" t="n">
        <f>158765</f>
        <v>158765.0</v>
      </c>
      <c r="U387" s="32" t="n">
        <f>28738</f>
        <v>28738.0</v>
      </c>
      <c r="V387" s="32" t="n">
        <f>27173781234</f>
        <v>2.7173781234E10</v>
      </c>
      <c r="W387" s="32" t="n">
        <f>4921671334</f>
        <v>4.921671334E9</v>
      </c>
      <c r="X387" s="36" t="n">
        <f>18</f>
        <v>18.0</v>
      </c>
    </row>
    <row r="388">
      <c r="A388" s="27" t="s">
        <v>42</v>
      </c>
      <c r="B388" s="27" t="s">
        <v>1208</v>
      </c>
      <c r="C388" s="27" t="s">
        <v>1209</v>
      </c>
      <c r="D388" s="27" t="s">
        <v>1210</v>
      </c>
      <c r="E388" s="28" t="s">
        <v>46</v>
      </c>
      <c r="F388" s="29" t="s">
        <v>46</v>
      </c>
      <c r="G388" s="30" t="s">
        <v>46</v>
      </c>
      <c r="H388" s="31"/>
      <c r="I388" s="31" t="s">
        <v>47</v>
      </c>
      <c r="J388" s="32" t="n">
        <v>1.0</v>
      </c>
      <c r="K388" s="33" t="n">
        <f>145900</f>
        <v>145900.0</v>
      </c>
      <c r="L388" s="34" t="s">
        <v>48</v>
      </c>
      <c r="M388" s="33" t="n">
        <f>151500</f>
        <v>151500.0</v>
      </c>
      <c r="N388" s="34" t="s">
        <v>68</v>
      </c>
      <c r="O388" s="33" t="n">
        <f>144100</f>
        <v>144100.0</v>
      </c>
      <c r="P388" s="34" t="s">
        <v>105</v>
      </c>
      <c r="Q388" s="33" t="n">
        <f>149400</f>
        <v>149400.0</v>
      </c>
      <c r="R388" s="34" t="s">
        <v>49</v>
      </c>
      <c r="S388" s="35" t="n">
        <f>147983.33</f>
        <v>147983.33</v>
      </c>
      <c r="T388" s="32" t="n">
        <f>112169</f>
        <v>112169.0</v>
      </c>
      <c r="U388" s="32" t="n">
        <f>25395</f>
        <v>25395.0</v>
      </c>
      <c r="V388" s="32" t="n">
        <f>16612547320</f>
        <v>1.661254732E10</v>
      </c>
      <c r="W388" s="32" t="n">
        <f>3765306320</f>
        <v>3.76530632E9</v>
      </c>
      <c r="X388" s="36" t="n">
        <f>18</f>
        <v>18.0</v>
      </c>
    </row>
    <row r="389">
      <c r="A389" s="27" t="s">
        <v>42</v>
      </c>
      <c r="B389" s="27" t="s">
        <v>1211</v>
      </c>
      <c r="C389" s="27" t="s">
        <v>1212</v>
      </c>
      <c r="D389" s="27" t="s">
        <v>1213</v>
      </c>
      <c r="E389" s="28" t="s">
        <v>46</v>
      </c>
      <c r="F389" s="29" t="s">
        <v>46</v>
      </c>
      <c r="G389" s="30" t="s">
        <v>46</v>
      </c>
      <c r="H389" s="31"/>
      <c r="I389" s="31" t="s">
        <v>47</v>
      </c>
      <c r="J389" s="32" t="n">
        <v>1.0</v>
      </c>
      <c r="K389" s="33" t="n">
        <f>142200</f>
        <v>142200.0</v>
      </c>
      <c r="L389" s="34" t="s">
        <v>48</v>
      </c>
      <c r="M389" s="33" t="n">
        <f>144500</f>
        <v>144500.0</v>
      </c>
      <c r="N389" s="34" t="s">
        <v>69</v>
      </c>
      <c r="O389" s="33" t="n">
        <f>139700</f>
        <v>139700.0</v>
      </c>
      <c r="P389" s="34" t="s">
        <v>105</v>
      </c>
      <c r="Q389" s="33" t="n">
        <f>140000</f>
        <v>140000.0</v>
      </c>
      <c r="R389" s="34" t="s">
        <v>49</v>
      </c>
      <c r="S389" s="35" t="n">
        <f>142522.22</f>
        <v>142522.22</v>
      </c>
      <c r="T389" s="32" t="n">
        <f>355145</f>
        <v>355145.0</v>
      </c>
      <c r="U389" s="32" t="n">
        <f>111713</f>
        <v>111713.0</v>
      </c>
      <c r="V389" s="32" t="n">
        <f>50574256786</f>
        <v>5.0574256786E10</v>
      </c>
      <c r="W389" s="32" t="n">
        <f>15894334586</f>
        <v>1.5894334586E10</v>
      </c>
      <c r="X389" s="36" t="n">
        <f>18</f>
        <v>18.0</v>
      </c>
    </row>
    <row r="390">
      <c r="A390" s="27" t="s">
        <v>42</v>
      </c>
      <c r="B390" s="27" t="s">
        <v>1214</v>
      </c>
      <c r="C390" s="27" t="s">
        <v>1215</v>
      </c>
      <c r="D390" s="27" t="s">
        <v>1216</v>
      </c>
      <c r="E390" s="28" t="s">
        <v>46</v>
      </c>
      <c r="F390" s="29" t="s">
        <v>46</v>
      </c>
      <c r="G390" s="30" t="s">
        <v>46</v>
      </c>
      <c r="H390" s="31"/>
      <c r="I390" s="31" t="s">
        <v>47</v>
      </c>
      <c r="J390" s="32" t="n">
        <v>1.0</v>
      </c>
      <c r="K390" s="33" t="n">
        <f>112400</f>
        <v>112400.0</v>
      </c>
      <c r="L390" s="34" t="s">
        <v>48</v>
      </c>
      <c r="M390" s="33" t="n">
        <f>115400</f>
        <v>115400.0</v>
      </c>
      <c r="N390" s="34" t="s">
        <v>68</v>
      </c>
      <c r="O390" s="33" t="n">
        <f>109600</f>
        <v>109600.0</v>
      </c>
      <c r="P390" s="34" t="s">
        <v>105</v>
      </c>
      <c r="Q390" s="33" t="n">
        <f>112300</f>
        <v>112300.0</v>
      </c>
      <c r="R390" s="34" t="s">
        <v>49</v>
      </c>
      <c r="S390" s="35" t="n">
        <f>112061.11</f>
        <v>112061.11</v>
      </c>
      <c r="T390" s="32" t="n">
        <f>125057</f>
        <v>125057.0</v>
      </c>
      <c r="U390" s="32" t="n">
        <f>25848</f>
        <v>25848.0</v>
      </c>
      <c r="V390" s="32" t="n">
        <f>14001499562</f>
        <v>1.4001499562E10</v>
      </c>
      <c r="W390" s="32" t="n">
        <f>2896714662</f>
        <v>2.896714662E9</v>
      </c>
      <c r="X390" s="36" t="n">
        <f>18</f>
        <v>18.0</v>
      </c>
    </row>
    <row r="391">
      <c r="A391" s="27" t="s">
        <v>42</v>
      </c>
      <c r="B391" s="27" t="s">
        <v>1217</v>
      </c>
      <c r="C391" s="27" t="s">
        <v>1218</v>
      </c>
      <c r="D391" s="27" t="s">
        <v>1219</v>
      </c>
      <c r="E391" s="28" t="s">
        <v>46</v>
      </c>
      <c r="F391" s="29" t="s">
        <v>46</v>
      </c>
      <c r="G391" s="30" t="s">
        <v>46</v>
      </c>
      <c r="H391" s="31"/>
      <c r="I391" s="31" t="s">
        <v>47</v>
      </c>
      <c r="J391" s="32" t="n">
        <v>1.0</v>
      </c>
      <c r="K391" s="33" t="n">
        <f>91300</f>
        <v>91300.0</v>
      </c>
      <c r="L391" s="34" t="s">
        <v>48</v>
      </c>
      <c r="M391" s="33" t="n">
        <f>92700</f>
        <v>92700.0</v>
      </c>
      <c r="N391" s="34" t="s">
        <v>69</v>
      </c>
      <c r="O391" s="33" t="n">
        <f>89200</f>
        <v>89200.0</v>
      </c>
      <c r="P391" s="34" t="s">
        <v>105</v>
      </c>
      <c r="Q391" s="33" t="n">
        <f>91600</f>
        <v>91600.0</v>
      </c>
      <c r="R391" s="34" t="s">
        <v>49</v>
      </c>
      <c r="S391" s="35" t="n">
        <f>91105.56</f>
        <v>91105.56</v>
      </c>
      <c r="T391" s="32" t="n">
        <f>433727</f>
        <v>433727.0</v>
      </c>
      <c r="U391" s="32" t="n">
        <f>147222</f>
        <v>147222.0</v>
      </c>
      <c r="V391" s="32" t="n">
        <f>39566268554</f>
        <v>3.9566268554E10</v>
      </c>
      <c r="W391" s="32" t="n">
        <f>13438855254</f>
        <v>1.3438855254E10</v>
      </c>
      <c r="X391" s="36" t="n">
        <f>18</f>
        <v>18.0</v>
      </c>
    </row>
    <row r="392">
      <c r="A392" s="27" t="s">
        <v>42</v>
      </c>
      <c r="B392" s="27" t="s">
        <v>1220</v>
      </c>
      <c r="C392" s="27" t="s">
        <v>1221</v>
      </c>
      <c r="D392" s="27" t="s">
        <v>1222</v>
      </c>
      <c r="E392" s="28" t="s">
        <v>46</v>
      </c>
      <c r="F392" s="29" t="s">
        <v>46</v>
      </c>
      <c r="G392" s="30" t="s">
        <v>46</v>
      </c>
      <c r="H392" s="31"/>
      <c r="I392" s="31" t="s">
        <v>47</v>
      </c>
      <c r="J392" s="32" t="n">
        <v>1.0</v>
      </c>
      <c r="K392" s="33" t="n">
        <f>257600</f>
        <v>257600.0</v>
      </c>
      <c r="L392" s="34" t="s">
        <v>48</v>
      </c>
      <c r="M392" s="33" t="n">
        <f>274200</f>
        <v>274200.0</v>
      </c>
      <c r="N392" s="34" t="s">
        <v>68</v>
      </c>
      <c r="O392" s="33" t="n">
        <f>255600</f>
        <v>255600.0</v>
      </c>
      <c r="P392" s="34" t="s">
        <v>60</v>
      </c>
      <c r="Q392" s="33" t="n">
        <f>271100</f>
        <v>271100.0</v>
      </c>
      <c r="R392" s="34" t="s">
        <v>49</v>
      </c>
      <c r="S392" s="35" t="n">
        <f>265316.67</f>
        <v>265316.67</v>
      </c>
      <c r="T392" s="32" t="n">
        <f>50607</f>
        <v>50607.0</v>
      </c>
      <c r="U392" s="32" t="n">
        <f>8178</f>
        <v>8178.0</v>
      </c>
      <c r="V392" s="32" t="n">
        <f>13456601911</f>
        <v>1.3456601911E10</v>
      </c>
      <c r="W392" s="32" t="n">
        <f>2182519111</f>
        <v>2.182519111E9</v>
      </c>
      <c r="X392" s="36" t="n">
        <f>18</f>
        <v>18.0</v>
      </c>
    </row>
    <row r="393">
      <c r="A393" s="27" t="s">
        <v>42</v>
      </c>
      <c r="B393" s="27" t="s">
        <v>1223</v>
      </c>
      <c r="C393" s="27" t="s">
        <v>1224</v>
      </c>
      <c r="D393" s="27" t="s">
        <v>1225</v>
      </c>
      <c r="E393" s="28" t="s">
        <v>46</v>
      </c>
      <c r="F393" s="29" t="s">
        <v>46</v>
      </c>
      <c r="G393" s="30" t="s">
        <v>46</v>
      </c>
      <c r="H393" s="31"/>
      <c r="I393" s="31" t="s">
        <v>47</v>
      </c>
      <c r="J393" s="32" t="n">
        <v>1.0</v>
      </c>
      <c r="K393" s="33" t="n">
        <f>1317</f>
        <v>1317.0</v>
      </c>
      <c r="L393" s="34" t="s">
        <v>48</v>
      </c>
      <c r="M393" s="33" t="n">
        <f>1558</f>
        <v>1558.0</v>
      </c>
      <c r="N393" s="34" t="s">
        <v>94</v>
      </c>
      <c r="O393" s="33" t="n">
        <f>1286</f>
        <v>1286.0</v>
      </c>
      <c r="P393" s="34" t="s">
        <v>48</v>
      </c>
      <c r="Q393" s="33" t="n">
        <f>1461</f>
        <v>1461.0</v>
      </c>
      <c r="R393" s="34" t="s">
        <v>49</v>
      </c>
      <c r="S393" s="35" t="n">
        <f>1397.22</f>
        <v>1397.22</v>
      </c>
      <c r="T393" s="32" t="n">
        <f>134268</f>
        <v>134268.0</v>
      </c>
      <c r="U393" s="32" t="n">
        <f>2</f>
        <v>2.0</v>
      </c>
      <c r="V393" s="32" t="n">
        <f>185892318</f>
        <v>1.85892318E8</v>
      </c>
      <c r="W393" s="32" t="n">
        <f>2809</f>
        <v>2809.0</v>
      </c>
      <c r="X393" s="36" t="n">
        <f>18</f>
        <v>18.0</v>
      </c>
    </row>
    <row r="394">
      <c r="A394" s="27" t="s">
        <v>42</v>
      </c>
      <c r="B394" s="27" t="s">
        <v>1226</v>
      </c>
      <c r="C394" s="27" t="s">
        <v>1227</v>
      </c>
      <c r="D394" s="27" t="s">
        <v>1228</v>
      </c>
      <c r="E394" s="28" t="s">
        <v>46</v>
      </c>
      <c r="F394" s="29" t="s">
        <v>46</v>
      </c>
      <c r="G394" s="30" t="s">
        <v>46</v>
      </c>
      <c r="H394" s="31"/>
      <c r="I394" s="31" t="s">
        <v>47</v>
      </c>
      <c r="J394" s="32" t="n">
        <v>1.0</v>
      </c>
      <c r="K394" s="33" t="n">
        <f>90700</f>
        <v>90700.0</v>
      </c>
      <c r="L394" s="34" t="s">
        <v>48</v>
      </c>
      <c r="M394" s="33" t="n">
        <f>93000</f>
        <v>93000.0</v>
      </c>
      <c r="N394" s="34" t="s">
        <v>83</v>
      </c>
      <c r="O394" s="33" t="n">
        <f>90000</f>
        <v>90000.0</v>
      </c>
      <c r="P394" s="34" t="s">
        <v>48</v>
      </c>
      <c r="Q394" s="33" t="n">
        <f>90000</f>
        <v>90000.0</v>
      </c>
      <c r="R394" s="34" t="s">
        <v>49</v>
      </c>
      <c r="S394" s="35" t="n">
        <f>91150</f>
        <v>91150.0</v>
      </c>
      <c r="T394" s="32" t="n">
        <f>40672</f>
        <v>40672.0</v>
      </c>
      <c r="U394" s="32" t="n">
        <f>5129</f>
        <v>5129.0</v>
      </c>
      <c r="V394" s="32" t="n">
        <f>3715624148</f>
        <v>3.715624148E9</v>
      </c>
      <c r="W394" s="32" t="n">
        <f>467423248</f>
        <v>4.67423248E8</v>
      </c>
      <c r="X394" s="36" t="n">
        <f>18</f>
        <v>18.0</v>
      </c>
    </row>
    <row r="395">
      <c r="A395" s="27" t="s">
        <v>42</v>
      </c>
      <c r="B395" s="27" t="s">
        <v>1229</v>
      </c>
      <c r="C395" s="27" t="s">
        <v>1230</v>
      </c>
      <c r="D395" s="27" t="s">
        <v>1231</v>
      </c>
      <c r="E395" s="28" t="s">
        <v>46</v>
      </c>
      <c r="F395" s="29" t="s">
        <v>46</v>
      </c>
      <c r="G395" s="30" t="s">
        <v>46</v>
      </c>
      <c r="H395" s="31"/>
      <c r="I395" s="31" t="s">
        <v>47</v>
      </c>
      <c r="J395" s="32" t="n">
        <v>1.0</v>
      </c>
      <c r="K395" s="33" t="n">
        <f>134000</f>
        <v>134000.0</v>
      </c>
      <c r="L395" s="34" t="s">
        <v>48</v>
      </c>
      <c r="M395" s="33" t="n">
        <f>139000</f>
        <v>139000.0</v>
      </c>
      <c r="N395" s="34" t="s">
        <v>68</v>
      </c>
      <c r="O395" s="33" t="n">
        <f>133000</f>
        <v>133000.0</v>
      </c>
      <c r="P395" s="34" t="s">
        <v>48</v>
      </c>
      <c r="Q395" s="33" t="n">
        <f>136700</f>
        <v>136700.0</v>
      </c>
      <c r="R395" s="34" t="s">
        <v>49</v>
      </c>
      <c r="S395" s="35" t="n">
        <f>136200</f>
        <v>136200.0</v>
      </c>
      <c r="T395" s="32" t="n">
        <f>103290</f>
        <v>103290.0</v>
      </c>
      <c r="U395" s="32" t="n">
        <f>22079</f>
        <v>22079.0</v>
      </c>
      <c r="V395" s="32" t="n">
        <f>14080196516</f>
        <v>1.4080196516E10</v>
      </c>
      <c r="W395" s="32" t="n">
        <f>3014331916</f>
        <v>3.014331916E9</v>
      </c>
      <c r="X395" s="36" t="n">
        <f>18</f>
        <v>18.0</v>
      </c>
    </row>
    <row r="396">
      <c r="A396" s="27" t="s">
        <v>42</v>
      </c>
      <c r="B396" s="27" t="s">
        <v>1232</v>
      </c>
      <c r="C396" s="27" t="s">
        <v>1233</v>
      </c>
      <c r="D396" s="27" t="s">
        <v>1234</v>
      </c>
      <c r="E396" s="28" t="s">
        <v>46</v>
      </c>
      <c r="F396" s="29" t="s">
        <v>46</v>
      </c>
      <c r="G396" s="30" t="s">
        <v>46</v>
      </c>
      <c r="H396" s="31"/>
      <c r="I396" s="31" t="s">
        <v>47</v>
      </c>
      <c r="J396" s="32" t="n">
        <v>1.0</v>
      </c>
      <c r="K396" s="33" t="n">
        <f>173100</f>
        <v>173100.0</v>
      </c>
      <c r="L396" s="34" t="s">
        <v>48</v>
      </c>
      <c r="M396" s="33" t="n">
        <f>177300</f>
        <v>177300.0</v>
      </c>
      <c r="N396" s="34" t="s">
        <v>83</v>
      </c>
      <c r="O396" s="33" t="n">
        <f>171400</f>
        <v>171400.0</v>
      </c>
      <c r="P396" s="34" t="s">
        <v>60</v>
      </c>
      <c r="Q396" s="33" t="n">
        <f>172000</f>
        <v>172000.0</v>
      </c>
      <c r="R396" s="34" t="s">
        <v>49</v>
      </c>
      <c r="S396" s="35" t="n">
        <f>173633.33</f>
        <v>173633.33</v>
      </c>
      <c r="T396" s="32" t="n">
        <f>72438</f>
        <v>72438.0</v>
      </c>
      <c r="U396" s="32" t="n">
        <f>14108</f>
        <v>14108.0</v>
      </c>
      <c r="V396" s="32" t="n">
        <f>12584743009</f>
        <v>1.2584743009E10</v>
      </c>
      <c r="W396" s="32" t="n">
        <f>2449447709</f>
        <v>2.449447709E9</v>
      </c>
      <c r="X396" s="36" t="n">
        <f>18</f>
        <v>18.0</v>
      </c>
    </row>
    <row r="397">
      <c r="A397" s="27" t="s">
        <v>42</v>
      </c>
      <c r="B397" s="27" t="s">
        <v>1235</v>
      </c>
      <c r="C397" s="27" t="s">
        <v>1236</v>
      </c>
      <c r="D397" s="27" t="s">
        <v>1237</v>
      </c>
      <c r="E397" s="28" t="s">
        <v>46</v>
      </c>
      <c r="F397" s="29" t="s">
        <v>46</v>
      </c>
      <c r="G397" s="30" t="s">
        <v>46</v>
      </c>
      <c r="H397" s="31"/>
      <c r="I397" s="31" t="s">
        <v>47</v>
      </c>
      <c r="J397" s="32" t="n">
        <v>1.0</v>
      </c>
      <c r="K397" s="33" t="n">
        <f>96500</f>
        <v>96500.0</v>
      </c>
      <c r="L397" s="34" t="s">
        <v>48</v>
      </c>
      <c r="M397" s="33" t="n">
        <f>98200</f>
        <v>98200.0</v>
      </c>
      <c r="N397" s="34" t="s">
        <v>101</v>
      </c>
      <c r="O397" s="33" t="n">
        <f>92700</f>
        <v>92700.0</v>
      </c>
      <c r="P397" s="34" t="s">
        <v>585</v>
      </c>
      <c r="Q397" s="33" t="n">
        <f>93300</f>
        <v>93300.0</v>
      </c>
      <c r="R397" s="34" t="s">
        <v>49</v>
      </c>
      <c r="S397" s="35" t="n">
        <f>96194.44</f>
        <v>96194.44</v>
      </c>
      <c r="T397" s="32" t="n">
        <f>122798</f>
        <v>122798.0</v>
      </c>
      <c r="U397" s="32" t="n">
        <f>24483</f>
        <v>24483.0</v>
      </c>
      <c r="V397" s="32" t="n">
        <f>11735703044</f>
        <v>1.1735703044E10</v>
      </c>
      <c r="W397" s="32" t="n">
        <f>2346993144</f>
        <v>2.346993144E9</v>
      </c>
      <c r="X397" s="36" t="n">
        <f>18</f>
        <v>18.0</v>
      </c>
    </row>
    <row r="398">
      <c r="A398" s="27" t="s">
        <v>42</v>
      </c>
      <c r="B398" s="27" t="s">
        <v>1238</v>
      </c>
      <c r="C398" s="27" t="s">
        <v>1239</v>
      </c>
      <c r="D398" s="27" t="s">
        <v>1240</v>
      </c>
      <c r="E398" s="28" t="s">
        <v>46</v>
      </c>
      <c r="F398" s="29" t="s">
        <v>46</v>
      </c>
      <c r="G398" s="30" t="s">
        <v>46</v>
      </c>
      <c r="H398" s="31"/>
      <c r="I398" s="31" t="s">
        <v>47</v>
      </c>
      <c r="J398" s="32" t="n">
        <v>1.0</v>
      </c>
      <c r="K398" s="33" t="n">
        <f>91300</f>
        <v>91300.0</v>
      </c>
      <c r="L398" s="34" t="s">
        <v>48</v>
      </c>
      <c r="M398" s="33" t="n">
        <f>95500</f>
        <v>95500.0</v>
      </c>
      <c r="N398" s="34" t="s">
        <v>68</v>
      </c>
      <c r="O398" s="33" t="n">
        <f>90700</f>
        <v>90700.0</v>
      </c>
      <c r="P398" s="34" t="s">
        <v>48</v>
      </c>
      <c r="Q398" s="33" t="n">
        <f>94100</f>
        <v>94100.0</v>
      </c>
      <c r="R398" s="34" t="s">
        <v>49</v>
      </c>
      <c r="S398" s="35" t="n">
        <f>93033.33</f>
        <v>93033.33</v>
      </c>
      <c r="T398" s="32" t="n">
        <f>289251</f>
        <v>289251.0</v>
      </c>
      <c r="U398" s="32" t="n">
        <f>104652</f>
        <v>104652.0</v>
      </c>
      <c r="V398" s="32" t="n">
        <f>26878560941</f>
        <v>2.6878560941E10</v>
      </c>
      <c r="W398" s="32" t="n">
        <f>9717360241</f>
        <v>9.717360241E9</v>
      </c>
      <c r="X398" s="36" t="n">
        <f>18</f>
        <v>18.0</v>
      </c>
    </row>
    <row r="399">
      <c r="A399" s="27" t="s">
        <v>42</v>
      </c>
      <c r="B399" s="27" t="s">
        <v>1241</v>
      </c>
      <c r="C399" s="27" t="s">
        <v>1242</v>
      </c>
      <c r="D399" s="27" t="s">
        <v>1243</v>
      </c>
      <c r="E399" s="28" t="s">
        <v>46</v>
      </c>
      <c r="F399" s="29" t="s">
        <v>46</v>
      </c>
      <c r="G399" s="30" t="s">
        <v>46</v>
      </c>
      <c r="H399" s="31"/>
      <c r="I399" s="31" t="s">
        <v>413</v>
      </c>
      <c r="J399" s="32" t="n">
        <v>1.0</v>
      </c>
      <c r="K399" s="33" t="n">
        <f>146300</f>
        <v>146300.0</v>
      </c>
      <c r="L399" s="34" t="s">
        <v>48</v>
      </c>
      <c r="M399" s="33" t="n">
        <f>151700</f>
        <v>151700.0</v>
      </c>
      <c r="N399" s="34" t="s">
        <v>59</v>
      </c>
      <c r="O399" s="33" t="n">
        <f>145400</f>
        <v>145400.0</v>
      </c>
      <c r="P399" s="34" t="s">
        <v>48</v>
      </c>
      <c r="Q399" s="33" t="n">
        <f>148900</f>
        <v>148900.0</v>
      </c>
      <c r="R399" s="34" t="s">
        <v>49</v>
      </c>
      <c r="S399" s="35" t="n">
        <f>149266.67</f>
        <v>149266.67</v>
      </c>
      <c r="T399" s="32" t="n">
        <f>16795</f>
        <v>16795.0</v>
      </c>
      <c r="U399" s="32" t="n">
        <f>2458</f>
        <v>2458.0</v>
      </c>
      <c r="V399" s="32" t="n">
        <f>2508726236</f>
        <v>2.508726236E9</v>
      </c>
      <c r="W399" s="32" t="n">
        <f>366867436</f>
        <v>3.66867436E8</v>
      </c>
      <c r="X399" s="36" t="n">
        <f>18</f>
        <v>18.0</v>
      </c>
    </row>
    <row r="400">
      <c r="A400" s="27" t="s">
        <v>42</v>
      </c>
      <c r="B400" s="27" t="s">
        <v>1244</v>
      </c>
      <c r="C400" s="27" t="s">
        <v>1245</v>
      </c>
      <c r="D400" s="27" t="s">
        <v>1246</v>
      </c>
      <c r="E400" s="28" t="s">
        <v>46</v>
      </c>
      <c r="F400" s="29" t="s">
        <v>46</v>
      </c>
      <c r="G400" s="30" t="s">
        <v>46</v>
      </c>
      <c r="H400" s="31"/>
      <c r="I400" s="31" t="s">
        <v>47</v>
      </c>
      <c r="J400" s="32" t="n">
        <v>1.0</v>
      </c>
      <c r="K400" s="33" t="n">
        <f>121000</f>
        <v>121000.0</v>
      </c>
      <c r="L400" s="34" t="s">
        <v>48</v>
      </c>
      <c r="M400" s="33" t="n">
        <f>131800</f>
        <v>131800.0</v>
      </c>
      <c r="N400" s="34" t="s">
        <v>68</v>
      </c>
      <c r="O400" s="33" t="n">
        <f>120400</f>
        <v>120400.0</v>
      </c>
      <c r="P400" s="34" t="s">
        <v>48</v>
      </c>
      <c r="Q400" s="33" t="n">
        <f>129300</f>
        <v>129300.0</v>
      </c>
      <c r="R400" s="34" t="s">
        <v>49</v>
      </c>
      <c r="S400" s="35" t="n">
        <f>126683.33</f>
        <v>126683.33</v>
      </c>
      <c r="T400" s="32" t="n">
        <f>28742</f>
        <v>28742.0</v>
      </c>
      <c r="U400" s="32" t="n">
        <f>3570</f>
        <v>3570.0</v>
      </c>
      <c r="V400" s="32" t="n">
        <f>3637999018</f>
        <v>3.637999018E9</v>
      </c>
      <c r="W400" s="32" t="n">
        <f>453714918</f>
        <v>4.53714918E8</v>
      </c>
      <c r="X400" s="36" t="n">
        <f>18</f>
        <v>18.0</v>
      </c>
    </row>
    <row r="401">
      <c r="A401" s="27" t="s">
        <v>42</v>
      </c>
      <c r="B401" s="27" t="s">
        <v>1247</v>
      </c>
      <c r="C401" s="27" t="s">
        <v>1248</v>
      </c>
      <c r="D401" s="27" t="s">
        <v>1249</v>
      </c>
      <c r="E401" s="28" t="s">
        <v>46</v>
      </c>
      <c r="F401" s="29" t="s">
        <v>46</v>
      </c>
      <c r="G401" s="30" t="s">
        <v>46</v>
      </c>
      <c r="H401" s="31"/>
      <c r="I401" s="31" t="s">
        <v>47</v>
      </c>
      <c r="J401" s="32" t="n">
        <v>1.0</v>
      </c>
      <c r="K401" s="33" t="n">
        <f>113800</f>
        <v>113800.0</v>
      </c>
      <c r="L401" s="34" t="s">
        <v>48</v>
      </c>
      <c r="M401" s="33" t="n">
        <f>118100</f>
        <v>118100.0</v>
      </c>
      <c r="N401" s="34" t="s">
        <v>105</v>
      </c>
      <c r="O401" s="33" t="n">
        <f>113600</f>
        <v>113600.0</v>
      </c>
      <c r="P401" s="34" t="s">
        <v>48</v>
      </c>
      <c r="Q401" s="33" t="n">
        <f>115100</f>
        <v>115100.0</v>
      </c>
      <c r="R401" s="34" t="s">
        <v>49</v>
      </c>
      <c r="S401" s="35" t="n">
        <f>116383.33</f>
        <v>116383.33</v>
      </c>
      <c r="T401" s="32" t="n">
        <f>23706</f>
        <v>23706.0</v>
      </c>
      <c r="U401" s="32" t="n">
        <f>2971</f>
        <v>2971.0</v>
      </c>
      <c r="V401" s="32" t="n">
        <f>2757835604</f>
        <v>2.757835604E9</v>
      </c>
      <c r="W401" s="32" t="n">
        <f>346254204</f>
        <v>3.46254204E8</v>
      </c>
      <c r="X401" s="36" t="n">
        <f>18</f>
        <v>18.0</v>
      </c>
    </row>
    <row r="402">
      <c r="A402" s="27" t="s">
        <v>42</v>
      </c>
      <c r="B402" s="27" t="s">
        <v>1250</v>
      </c>
      <c r="C402" s="27" t="s">
        <v>1251</v>
      </c>
      <c r="D402" s="27" t="s">
        <v>1252</v>
      </c>
      <c r="E402" s="28" t="s">
        <v>46</v>
      </c>
      <c r="F402" s="29" t="s">
        <v>46</v>
      </c>
      <c r="G402" s="30" t="s">
        <v>46</v>
      </c>
      <c r="H402" s="31"/>
      <c r="I402" s="31" t="s">
        <v>413</v>
      </c>
      <c r="J402" s="32" t="n">
        <v>1.0</v>
      </c>
      <c r="K402" s="33" t="n">
        <f>14185</f>
        <v>14185.0</v>
      </c>
      <c r="L402" s="34" t="s">
        <v>48</v>
      </c>
      <c r="M402" s="33" t="n">
        <f>15675</f>
        <v>15675.0</v>
      </c>
      <c r="N402" s="34" t="s">
        <v>49</v>
      </c>
      <c r="O402" s="33" t="n">
        <f>13870</f>
        <v>13870.0</v>
      </c>
      <c r="P402" s="34" t="s">
        <v>48</v>
      </c>
      <c r="Q402" s="33" t="n">
        <f>15675</f>
        <v>15675.0</v>
      </c>
      <c r="R402" s="34" t="s">
        <v>49</v>
      </c>
      <c r="S402" s="35" t="n">
        <f>15074.72</f>
        <v>15074.72</v>
      </c>
      <c r="T402" s="32" t="n">
        <f>23593</f>
        <v>23593.0</v>
      </c>
      <c r="U402" s="32" t="str">
        <f>"－"</f>
        <v>－</v>
      </c>
      <c r="V402" s="32" t="n">
        <f>355575085</f>
        <v>3.55575085E8</v>
      </c>
      <c r="W402" s="32" t="str">
        <f>"－"</f>
        <v>－</v>
      </c>
      <c r="X402" s="36" t="n">
        <f>18</f>
        <v>18.0</v>
      </c>
    </row>
    <row r="403">
      <c r="A403" s="27" t="s">
        <v>42</v>
      </c>
      <c r="B403" s="27" t="s">
        <v>1253</v>
      </c>
      <c r="C403" s="27" t="s">
        <v>1254</v>
      </c>
      <c r="D403" s="27" t="s">
        <v>1255</v>
      </c>
      <c r="E403" s="28" t="s">
        <v>46</v>
      </c>
      <c r="F403" s="29" t="s">
        <v>46</v>
      </c>
      <c r="G403" s="30" t="s">
        <v>46</v>
      </c>
      <c r="H403" s="31"/>
      <c r="I403" s="31" t="s">
        <v>47</v>
      </c>
      <c r="J403" s="32" t="n">
        <v>1.0</v>
      </c>
      <c r="K403" s="33" t="n">
        <f>168800</f>
        <v>168800.0</v>
      </c>
      <c r="L403" s="34" t="s">
        <v>48</v>
      </c>
      <c r="M403" s="33" t="n">
        <f>172300</f>
        <v>172300.0</v>
      </c>
      <c r="N403" s="34" t="s">
        <v>83</v>
      </c>
      <c r="O403" s="33" t="n">
        <f>166600</f>
        <v>166600.0</v>
      </c>
      <c r="P403" s="34" t="s">
        <v>160</v>
      </c>
      <c r="Q403" s="33" t="n">
        <f>166900</f>
        <v>166900.0</v>
      </c>
      <c r="R403" s="34" t="s">
        <v>49</v>
      </c>
      <c r="S403" s="35" t="n">
        <f>168872.22</f>
        <v>168872.22</v>
      </c>
      <c r="T403" s="32" t="n">
        <f>295193</f>
        <v>295193.0</v>
      </c>
      <c r="U403" s="32" t="n">
        <f>121327</f>
        <v>121327.0</v>
      </c>
      <c r="V403" s="32" t="n">
        <f>49817456908</f>
        <v>4.9817456908E10</v>
      </c>
      <c r="W403" s="32" t="n">
        <f>20447699808</f>
        <v>2.0447699808E10</v>
      </c>
      <c r="X403" s="36" t="n">
        <f>18</f>
        <v>18.0</v>
      </c>
    </row>
    <row r="404">
      <c r="A404" s="27" t="s">
        <v>42</v>
      </c>
      <c r="B404" s="27" t="s">
        <v>1256</v>
      </c>
      <c r="C404" s="27" t="s">
        <v>1257</v>
      </c>
      <c r="D404" s="27" t="s">
        <v>1258</v>
      </c>
      <c r="E404" s="28" t="s">
        <v>46</v>
      </c>
      <c r="F404" s="29" t="s">
        <v>46</v>
      </c>
      <c r="G404" s="30" t="s">
        <v>46</v>
      </c>
      <c r="H404" s="31"/>
      <c r="I404" s="31" t="s">
        <v>413</v>
      </c>
      <c r="J404" s="32" t="n">
        <v>1.0</v>
      </c>
      <c r="K404" s="33" t="n">
        <f>122800</f>
        <v>122800.0</v>
      </c>
      <c r="L404" s="34" t="s">
        <v>48</v>
      </c>
      <c r="M404" s="33" t="n">
        <f>125400</f>
        <v>125400.0</v>
      </c>
      <c r="N404" s="34" t="s">
        <v>203</v>
      </c>
      <c r="O404" s="33" t="n">
        <f>119000</f>
        <v>119000.0</v>
      </c>
      <c r="P404" s="34" t="s">
        <v>60</v>
      </c>
      <c r="Q404" s="33" t="n">
        <f>122300</f>
        <v>122300.0</v>
      </c>
      <c r="R404" s="34" t="s">
        <v>49</v>
      </c>
      <c r="S404" s="35" t="n">
        <f>122944.44</f>
        <v>122944.44</v>
      </c>
      <c r="T404" s="32" t="n">
        <f>44181</f>
        <v>44181.0</v>
      </c>
      <c r="U404" s="32" t="n">
        <f>3751</f>
        <v>3751.0</v>
      </c>
      <c r="V404" s="32" t="n">
        <f>5408964538</f>
        <v>5.408964538E9</v>
      </c>
      <c r="W404" s="32" t="n">
        <f>459903738</f>
        <v>4.59903738E8</v>
      </c>
      <c r="X404" s="36" t="n">
        <f>18</f>
        <v>18.0</v>
      </c>
    </row>
    <row r="405">
      <c r="A405" s="27" t="s">
        <v>42</v>
      </c>
      <c r="B405" s="27" t="s">
        <v>1259</v>
      </c>
      <c r="C405" s="27" t="s">
        <v>1260</v>
      </c>
      <c r="D405" s="27" t="s">
        <v>1261</v>
      </c>
      <c r="E405" s="28" t="s">
        <v>46</v>
      </c>
      <c r="F405" s="29" t="s">
        <v>46</v>
      </c>
      <c r="G405" s="30" t="s">
        <v>46</v>
      </c>
      <c r="H405" s="31"/>
      <c r="I405" s="31" t="s">
        <v>47</v>
      </c>
      <c r="J405" s="32" t="n">
        <v>1.0</v>
      </c>
      <c r="K405" s="33" t="n">
        <f>157500</f>
        <v>157500.0</v>
      </c>
      <c r="L405" s="34" t="s">
        <v>48</v>
      </c>
      <c r="M405" s="33" t="n">
        <f>159800</f>
        <v>159800.0</v>
      </c>
      <c r="N405" s="34" t="s">
        <v>101</v>
      </c>
      <c r="O405" s="33" t="n">
        <f>151000</f>
        <v>151000.0</v>
      </c>
      <c r="P405" s="34" t="s">
        <v>68</v>
      </c>
      <c r="Q405" s="33" t="n">
        <f>154000</f>
        <v>154000.0</v>
      </c>
      <c r="R405" s="34" t="s">
        <v>49</v>
      </c>
      <c r="S405" s="35" t="n">
        <f>155777.78</f>
        <v>155777.78</v>
      </c>
      <c r="T405" s="32" t="n">
        <f>147713</f>
        <v>147713.0</v>
      </c>
      <c r="U405" s="32" t="n">
        <f>44801</f>
        <v>44801.0</v>
      </c>
      <c r="V405" s="32" t="n">
        <f>22928954062</f>
        <v>2.2928954062E10</v>
      </c>
      <c r="W405" s="32" t="n">
        <f>6927212162</f>
        <v>6.927212162E9</v>
      </c>
      <c r="X405" s="36" t="n">
        <f>18</f>
        <v>18.0</v>
      </c>
    </row>
    <row r="406">
      <c r="A406" s="27" t="s">
        <v>42</v>
      </c>
      <c r="B406" s="27" t="s">
        <v>1262</v>
      </c>
      <c r="C406" s="27" t="s">
        <v>1263</v>
      </c>
      <c r="D406" s="27" t="s">
        <v>1264</v>
      </c>
      <c r="E406" s="28" t="s">
        <v>46</v>
      </c>
      <c r="F406" s="29" t="s">
        <v>46</v>
      </c>
      <c r="G406" s="30" t="s">
        <v>46</v>
      </c>
      <c r="H406" s="31"/>
      <c r="I406" s="31" t="s">
        <v>47</v>
      </c>
      <c r="J406" s="32" t="n">
        <v>1.0</v>
      </c>
      <c r="K406" s="33" t="n">
        <f>60100</f>
        <v>60100.0</v>
      </c>
      <c r="L406" s="34" t="s">
        <v>48</v>
      </c>
      <c r="M406" s="33" t="n">
        <f>61600</f>
        <v>61600.0</v>
      </c>
      <c r="N406" s="34" t="s">
        <v>68</v>
      </c>
      <c r="O406" s="33" t="n">
        <f>59600</f>
        <v>59600.0</v>
      </c>
      <c r="P406" s="34" t="s">
        <v>48</v>
      </c>
      <c r="Q406" s="33" t="n">
        <f>60800</f>
        <v>60800.0</v>
      </c>
      <c r="R406" s="34" t="s">
        <v>49</v>
      </c>
      <c r="S406" s="35" t="n">
        <f>60416.67</f>
        <v>60416.67</v>
      </c>
      <c r="T406" s="32" t="n">
        <f>148872</f>
        <v>148872.0</v>
      </c>
      <c r="U406" s="32" t="n">
        <f>31865</f>
        <v>31865.0</v>
      </c>
      <c r="V406" s="32" t="n">
        <f>8997670965</f>
        <v>8.997670965E9</v>
      </c>
      <c r="W406" s="32" t="n">
        <f>1927091765</f>
        <v>1.927091765E9</v>
      </c>
      <c r="X406" s="36" t="n">
        <f>18</f>
        <v>18.0</v>
      </c>
    </row>
    <row r="407">
      <c r="A407" s="27" t="s">
        <v>42</v>
      </c>
      <c r="B407" s="27" t="s">
        <v>1265</v>
      </c>
      <c r="C407" s="27" t="s">
        <v>1266</v>
      </c>
      <c r="D407" s="27" t="s">
        <v>1267</v>
      </c>
      <c r="E407" s="28" t="s">
        <v>46</v>
      </c>
      <c r="F407" s="29" t="s">
        <v>46</v>
      </c>
      <c r="G407" s="30" t="s">
        <v>46</v>
      </c>
      <c r="H407" s="31"/>
      <c r="I407" s="31" t="s">
        <v>47</v>
      </c>
      <c r="J407" s="32" t="n">
        <v>1.0</v>
      </c>
      <c r="K407" s="33" t="n">
        <f>3581</f>
        <v>3581.0</v>
      </c>
      <c r="L407" s="34" t="s">
        <v>48</v>
      </c>
      <c r="M407" s="33" t="n">
        <f>3695</f>
        <v>3695.0</v>
      </c>
      <c r="N407" s="34" t="s">
        <v>68</v>
      </c>
      <c r="O407" s="33" t="n">
        <f>3283</f>
        <v>3283.0</v>
      </c>
      <c r="P407" s="34" t="s">
        <v>94</v>
      </c>
      <c r="Q407" s="33" t="n">
        <f>3560</f>
        <v>3560.0</v>
      </c>
      <c r="R407" s="34" t="s">
        <v>49</v>
      </c>
      <c r="S407" s="35" t="n">
        <f>3559.11</f>
        <v>3559.11</v>
      </c>
      <c r="T407" s="32" t="n">
        <f>652086</f>
        <v>652086.0</v>
      </c>
      <c r="U407" s="32" t="n">
        <f>85451</f>
        <v>85451.0</v>
      </c>
      <c r="V407" s="32" t="n">
        <f>2288593753</f>
        <v>2.288593753E9</v>
      </c>
      <c r="W407" s="32" t="n">
        <f>310679513</f>
        <v>3.10679513E8</v>
      </c>
      <c r="X407" s="36" t="n">
        <f>18</f>
        <v>18.0</v>
      </c>
    </row>
    <row r="408">
      <c r="A408" s="27" t="s">
        <v>42</v>
      </c>
      <c r="B408" s="27" t="s">
        <v>1268</v>
      </c>
      <c r="C408" s="27" t="s">
        <v>1269</v>
      </c>
      <c r="D408" s="27" t="s">
        <v>1270</v>
      </c>
      <c r="E408" s="28" t="s">
        <v>46</v>
      </c>
      <c r="F408" s="29" t="s">
        <v>46</v>
      </c>
      <c r="G408" s="30" t="s">
        <v>46</v>
      </c>
      <c r="H408" s="31"/>
      <c r="I408" s="31" t="s">
        <v>413</v>
      </c>
      <c r="J408" s="32" t="n">
        <v>1.0</v>
      </c>
      <c r="K408" s="33" t="n">
        <f>107800</f>
        <v>107800.0</v>
      </c>
      <c r="L408" s="34" t="s">
        <v>48</v>
      </c>
      <c r="M408" s="33" t="n">
        <f>109000</f>
        <v>109000.0</v>
      </c>
      <c r="N408" s="34" t="s">
        <v>79</v>
      </c>
      <c r="O408" s="33" t="n">
        <f>106200</f>
        <v>106200.0</v>
      </c>
      <c r="P408" s="34" t="s">
        <v>90</v>
      </c>
      <c r="Q408" s="33" t="n">
        <f>107800</f>
        <v>107800.0</v>
      </c>
      <c r="R408" s="34" t="s">
        <v>49</v>
      </c>
      <c r="S408" s="35" t="n">
        <f>107750</f>
        <v>107750.0</v>
      </c>
      <c r="T408" s="32" t="n">
        <f>17638</f>
        <v>17638.0</v>
      </c>
      <c r="U408" s="32" t="n">
        <f>1718</f>
        <v>1718.0</v>
      </c>
      <c r="V408" s="32" t="n">
        <f>1898164828</f>
        <v>1.898164828E9</v>
      </c>
      <c r="W408" s="32" t="n">
        <f>185234828</f>
        <v>1.85234828E8</v>
      </c>
      <c r="X408" s="36" t="n">
        <f>18</f>
        <v>18.0</v>
      </c>
    </row>
    <row r="409">
      <c r="A409" s="27" t="s">
        <v>42</v>
      </c>
      <c r="B409" s="27" t="s">
        <v>1271</v>
      </c>
      <c r="C409" s="27" t="s">
        <v>1272</v>
      </c>
      <c r="D409" s="27" t="s">
        <v>1273</v>
      </c>
      <c r="E409" s="28" t="s">
        <v>46</v>
      </c>
      <c r="F409" s="29" t="s">
        <v>46</v>
      </c>
      <c r="G409" s="30" t="s">
        <v>46</v>
      </c>
      <c r="H409" s="31"/>
      <c r="I409" s="31" t="s">
        <v>47</v>
      </c>
      <c r="J409" s="32" t="n">
        <v>1.0</v>
      </c>
      <c r="K409" s="33" t="n">
        <f>116200</f>
        <v>116200.0</v>
      </c>
      <c r="L409" s="34" t="s">
        <v>48</v>
      </c>
      <c r="M409" s="33" t="n">
        <f>120300</f>
        <v>120300.0</v>
      </c>
      <c r="N409" s="34" t="s">
        <v>68</v>
      </c>
      <c r="O409" s="33" t="n">
        <f>115500</f>
        <v>115500.0</v>
      </c>
      <c r="P409" s="34" t="s">
        <v>60</v>
      </c>
      <c r="Q409" s="33" t="n">
        <f>117700</f>
        <v>117700.0</v>
      </c>
      <c r="R409" s="34" t="s">
        <v>49</v>
      </c>
      <c r="S409" s="35" t="n">
        <f>117538.89</f>
        <v>117538.89</v>
      </c>
      <c r="T409" s="32" t="n">
        <f>219515</f>
        <v>219515.0</v>
      </c>
      <c r="U409" s="32" t="n">
        <f>40780</f>
        <v>40780.0</v>
      </c>
      <c r="V409" s="32" t="n">
        <f>25803647344</f>
        <v>2.5803647344E10</v>
      </c>
      <c r="W409" s="32" t="n">
        <f>4797904544</f>
        <v>4.797904544E9</v>
      </c>
      <c r="X409" s="36" t="n">
        <f>18</f>
        <v>18.0</v>
      </c>
    </row>
    <row r="410">
      <c r="A410" s="27" t="s">
        <v>42</v>
      </c>
      <c r="B410" s="27" t="s">
        <v>1274</v>
      </c>
      <c r="C410" s="27" t="s">
        <v>1275</v>
      </c>
      <c r="D410" s="27" t="s">
        <v>1276</v>
      </c>
      <c r="E410" s="28" t="s">
        <v>46</v>
      </c>
      <c r="F410" s="29" t="s">
        <v>46</v>
      </c>
      <c r="G410" s="30" t="s">
        <v>46</v>
      </c>
      <c r="H410" s="31"/>
      <c r="I410" s="31" t="s">
        <v>413</v>
      </c>
      <c r="J410" s="32" t="n">
        <v>1.0</v>
      </c>
      <c r="K410" s="33" t="n">
        <f>75200</f>
        <v>75200.0</v>
      </c>
      <c r="L410" s="34" t="s">
        <v>48</v>
      </c>
      <c r="M410" s="33" t="n">
        <f>76900</f>
        <v>76900.0</v>
      </c>
      <c r="N410" s="34" t="s">
        <v>64</v>
      </c>
      <c r="O410" s="33" t="n">
        <f>74500</f>
        <v>74500.0</v>
      </c>
      <c r="P410" s="34" t="s">
        <v>48</v>
      </c>
      <c r="Q410" s="33" t="n">
        <f>75200</f>
        <v>75200.0</v>
      </c>
      <c r="R410" s="34" t="s">
        <v>49</v>
      </c>
      <c r="S410" s="35" t="n">
        <f>75772.22</f>
        <v>75772.22</v>
      </c>
      <c r="T410" s="32" t="n">
        <f>32884</f>
        <v>32884.0</v>
      </c>
      <c r="U410" s="32" t="n">
        <f>3012</f>
        <v>3012.0</v>
      </c>
      <c r="V410" s="32" t="n">
        <f>2491620708</f>
        <v>2.491620708E9</v>
      </c>
      <c r="W410" s="32" t="n">
        <f>228321608</f>
        <v>2.28321608E8</v>
      </c>
      <c r="X410" s="36" t="n">
        <f>18</f>
        <v>18.0</v>
      </c>
    </row>
    <row r="411">
      <c r="A411" s="27" t="s">
        <v>42</v>
      </c>
      <c r="B411" s="27" t="s">
        <v>1277</v>
      </c>
      <c r="C411" s="27" t="s">
        <v>1278</v>
      </c>
      <c r="D411" s="27" t="s">
        <v>1279</v>
      </c>
      <c r="E411" s="28" t="s">
        <v>46</v>
      </c>
      <c r="F411" s="29" t="s">
        <v>46</v>
      </c>
      <c r="G411" s="30" t="s">
        <v>46</v>
      </c>
      <c r="H411" s="31"/>
      <c r="I411" s="31" t="s">
        <v>47</v>
      </c>
      <c r="J411" s="32" t="n">
        <v>1.0</v>
      </c>
      <c r="K411" s="33" t="n">
        <f>50200</f>
        <v>50200.0</v>
      </c>
      <c r="L411" s="34" t="s">
        <v>48</v>
      </c>
      <c r="M411" s="33" t="n">
        <f>51400</f>
        <v>51400.0</v>
      </c>
      <c r="N411" s="34" t="s">
        <v>83</v>
      </c>
      <c r="O411" s="33" t="n">
        <f>49700</f>
        <v>49700.0</v>
      </c>
      <c r="P411" s="34" t="s">
        <v>48</v>
      </c>
      <c r="Q411" s="33" t="n">
        <f>50600</f>
        <v>50600.0</v>
      </c>
      <c r="R411" s="34" t="s">
        <v>49</v>
      </c>
      <c r="S411" s="35" t="n">
        <f>50702.78</f>
        <v>50702.78</v>
      </c>
      <c r="T411" s="32" t="n">
        <f>71557</f>
        <v>71557.0</v>
      </c>
      <c r="U411" s="32" t="n">
        <f>16894</f>
        <v>16894.0</v>
      </c>
      <c r="V411" s="32" t="n">
        <f>3629596616</f>
        <v>3.629596616E9</v>
      </c>
      <c r="W411" s="32" t="n">
        <f>857943066</f>
        <v>8.57943066E8</v>
      </c>
      <c r="X411" s="36" t="n">
        <f>18</f>
        <v>18.0</v>
      </c>
    </row>
    <row r="412">
      <c r="A412" s="27" t="s">
        <v>42</v>
      </c>
      <c r="B412" s="27" t="s">
        <v>1280</v>
      </c>
      <c r="C412" s="27" t="s">
        <v>1281</v>
      </c>
      <c r="D412" s="27" t="s">
        <v>1282</v>
      </c>
      <c r="E412" s="28" t="s">
        <v>46</v>
      </c>
      <c r="F412" s="29" t="s">
        <v>46</v>
      </c>
      <c r="G412" s="30" t="s">
        <v>46</v>
      </c>
      <c r="H412" s="31"/>
      <c r="I412" s="31" t="s">
        <v>47</v>
      </c>
      <c r="J412" s="32" t="n">
        <v>1.0</v>
      </c>
      <c r="K412" s="33" t="n">
        <f>131700</f>
        <v>131700.0</v>
      </c>
      <c r="L412" s="34" t="s">
        <v>48</v>
      </c>
      <c r="M412" s="33" t="n">
        <f>133900</f>
        <v>133900.0</v>
      </c>
      <c r="N412" s="34" t="s">
        <v>69</v>
      </c>
      <c r="O412" s="33" t="n">
        <f>129700</f>
        <v>129700.0</v>
      </c>
      <c r="P412" s="34" t="s">
        <v>49</v>
      </c>
      <c r="Q412" s="33" t="n">
        <f>130000</f>
        <v>130000.0</v>
      </c>
      <c r="R412" s="34" t="s">
        <v>49</v>
      </c>
      <c r="S412" s="35" t="n">
        <f>132038.89</f>
        <v>132038.89</v>
      </c>
      <c r="T412" s="32" t="n">
        <f>98300</f>
        <v>98300.0</v>
      </c>
      <c r="U412" s="32" t="n">
        <f>32324</f>
        <v>32324.0</v>
      </c>
      <c r="V412" s="32" t="n">
        <f>12952198947</f>
        <v>1.2952198947E10</v>
      </c>
      <c r="W412" s="32" t="n">
        <f>4251009647</f>
        <v>4.251009647E9</v>
      </c>
      <c r="X412" s="36" t="n">
        <f>18</f>
        <v>18.0</v>
      </c>
    </row>
    <row r="413">
      <c r="A413" s="27" t="s">
        <v>42</v>
      </c>
      <c r="B413" s="27" t="s">
        <v>1283</v>
      </c>
      <c r="C413" s="27" t="s">
        <v>1284</v>
      </c>
      <c r="D413" s="27" t="s">
        <v>1285</v>
      </c>
      <c r="E413" s="28" t="s">
        <v>46</v>
      </c>
      <c r="F413" s="29" t="s">
        <v>46</v>
      </c>
      <c r="G413" s="30" t="s">
        <v>46</v>
      </c>
      <c r="H413" s="31"/>
      <c r="I413" s="31" t="s">
        <v>47</v>
      </c>
      <c r="J413" s="32" t="n">
        <v>1.0</v>
      </c>
      <c r="K413" s="33" t="n">
        <f>166600</f>
        <v>166600.0</v>
      </c>
      <c r="L413" s="34" t="s">
        <v>48</v>
      </c>
      <c r="M413" s="33" t="n">
        <f>169700</f>
        <v>169700.0</v>
      </c>
      <c r="N413" s="34" t="s">
        <v>101</v>
      </c>
      <c r="O413" s="33" t="n">
        <f>163200</f>
        <v>163200.0</v>
      </c>
      <c r="P413" s="34" t="s">
        <v>105</v>
      </c>
      <c r="Q413" s="33" t="n">
        <f>164300</f>
        <v>164300.0</v>
      </c>
      <c r="R413" s="34" t="s">
        <v>49</v>
      </c>
      <c r="S413" s="35" t="n">
        <f>166316.67</f>
        <v>166316.67</v>
      </c>
      <c r="T413" s="32" t="n">
        <f>32071</f>
        <v>32071.0</v>
      </c>
      <c r="U413" s="32" t="n">
        <f>7090</f>
        <v>7090.0</v>
      </c>
      <c r="V413" s="32" t="n">
        <f>5329925513</f>
        <v>5.329925513E9</v>
      </c>
      <c r="W413" s="32" t="n">
        <f>1178430513</f>
        <v>1.178430513E9</v>
      </c>
      <c r="X413" s="36" t="n">
        <f>18</f>
        <v>18.0</v>
      </c>
    </row>
    <row r="414">
      <c r="A414" s="27" t="s">
        <v>42</v>
      </c>
      <c r="B414" s="27" t="s">
        <v>1286</v>
      </c>
      <c r="C414" s="27" t="s">
        <v>1287</v>
      </c>
      <c r="D414" s="27" t="s">
        <v>1288</v>
      </c>
      <c r="E414" s="28" t="s">
        <v>46</v>
      </c>
      <c r="F414" s="29" t="s">
        <v>46</v>
      </c>
      <c r="G414" s="30" t="s">
        <v>46</v>
      </c>
      <c r="H414" s="31"/>
      <c r="I414" s="31" t="s">
        <v>413</v>
      </c>
      <c r="J414" s="32" t="n">
        <v>1.0</v>
      </c>
      <c r="K414" s="33" t="n">
        <f>116100</f>
        <v>116100.0</v>
      </c>
      <c r="L414" s="34" t="s">
        <v>48</v>
      </c>
      <c r="M414" s="33" t="n">
        <f>117700</f>
        <v>117700.0</v>
      </c>
      <c r="N414" s="34" t="s">
        <v>160</v>
      </c>
      <c r="O414" s="33" t="n">
        <f>113600</f>
        <v>113600.0</v>
      </c>
      <c r="P414" s="34" t="s">
        <v>49</v>
      </c>
      <c r="Q414" s="33" t="n">
        <f>114200</f>
        <v>114200.0</v>
      </c>
      <c r="R414" s="34" t="s">
        <v>49</v>
      </c>
      <c r="S414" s="35" t="n">
        <f>116327.78</f>
        <v>116327.78</v>
      </c>
      <c r="T414" s="32" t="n">
        <f>28641</f>
        <v>28641.0</v>
      </c>
      <c r="U414" s="32" t="n">
        <f>2124</f>
        <v>2124.0</v>
      </c>
      <c r="V414" s="32" t="n">
        <f>3324238647</f>
        <v>3.324238647E9</v>
      </c>
      <c r="W414" s="32" t="n">
        <f>246457647</f>
        <v>2.46457647E8</v>
      </c>
      <c r="X414" s="36" t="n">
        <f>18</f>
        <v>18.0</v>
      </c>
    </row>
    <row r="415">
      <c r="A415" s="27" t="s">
        <v>42</v>
      </c>
      <c r="B415" s="27" t="s">
        <v>1289</v>
      </c>
      <c r="C415" s="27" t="s">
        <v>1290</v>
      </c>
      <c r="D415" s="27" t="s">
        <v>1291</v>
      </c>
      <c r="E415" s="28" t="s">
        <v>46</v>
      </c>
      <c r="F415" s="29" t="s">
        <v>46</v>
      </c>
      <c r="G415" s="30" t="s">
        <v>46</v>
      </c>
      <c r="H415" s="31"/>
      <c r="I415" s="31" t="s">
        <v>47</v>
      </c>
      <c r="J415" s="32" t="n">
        <v>10.0</v>
      </c>
      <c r="K415" s="33" t="n">
        <f>260</f>
        <v>260.0</v>
      </c>
      <c r="L415" s="34" t="s">
        <v>48</v>
      </c>
      <c r="M415" s="33" t="n">
        <f>288.5</f>
        <v>288.5</v>
      </c>
      <c r="N415" s="34" t="s">
        <v>49</v>
      </c>
      <c r="O415" s="33" t="n">
        <f>254.6</f>
        <v>254.6</v>
      </c>
      <c r="P415" s="34" t="s">
        <v>48</v>
      </c>
      <c r="Q415" s="33" t="n">
        <f>288.1</f>
        <v>288.1</v>
      </c>
      <c r="R415" s="34" t="s">
        <v>49</v>
      </c>
      <c r="S415" s="35" t="n">
        <f>274.78</f>
        <v>274.78</v>
      </c>
      <c r="T415" s="32" t="n">
        <f>952980</f>
        <v>952980.0</v>
      </c>
      <c r="U415" s="32" t="n">
        <f>120</f>
        <v>120.0</v>
      </c>
      <c r="V415" s="32" t="n">
        <f>261934521</f>
        <v>2.61934521E8</v>
      </c>
      <c r="W415" s="32" t="n">
        <f>31632</f>
        <v>31632.0</v>
      </c>
      <c r="X415" s="36" t="n">
        <f>18</f>
        <v>18.0</v>
      </c>
    </row>
    <row r="416">
      <c r="A416" s="27" t="s">
        <v>42</v>
      </c>
      <c r="B416" s="27" t="s">
        <v>1292</v>
      </c>
      <c r="C416" s="27" t="s">
        <v>1293</v>
      </c>
      <c r="D416" s="27" t="s">
        <v>1294</v>
      </c>
      <c r="E416" s="28" t="s">
        <v>46</v>
      </c>
      <c r="F416" s="29" t="s">
        <v>46</v>
      </c>
      <c r="G416" s="30" t="s">
        <v>46</v>
      </c>
      <c r="H416" s="31"/>
      <c r="I416" s="31" t="s">
        <v>47</v>
      </c>
      <c r="J416" s="32" t="n">
        <v>1.0</v>
      </c>
      <c r="K416" s="33" t="n">
        <f>93600</f>
        <v>93600.0</v>
      </c>
      <c r="L416" s="34" t="s">
        <v>48</v>
      </c>
      <c r="M416" s="33" t="n">
        <f>95500</f>
        <v>95500.0</v>
      </c>
      <c r="N416" s="34" t="s">
        <v>101</v>
      </c>
      <c r="O416" s="33" t="n">
        <f>89300</f>
        <v>89300.0</v>
      </c>
      <c r="P416" s="34" t="s">
        <v>49</v>
      </c>
      <c r="Q416" s="33" t="n">
        <f>89300</f>
        <v>89300.0</v>
      </c>
      <c r="R416" s="34" t="s">
        <v>49</v>
      </c>
      <c r="S416" s="35" t="n">
        <f>93422.22</f>
        <v>93422.22</v>
      </c>
      <c r="T416" s="32" t="n">
        <f>147333</f>
        <v>147333.0</v>
      </c>
      <c r="U416" s="32" t="n">
        <f>12662</f>
        <v>12662.0</v>
      </c>
      <c r="V416" s="32" t="n">
        <f>13625544675</f>
        <v>1.3625544675E10</v>
      </c>
      <c r="W416" s="32" t="n">
        <f>1171564975</f>
        <v>1.171564975E9</v>
      </c>
      <c r="X416" s="36" t="n">
        <f>18</f>
        <v>18.0</v>
      </c>
    </row>
    <row r="417">
      <c r="A417" s="27" t="s">
        <v>42</v>
      </c>
      <c r="B417" s="27" t="s">
        <v>1295</v>
      </c>
      <c r="C417" s="27" t="s">
        <v>1296</v>
      </c>
      <c r="D417" s="27" t="s">
        <v>1297</v>
      </c>
      <c r="E417" s="28" t="s">
        <v>46</v>
      </c>
      <c r="F417" s="29" t="s">
        <v>46</v>
      </c>
      <c r="G417" s="30" t="s">
        <v>46</v>
      </c>
      <c r="H417" s="31"/>
      <c r="I417" s="31" t="s">
        <v>47</v>
      </c>
      <c r="J417" s="32" t="n">
        <v>10.0</v>
      </c>
      <c r="K417" s="33" t="n">
        <f>687</f>
        <v>687.0</v>
      </c>
      <c r="L417" s="34" t="s">
        <v>48</v>
      </c>
      <c r="M417" s="33" t="n">
        <f>799</f>
        <v>799.0</v>
      </c>
      <c r="N417" s="34" t="s">
        <v>258</v>
      </c>
      <c r="O417" s="33" t="n">
        <f>677.3</f>
        <v>677.3</v>
      </c>
      <c r="P417" s="34" t="s">
        <v>48</v>
      </c>
      <c r="Q417" s="33" t="n">
        <f>783</f>
        <v>783.0</v>
      </c>
      <c r="R417" s="34" t="s">
        <v>49</v>
      </c>
      <c r="S417" s="35" t="n">
        <f>733.63</f>
        <v>733.63</v>
      </c>
      <c r="T417" s="32" t="n">
        <f>219980</f>
        <v>219980.0</v>
      </c>
      <c r="U417" s="32" t="str">
        <f>"－"</f>
        <v>－</v>
      </c>
      <c r="V417" s="32" t="n">
        <f>162918819</f>
        <v>1.62918819E8</v>
      </c>
      <c r="W417" s="32" t="str">
        <f>"－"</f>
        <v>－</v>
      </c>
      <c r="X417" s="36" t="n">
        <f>18</f>
        <v>18.0</v>
      </c>
    </row>
    <row r="418">
      <c r="A418" s="27" t="s">
        <v>42</v>
      </c>
      <c r="B418" s="27" t="s">
        <v>1298</v>
      </c>
      <c r="C418" s="27" t="s">
        <v>1299</v>
      </c>
      <c r="D418" s="27" t="s">
        <v>1300</v>
      </c>
      <c r="E418" s="28" t="s">
        <v>46</v>
      </c>
      <c r="F418" s="29" t="s">
        <v>46</v>
      </c>
      <c r="G418" s="30" t="s">
        <v>46</v>
      </c>
      <c r="H418" s="31"/>
      <c r="I418" s="31" t="s">
        <v>47</v>
      </c>
      <c r="J418" s="32" t="n">
        <v>1.0</v>
      </c>
      <c r="K418" s="33" t="n">
        <f>2885</f>
        <v>2885.0</v>
      </c>
      <c r="L418" s="34" t="s">
        <v>48</v>
      </c>
      <c r="M418" s="33" t="n">
        <f>3238</f>
        <v>3238.0</v>
      </c>
      <c r="N418" s="34" t="s">
        <v>49</v>
      </c>
      <c r="O418" s="33" t="n">
        <f>2825</f>
        <v>2825.0</v>
      </c>
      <c r="P418" s="34" t="s">
        <v>48</v>
      </c>
      <c r="Q418" s="33" t="n">
        <f>3238</f>
        <v>3238.0</v>
      </c>
      <c r="R418" s="34" t="s">
        <v>49</v>
      </c>
      <c r="S418" s="35" t="n">
        <f>3067.72</f>
        <v>3067.72</v>
      </c>
      <c r="T418" s="32" t="n">
        <f>1348478</f>
        <v>1348478.0</v>
      </c>
      <c r="U418" s="32" t="n">
        <f>618524</f>
        <v>618524.0</v>
      </c>
      <c r="V418" s="32" t="n">
        <f>4119068223</f>
        <v>4.119068223E9</v>
      </c>
      <c r="W418" s="32" t="n">
        <f>1884831371</f>
        <v>1.884831371E9</v>
      </c>
      <c r="X418" s="36" t="n">
        <f>18</f>
        <v>18.0</v>
      </c>
    </row>
    <row r="419">
      <c r="A419" s="27" t="s">
        <v>42</v>
      </c>
      <c r="B419" s="27" t="s">
        <v>1301</v>
      </c>
      <c r="C419" s="27" t="s">
        <v>1302</v>
      </c>
      <c r="D419" s="27" t="s">
        <v>1303</v>
      </c>
      <c r="E419" s="28" t="s">
        <v>46</v>
      </c>
      <c r="F419" s="29" t="s">
        <v>46</v>
      </c>
      <c r="G419" s="30" t="s">
        <v>46</v>
      </c>
      <c r="H419" s="31"/>
      <c r="I419" s="31" t="s">
        <v>47</v>
      </c>
      <c r="J419" s="32" t="n">
        <v>1.0</v>
      </c>
      <c r="K419" s="33" t="n">
        <f>1378</f>
        <v>1378.0</v>
      </c>
      <c r="L419" s="34" t="s">
        <v>48</v>
      </c>
      <c r="M419" s="33" t="n">
        <f>1411</f>
        <v>1411.0</v>
      </c>
      <c r="N419" s="34" t="s">
        <v>60</v>
      </c>
      <c r="O419" s="33" t="n">
        <f>1335</f>
        <v>1335.0</v>
      </c>
      <c r="P419" s="34" t="s">
        <v>274</v>
      </c>
      <c r="Q419" s="33" t="n">
        <f>1376</f>
        <v>1376.0</v>
      </c>
      <c r="R419" s="34" t="s">
        <v>49</v>
      </c>
      <c r="S419" s="35" t="n">
        <f>1371.5</f>
        <v>1371.5</v>
      </c>
      <c r="T419" s="32" t="n">
        <f>191972</f>
        <v>191972.0</v>
      </c>
      <c r="U419" s="32" t="str">
        <f>"－"</f>
        <v>－</v>
      </c>
      <c r="V419" s="32" t="n">
        <f>263613105</f>
        <v>2.63613105E8</v>
      </c>
      <c r="W419" s="32" t="str">
        <f>"－"</f>
        <v>－</v>
      </c>
      <c r="X419" s="36" t="n">
        <f>18</f>
        <v>18.0</v>
      </c>
    </row>
    <row r="420">
      <c r="A420" s="27" t="s">
        <v>42</v>
      </c>
      <c r="B420" s="27" t="s">
        <v>1304</v>
      </c>
      <c r="C420" s="27" t="s">
        <v>1305</v>
      </c>
      <c r="D420" s="27" t="s">
        <v>1306</v>
      </c>
      <c r="E420" s="28" t="s">
        <v>46</v>
      </c>
      <c r="F420" s="29" t="s">
        <v>46</v>
      </c>
      <c r="G420" s="30" t="s">
        <v>46</v>
      </c>
      <c r="H420" s="31"/>
      <c r="I420" s="31" t="s">
        <v>47</v>
      </c>
      <c r="J420" s="32" t="n">
        <v>10.0</v>
      </c>
      <c r="K420" s="33" t="n">
        <f>1204</f>
        <v>1204.0</v>
      </c>
      <c r="L420" s="34" t="s">
        <v>60</v>
      </c>
      <c r="M420" s="33" t="n">
        <f>1235</f>
        <v>1235.0</v>
      </c>
      <c r="N420" s="34" t="s">
        <v>68</v>
      </c>
      <c r="O420" s="33" t="n">
        <f>1200</f>
        <v>1200.0</v>
      </c>
      <c r="P420" s="34" t="s">
        <v>160</v>
      </c>
      <c r="Q420" s="33" t="n">
        <f>1224.5</f>
        <v>1224.5</v>
      </c>
      <c r="R420" s="34" t="s">
        <v>49</v>
      </c>
      <c r="S420" s="35" t="n">
        <f>1213.25</f>
        <v>1213.25</v>
      </c>
      <c r="T420" s="32" t="n">
        <f>372110</f>
        <v>372110.0</v>
      </c>
      <c r="U420" s="32" t="n">
        <f>370000</f>
        <v>370000.0</v>
      </c>
      <c r="V420" s="32" t="n">
        <f>452391192</f>
        <v>4.52391192E8</v>
      </c>
      <c r="W420" s="32" t="n">
        <f>449826612</f>
        <v>4.49826612E8</v>
      </c>
      <c r="X420" s="36" t="n">
        <f>14</f>
        <v>14.0</v>
      </c>
    </row>
    <row r="421">
      <c r="A421" s="27" t="s">
        <v>42</v>
      </c>
      <c r="B421" s="27" t="s">
        <v>1307</v>
      </c>
      <c r="C421" s="27" t="s">
        <v>1308</v>
      </c>
      <c r="D421" s="27" t="s">
        <v>1309</v>
      </c>
      <c r="E421" s="28" t="s">
        <v>46</v>
      </c>
      <c r="F421" s="29" t="s">
        <v>46</v>
      </c>
      <c r="G421" s="30" t="s">
        <v>46</v>
      </c>
      <c r="H421" s="31"/>
      <c r="I421" s="31" t="s">
        <v>47</v>
      </c>
      <c r="J421" s="32" t="n">
        <v>1.0</v>
      </c>
      <c r="K421" s="33" t="n">
        <f>2580</f>
        <v>2580.0</v>
      </c>
      <c r="L421" s="34" t="s">
        <v>48</v>
      </c>
      <c r="M421" s="33" t="n">
        <f>2731</f>
        <v>2731.0</v>
      </c>
      <c r="N421" s="34" t="s">
        <v>49</v>
      </c>
      <c r="O421" s="33" t="n">
        <f>2531</f>
        <v>2531.0</v>
      </c>
      <c r="P421" s="34" t="s">
        <v>48</v>
      </c>
      <c r="Q421" s="33" t="n">
        <f>2705</f>
        <v>2705.0</v>
      </c>
      <c r="R421" s="34" t="s">
        <v>49</v>
      </c>
      <c r="S421" s="35" t="n">
        <f>2615.83</f>
        <v>2615.83</v>
      </c>
      <c r="T421" s="32" t="n">
        <f>147741</f>
        <v>147741.0</v>
      </c>
      <c r="U421" s="32" t="n">
        <f>71552</f>
        <v>71552.0</v>
      </c>
      <c r="V421" s="32" t="n">
        <f>380101277</f>
        <v>3.80101277E8</v>
      </c>
      <c r="W421" s="32" t="n">
        <f>183473638</f>
        <v>1.83473638E8</v>
      </c>
      <c r="X421" s="36" t="n">
        <f>18</f>
        <v>18.0</v>
      </c>
    </row>
    <row r="422">
      <c r="A422" s="27" t="s">
        <v>42</v>
      </c>
      <c r="B422" s="27" t="s">
        <v>1310</v>
      </c>
      <c r="C422" s="27" t="s">
        <v>1311</v>
      </c>
      <c r="D422" s="27" t="s">
        <v>1312</v>
      </c>
      <c r="E422" s="28" t="s">
        <v>46</v>
      </c>
      <c r="F422" s="29" t="s">
        <v>46</v>
      </c>
      <c r="G422" s="30" t="s">
        <v>46</v>
      </c>
      <c r="H422" s="31"/>
      <c r="I422" s="31" t="s">
        <v>47</v>
      </c>
      <c r="J422" s="32" t="n">
        <v>1.0</v>
      </c>
      <c r="K422" s="33" t="n">
        <f>2337</f>
        <v>2337.0</v>
      </c>
      <c r="L422" s="34" t="s">
        <v>48</v>
      </c>
      <c r="M422" s="33" t="n">
        <f>2472</f>
        <v>2472.0</v>
      </c>
      <c r="N422" s="34" t="s">
        <v>59</v>
      </c>
      <c r="O422" s="33" t="n">
        <f>2330</f>
        <v>2330.0</v>
      </c>
      <c r="P422" s="34" t="s">
        <v>48</v>
      </c>
      <c r="Q422" s="33" t="n">
        <f>2441</f>
        <v>2441.0</v>
      </c>
      <c r="R422" s="34" t="s">
        <v>49</v>
      </c>
      <c r="S422" s="35" t="n">
        <f>2417.28</f>
        <v>2417.28</v>
      </c>
      <c r="T422" s="32" t="n">
        <f>133067</f>
        <v>133067.0</v>
      </c>
      <c r="U422" s="32" t="str">
        <f>"－"</f>
        <v>－</v>
      </c>
      <c r="V422" s="32" t="n">
        <f>321625605</f>
        <v>3.21625605E8</v>
      </c>
      <c r="W422" s="32" t="str">
        <f>"－"</f>
        <v>－</v>
      </c>
      <c r="X422" s="36" t="n">
        <f>18</f>
        <v>18.0</v>
      </c>
    </row>
    <row r="423">
      <c r="A423" s="27" t="s">
        <v>42</v>
      </c>
      <c r="B423" s="27" t="s">
        <v>1313</v>
      </c>
      <c r="C423" s="27" t="s">
        <v>1314</v>
      </c>
      <c r="D423" s="27" t="s">
        <v>1315</v>
      </c>
      <c r="E423" s="28" t="s">
        <v>46</v>
      </c>
      <c r="F423" s="29" t="s">
        <v>46</v>
      </c>
      <c r="G423" s="30" t="s">
        <v>46</v>
      </c>
      <c r="H423" s="31"/>
      <c r="I423" s="31" t="s">
        <v>47</v>
      </c>
      <c r="J423" s="32" t="n">
        <v>1.0</v>
      </c>
      <c r="K423" s="33" t="n">
        <f>5051</f>
        <v>5051.0</v>
      </c>
      <c r="L423" s="34" t="s">
        <v>48</v>
      </c>
      <c r="M423" s="33" t="n">
        <f>5190</f>
        <v>5190.0</v>
      </c>
      <c r="N423" s="34" t="s">
        <v>274</v>
      </c>
      <c r="O423" s="33" t="n">
        <f>4976</f>
        <v>4976.0</v>
      </c>
      <c r="P423" s="34" t="s">
        <v>90</v>
      </c>
      <c r="Q423" s="33" t="n">
        <f>5123</f>
        <v>5123.0</v>
      </c>
      <c r="R423" s="34" t="s">
        <v>49</v>
      </c>
      <c r="S423" s="35" t="n">
        <f>5074.46</f>
        <v>5074.46</v>
      </c>
      <c r="T423" s="32" t="n">
        <f>23741</f>
        <v>23741.0</v>
      </c>
      <c r="U423" s="32" t="str">
        <f>"－"</f>
        <v>－</v>
      </c>
      <c r="V423" s="32" t="n">
        <f>120229422</f>
        <v>1.20229422E8</v>
      </c>
      <c r="W423" s="32" t="str">
        <f>"－"</f>
        <v>－</v>
      </c>
      <c r="X423" s="36" t="n">
        <f>13</f>
        <v>13.0</v>
      </c>
    </row>
    <row r="424">
      <c r="A424" s="27" t="s">
        <v>42</v>
      </c>
      <c r="B424" s="27" t="s">
        <v>1316</v>
      </c>
      <c r="C424" s="27" t="s">
        <v>1317</v>
      </c>
      <c r="D424" s="27" t="s">
        <v>1318</v>
      </c>
      <c r="E424" s="28" t="s">
        <v>46</v>
      </c>
      <c r="F424" s="29" t="s">
        <v>46</v>
      </c>
      <c r="G424" s="30" t="s">
        <v>46</v>
      </c>
      <c r="H424" s="31"/>
      <c r="I424" s="31" t="s">
        <v>47</v>
      </c>
      <c r="J424" s="32" t="n">
        <v>1.0</v>
      </c>
      <c r="K424" s="33" t="n">
        <f>1227</f>
        <v>1227.0</v>
      </c>
      <c r="L424" s="34" t="s">
        <v>48</v>
      </c>
      <c r="M424" s="33" t="n">
        <f>1250</f>
        <v>1250.0</v>
      </c>
      <c r="N424" s="34" t="s">
        <v>105</v>
      </c>
      <c r="O424" s="33" t="n">
        <f>1181</f>
        <v>1181.0</v>
      </c>
      <c r="P424" s="34" t="s">
        <v>274</v>
      </c>
      <c r="Q424" s="33" t="n">
        <f>1224</f>
        <v>1224.0</v>
      </c>
      <c r="R424" s="34" t="s">
        <v>49</v>
      </c>
      <c r="S424" s="35" t="n">
        <f>1217.28</f>
        <v>1217.28</v>
      </c>
      <c r="T424" s="32" t="n">
        <f>79378</f>
        <v>79378.0</v>
      </c>
      <c r="U424" s="32" t="str">
        <f>"－"</f>
        <v>－</v>
      </c>
      <c r="V424" s="32" t="n">
        <f>96848978</f>
        <v>9.6848978E7</v>
      </c>
      <c r="W424" s="32" t="str">
        <f>"－"</f>
        <v>－</v>
      </c>
      <c r="X424" s="36" t="n">
        <f>18</f>
        <v>18.0</v>
      </c>
    </row>
    <row r="425">
      <c r="A425" s="27" t="s">
        <v>42</v>
      </c>
      <c r="B425" s="27" t="s">
        <v>1319</v>
      </c>
      <c r="C425" s="27" t="s">
        <v>1320</v>
      </c>
      <c r="D425" s="27" t="s">
        <v>1321</v>
      </c>
      <c r="E425" s="28" t="s">
        <v>46</v>
      </c>
      <c r="F425" s="29" t="s">
        <v>46</v>
      </c>
      <c r="G425" s="30" t="s">
        <v>46</v>
      </c>
      <c r="H425" s="31"/>
      <c r="I425" s="31" t="s">
        <v>47</v>
      </c>
      <c r="J425" s="32" t="n">
        <v>1.0</v>
      </c>
      <c r="K425" s="33" t="n">
        <f>1166</f>
        <v>1166.0</v>
      </c>
      <c r="L425" s="34" t="s">
        <v>48</v>
      </c>
      <c r="M425" s="33" t="n">
        <f>1166</f>
        <v>1166.0</v>
      </c>
      <c r="N425" s="34" t="s">
        <v>48</v>
      </c>
      <c r="O425" s="33" t="n">
        <f>1027</f>
        <v>1027.0</v>
      </c>
      <c r="P425" s="34" t="s">
        <v>105</v>
      </c>
      <c r="Q425" s="33" t="n">
        <f>1072</f>
        <v>1072.0</v>
      </c>
      <c r="R425" s="34" t="s">
        <v>49</v>
      </c>
      <c r="S425" s="35" t="n">
        <f>1103.44</f>
        <v>1103.44</v>
      </c>
      <c r="T425" s="32" t="n">
        <f>991068</f>
        <v>991068.0</v>
      </c>
      <c r="U425" s="32" t="str">
        <f>"－"</f>
        <v>－</v>
      </c>
      <c r="V425" s="32" t="n">
        <f>1093292317</f>
        <v>1.093292317E9</v>
      </c>
      <c r="W425" s="32" t="str">
        <f>"－"</f>
        <v>－</v>
      </c>
      <c r="X425" s="36" t="n">
        <f>18</f>
        <v>18.0</v>
      </c>
    </row>
    <row r="426">
      <c r="A426" s="27" t="s">
        <v>42</v>
      </c>
      <c r="B426" s="27" t="s">
        <v>1322</v>
      </c>
      <c r="C426" s="27" t="s">
        <v>1323</v>
      </c>
      <c r="D426" s="27" t="s">
        <v>1324</v>
      </c>
      <c r="E426" s="28" t="s">
        <v>46</v>
      </c>
      <c r="F426" s="29" t="s">
        <v>46</v>
      </c>
      <c r="G426" s="30" t="s">
        <v>46</v>
      </c>
      <c r="H426" s="31"/>
      <c r="I426" s="31" t="s">
        <v>47</v>
      </c>
      <c r="J426" s="32" t="n">
        <v>1.0</v>
      </c>
      <c r="K426" s="33" t="n">
        <f>2193</f>
        <v>2193.0</v>
      </c>
      <c r="L426" s="34" t="s">
        <v>48</v>
      </c>
      <c r="M426" s="33" t="n">
        <f>2237</f>
        <v>2237.0</v>
      </c>
      <c r="N426" s="34" t="s">
        <v>59</v>
      </c>
      <c r="O426" s="33" t="n">
        <f>2141</f>
        <v>2141.0</v>
      </c>
      <c r="P426" s="34" t="s">
        <v>64</v>
      </c>
      <c r="Q426" s="33" t="n">
        <f>2203</f>
        <v>2203.0</v>
      </c>
      <c r="R426" s="34" t="s">
        <v>49</v>
      </c>
      <c r="S426" s="35" t="n">
        <f>2186.11</f>
        <v>2186.11</v>
      </c>
      <c r="T426" s="32" t="n">
        <f>755832</f>
        <v>755832.0</v>
      </c>
      <c r="U426" s="32" t="n">
        <f>14000</f>
        <v>14000.0</v>
      </c>
      <c r="V426" s="32" t="n">
        <f>1659912836</f>
        <v>1.659912836E9</v>
      </c>
      <c r="W426" s="32" t="n">
        <f>30038700</f>
        <v>3.00387E7</v>
      </c>
      <c r="X426" s="36" t="n">
        <f>18</f>
        <v>18.0</v>
      </c>
    </row>
    <row r="427">
      <c r="A427" s="27" t="s">
        <v>42</v>
      </c>
      <c r="B427" s="27" t="s">
        <v>1325</v>
      </c>
      <c r="C427" s="27" t="s">
        <v>1326</v>
      </c>
      <c r="D427" s="27" t="s">
        <v>1327</v>
      </c>
      <c r="E427" s="28" t="s">
        <v>46</v>
      </c>
      <c r="F427" s="29" t="s">
        <v>46</v>
      </c>
      <c r="G427" s="30" t="s">
        <v>46</v>
      </c>
      <c r="H427" s="31"/>
      <c r="I427" s="31" t="s">
        <v>47</v>
      </c>
      <c r="J427" s="32" t="n">
        <v>1.0</v>
      </c>
      <c r="K427" s="33" t="n">
        <f>2000</f>
        <v>2000.0</v>
      </c>
      <c r="L427" s="34" t="s">
        <v>48</v>
      </c>
      <c r="M427" s="33" t="n">
        <f>2316</f>
        <v>2316.0</v>
      </c>
      <c r="N427" s="34" t="s">
        <v>90</v>
      </c>
      <c r="O427" s="33" t="n">
        <f>1839</f>
        <v>1839.0</v>
      </c>
      <c r="P427" s="34" t="s">
        <v>90</v>
      </c>
      <c r="Q427" s="33" t="n">
        <f>2007</f>
        <v>2007.0</v>
      </c>
      <c r="R427" s="34" t="s">
        <v>49</v>
      </c>
      <c r="S427" s="35" t="n">
        <f>1997.78</f>
        <v>1997.78</v>
      </c>
      <c r="T427" s="32" t="n">
        <f>2406598</f>
        <v>2406598.0</v>
      </c>
      <c r="U427" s="32" t="n">
        <f>1490000</f>
        <v>1490000.0</v>
      </c>
      <c r="V427" s="32" t="n">
        <f>4804322936</f>
        <v>4.804322936E9</v>
      </c>
      <c r="W427" s="32" t="n">
        <f>2974334000</f>
        <v>2.974334E9</v>
      </c>
      <c r="X427" s="36" t="n">
        <f>18</f>
        <v>18.0</v>
      </c>
    </row>
    <row r="428">
      <c r="A428" s="27" t="s">
        <v>42</v>
      </c>
      <c r="B428" s="27" t="s">
        <v>1328</v>
      </c>
      <c r="C428" s="27" t="s">
        <v>1329</v>
      </c>
      <c r="D428" s="27" t="s">
        <v>1330</v>
      </c>
      <c r="E428" s="28" t="s">
        <v>46</v>
      </c>
      <c r="F428" s="29" t="s">
        <v>46</v>
      </c>
      <c r="G428" s="30" t="s">
        <v>46</v>
      </c>
      <c r="H428" s="31"/>
      <c r="I428" s="31" t="s">
        <v>47</v>
      </c>
      <c r="J428" s="32" t="n">
        <v>1.0</v>
      </c>
      <c r="K428" s="33" t="n">
        <f>2341</f>
        <v>2341.0</v>
      </c>
      <c r="L428" s="34" t="s">
        <v>48</v>
      </c>
      <c r="M428" s="33" t="n">
        <f>2429</f>
        <v>2429.0</v>
      </c>
      <c r="N428" s="34" t="s">
        <v>59</v>
      </c>
      <c r="O428" s="33" t="n">
        <f>2320</f>
        <v>2320.0</v>
      </c>
      <c r="P428" s="34" t="s">
        <v>48</v>
      </c>
      <c r="Q428" s="33" t="n">
        <f>2422</f>
        <v>2422.0</v>
      </c>
      <c r="R428" s="34" t="s">
        <v>49</v>
      </c>
      <c r="S428" s="35" t="n">
        <f>2386.44</f>
        <v>2386.44</v>
      </c>
      <c r="T428" s="32" t="n">
        <f>383605</f>
        <v>383605.0</v>
      </c>
      <c r="U428" s="32" t="n">
        <f>1</f>
        <v>1.0</v>
      </c>
      <c r="V428" s="32" t="n">
        <f>906300289</f>
        <v>9.06300289E8</v>
      </c>
      <c r="W428" s="32" t="n">
        <f>2420</f>
        <v>2420.0</v>
      </c>
      <c r="X428" s="36" t="n">
        <f>18</f>
        <v>18.0</v>
      </c>
    </row>
    <row r="429">
      <c r="A429" s="27" t="s">
        <v>42</v>
      </c>
      <c r="B429" s="27" t="s">
        <v>1331</v>
      </c>
      <c r="C429" s="27" t="s">
        <v>1332</v>
      </c>
      <c r="D429" s="27" t="s">
        <v>1333</v>
      </c>
      <c r="E429" s="28" t="s">
        <v>46</v>
      </c>
      <c r="F429" s="29" t="s">
        <v>46</v>
      </c>
      <c r="G429" s="30" t="s">
        <v>46</v>
      </c>
      <c r="H429" s="31"/>
      <c r="I429" s="31" t="s">
        <v>413</v>
      </c>
      <c r="J429" s="32" t="n">
        <v>10.0</v>
      </c>
      <c r="K429" s="33" t="n">
        <f>232.5</f>
        <v>232.5</v>
      </c>
      <c r="L429" s="34" t="s">
        <v>48</v>
      </c>
      <c r="M429" s="33" t="n">
        <f>237.3</f>
        <v>237.3</v>
      </c>
      <c r="N429" s="34" t="s">
        <v>60</v>
      </c>
      <c r="O429" s="33" t="n">
        <f>217.4</f>
        <v>217.4</v>
      </c>
      <c r="P429" s="34" t="s">
        <v>274</v>
      </c>
      <c r="Q429" s="33" t="n">
        <f>226.8</f>
        <v>226.8</v>
      </c>
      <c r="R429" s="34" t="s">
        <v>49</v>
      </c>
      <c r="S429" s="35" t="n">
        <f>226.54</f>
        <v>226.54</v>
      </c>
      <c r="T429" s="32" t="n">
        <f>2462820</f>
        <v>2462820.0</v>
      </c>
      <c r="U429" s="32" t="n">
        <f>400</f>
        <v>400.0</v>
      </c>
      <c r="V429" s="32" t="n">
        <f>556214068</f>
        <v>5.56214068E8</v>
      </c>
      <c r="W429" s="32" t="n">
        <f>86760</f>
        <v>86760.0</v>
      </c>
      <c r="X429" s="36" t="n">
        <f>18</f>
        <v>18.0</v>
      </c>
    </row>
    <row r="430">
      <c r="A430" s="27" t="s">
        <v>42</v>
      </c>
      <c r="B430" s="27" t="s">
        <v>1334</v>
      </c>
      <c r="C430" s="27" t="s">
        <v>1335</v>
      </c>
      <c r="D430" s="27" t="s">
        <v>1336</v>
      </c>
      <c r="E430" s="28" t="s">
        <v>46</v>
      </c>
      <c r="F430" s="29" t="s">
        <v>46</v>
      </c>
      <c r="G430" s="30" t="s">
        <v>46</v>
      </c>
      <c r="H430" s="31"/>
      <c r="I430" s="31" t="s">
        <v>413</v>
      </c>
      <c r="J430" s="32" t="n">
        <v>10.0</v>
      </c>
      <c r="K430" s="33" t="n">
        <f>562.2</f>
        <v>562.2</v>
      </c>
      <c r="L430" s="34" t="s">
        <v>48</v>
      </c>
      <c r="M430" s="33" t="n">
        <f>600</f>
        <v>600.0</v>
      </c>
      <c r="N430" s="34" t="s">
        <v>105</v>
      </c>
      <c r="O430" s="33" t="n">
        <f>532.4</f>
        <v>532.4</v>
      </c>
      <c r="P430" s="34" t="s">
        <v>90</v>
      </c>
      <c r="Q430" s="33" t="n">
        <f>558.1</f>
        <v>558.1</v>
      </c>
      <c r="R430" s="34" t="s">
        <v>49</v>
      </c>
      <c r="S430" s="35" t="n">
        <f>560.44</f>
        <v>560.44</v>
      </c>
      <c r="T430" s="32" t="n">
        <f>9320</f>
        <v>9320.0</v>
      </c>
      <c r="U430" s="32" t="str">
        <f>"－"</f>
        <v>－</v>
      </c>
      <c r="V430" s="32" t="n">
        <f>5252898</f>
        <v>5252898.0</v>
      </c>
      <c r="W430" s="32" t="str">
        <f>"－"</f>
        <v>－</v>
      </c>
      <c r="X430" s="36" t="n">
        <f>18</f>
        <v>18.0</v>
      </c>
    </row>
    <row r="431">
      <c r="A431" s="27" t="s">
        <v>42</v>
      </c>
      <c r="B431" s="27" t="s">
        <v>1337</v>
      </c>
      <c r="C431" s="27" t="s">
        <v>1338</v>
      </c>
      <c r="D431" s="27" t="s">
        <v>1339</v>
      </c>
      <c r="E431" s="28" t="s">
        <v>46</v>
      </c>
      <c r="F431" s="29" t="s">
        <v>46</v>
      </c>
      <c r="G431" s="30" t="s">
        <v>46</v>
      </c>
      <c r="H431" s="31"/>
      <c r="I431" s="31" t="s">
        <v>413</v>
      </c>
      <c r="J431" s="32" t="n">
        <v>10.0</v>
      </c>
      <c r="K431" s="33" t="n">
        <f>781</f>
        <v>781.0</v>
      </c>
      <c r="L431" s="34" t="s">
        <v>48</v>
      </c>
      <c r="M431" s="33" t="n">
        <f>919.6</f>
        <v>919.6</v>
      </c>
      <c r="N431" s="34" t="s">
        <v>64</v>
      </c>
      <c r="O431" s="33" t="n">
        <f>761.4</f>
        <v>761.4</v>
      </c>
      <c r="P431" s="34" t="s">
        <v>48</v>
      </c>
      <c r="Q431" s="33" t="n">
        <f>890.1</f>
        <v>890.1</v>
      </c>
      <c r="R431" s="34" t="s">
        <v>49</v>
      </c>
      <c r="S431" s="35" t="n">
        <f>860.01</f>
        <v>860.01</v>
      </c>
      <c r="T431" s="32" t="n">
        <f>1995650</f>
        <v>1995650.0</v>
      </c>
      <c r="U431" s="32" t="n">
        <f>530000</f>
        <v>530000.0</v>
      </c>
      <c r="V431" s="32" t="n">
        <f>1723371079</f>
        <v>1.723371079E9</v>
      </c>
      <c r="W431" s="32" t="n">
        <f>459302000</f>
        <v>4.59302E8</v>
      </c>
      <c r="X431" s="36" t="n">
        <f>18</f>
        <v>18.0</v>
      </c>
    </row>
    <row r="432">
      <c r="A432" s="27" t="s">
        <v>42</v>
      </c>
      <c r="B432" s="27" t="s">
        <v>1340</v>
      </c>
      <c r="C432" s="27" t="s">
        <v>1341</v>
      </c>
      <c r="D432" s="27" t="s">
        <v>1342</v>
      </c>
      <c r="E432" s="28" t="s">
        <v>46</v>
      </c>
      <c r="F432" s="29" t="s">
        <v>46</v>
      </c>
      <c r="G432" s="30" t="s">
        <v>46</v>
      </c>
      <c r="H432" s="31"/>
      <c r="I432" s="31" t="s">
        <v>413</v>
      </c>
      <c r="J432" s="32" t="n">
        <v>10.0</v>
      </c>
      <c r="K432" s="33" t="n">
        <f>541.7</f>
        <v>541.7</v>
      </c>
      <c r="L432" s="34" t="s">
        <v>48</v>
      </c>
      <c r="M432" s="33" t="n">
        <f>555</f>
        <v>555.0</v>
      </c>
      <c r="N432" s="34" t="s">
        <v>68</v>
      </c>
      <c r="O432" s="33" t="n">
        <f>538.1</f>
        <v>538.1</v>
      </c>
      <c r="P432" s="34" t="s">
        <v>49</v>
      </c>
      <c r="Q432" s="33" t="n">
        <f>547.6</f>
        <v>547.6</v>
      </c>
      <c r="R432" s="34" t="s">
        <v>49</v>
      </c>
      <c r="S432" s="35" t="n">
        <f>546.16</f>
        <v>546.16</v>
      </c>
      <c r="T432" s="32" t="n">
        <f>17480</f>
        <v>17480.0</v>
      </c>
      <c r="U432" s="32" t="str">
        <f>"－"</f>
        <v>－</v>
      </c>
      <c r="V432" s="32" t="n">
        <f>9573975</f>
        <v>9573975.0</v>
      </c>
      <c r="W432" s="32" t="str">
        <f>"－"</f>
        <v>－</v>
      </c>
      <c r="X432" s="36" t="n">
        <f>17</f>
        <v>17.0</v>
      </c>
    </row>
    <row r="433">
      <c r="A433" s="27" t="s">
        <v>42</v>
      </c>
      <c r="B433" s="27" t="s">
        <v>1343</v>
      </c>
      <c r="C433" s="27" t="s">
        <v>1344</v>
      </c>
      <c r="D433" s="27" t="s">
        <v>1345</v>
      </c>
      <c r="E433" s="28" t="s">
        <v>46</v>
      </c>
      <c r="F433" s="29" t="s">
        <v>46</v>
      </c>
      <c r="G433" s="30" t="s">
        <v>46</v>
      </c>
      <c r="H433" s="31"/>
      <c r="I433" s="31" t="s">
        <v>413</v>
      </c>
      <c r="J433" s="32" t="n">
        <v>1.0</v>
      </c>
      <c r="K433" s="33" t="n">
        <f>2025</f>
        <v>2025.0</v>
      </c>
      <c r="L433" s="34" t="s">
        <v>48</v>
      </c>
      <c r="M433" s="33" t="n">
        <f>2270</f>
        <v>2270.0</v>
      </c>
      <c r="N433" s="34" t="s">
        <v>59</v>
      </c>
      <c r="O433" s="33" t="n">
        <f>1975</f>
        <v>1975.0</v>
      </c>
      <c r="P433" s="34" t="s">
        <v>48</v>
      </c>
      <c r="Q433" s="33" t="n">
        <f>2254</f>
        <v>2254.0</v>
      </c>
      <c r="R433" s="34" t="s">
        <v>49</v>
      </c>
      <c r="S433" s="35" t="n">
        <f>2153.78</f>
        <v>2153.78</v>
      </c>
      <c r="T433" s="32" t="n">
        <f>3367654</f>
        <v>3367654.0</v>
      </c>
      <c r="U433" s="32" t="n">
        <f>1252825</f>
        <v>1252825.0</v>
      </c>
      <c r="V433" s="32" t="n">
        <f>7233522134</f>
        <v>7.233522134E9</v>
      </c>
      <c r="W433" s="32" t="n">
        <f>2710235786</f>
        <v>2.710235786E9</v>
      </c>
      <c r="X433" s="36" t="n">
        <f>18</f>
        <v>18.0</v>
      </c>
    </row>
    <row r="434">
      <c r="A434" s="27" t="s">
        <v>42</v>
      </c>
      <c r="B434" s="27" t="s">
        <v>1346</v>
      </c>
      <c r="C434" s="27" t="s">
        <v>1347</v>
      </c>
      <c r="D434" s="27" t="s">
        <v>1348</v>
      </c>
      <c r="E434" s="28" t="s">
        <v>46</v>
      </c>
      <c r="F434" s="29" t="s">
        <v>46</v>
      </c>
      <c r="G434" s="30" t="s">
        <v>46</v>
      </c>
      <c r="H434" s="31"/>
      <c r="I434" s="31" t="s">
        <v>413</v>
      </c>
      <c r="J434" s="32" t="n">
        <v>1.0</v>
      </c>
      <c r="K434" s="33" t="n">
        <f>104200</f>
        <v>104200.0</v>
      </c>
      <c r="L434" s="34" t="s">
        <v>48</v>
      </c>
      <c r="M434" s="33" t="n">
        <f>107200</f>
        <v>107200.0</v>
      </c>
      <c r="N434" s="34" t="s">
        <v>83</v>
      </c>
      <c r="O434" s="33" t="n">
        <f>103800</f>
        <v>103800.0</v>
      </c>
      <c r="P434" s="34" t="s">
        <v>48</v>
      </c>
      <c r="Q434" s="33" t="n">
        <f>105200</f>
        <v>105200.0</v>
      </c>
      <c r="R434" s="34" t="s">
        <v>49</v>
      </c>
      <c r="S434" s="35" t="n">
        <f>105138.89</f>
        <v>105138.89</v>
      </c>
      <c r="T434" s="32" t="n">
        <f>27113</f>
        <v>27113.0</v>
      </c>
      <c r="U434" s="32" t="n">
        <f>1786</f>
        <v>1786.0</v>
      </c>
      <c r="V434" s="32" t="n">
        <f>2852378121</f>
        <v>2.852378121E9</v>
      </c>
      <c r="W434" s="32" t="n">
        <f>187829721</f>
        <v>1.87829721E8</v>
      </c>
      <c r="X434" s="36" t="n">
        <f>18</f>
        <v>18.0</v>
      </c>
    </row>
    <row r="435">
      <c r="A435" s="27" t="s">
        <v>42</v>
      </c>
      <c r="B435" s="27" t="s">
        <v>1349</v>
      </c>
      <c r="C435" s="27" t="s">
        <v>1350</v>
      </c>
      <c r="D435" s="27" t="s">
        <v>1351</v>
      </c>
      <c r="E435" s="28" t="s">
        <v>46</v>
      </c>
      <c r="F435" s="29" t="s">
        <v>46</v>
      </c>
      <c r="G435" s="30" t="s">
        <v>46</v>
      </c>
      <c r="H435" s="31"/>
      <c r="I435" s="31" t="s">
        <v>413</v>
      </c>
      <c r="J435" s="32" t="n">
        <v>1.0</v>
      </c>
      <c r="K435" s="33" t="n">
        <f>1131</f>
        <v>1131.0</v>
      </c>
      <c r="L435" s="34" t="s">
        <v>48</v>
      </c>
      <c r="M435" s="33" t="n">
        <f>1131</f>
        <v>1131.0</v>
      </c>
      <c r="N435" s="34" t="s">
        <v>48</v>
      </c>
      <c r="O435" s="33" t="n">
        <f>1054</f>
        <v>1054.0</v>
      </c>
      <c r="P435" s="34" t="s">
        <v>101</v>
      </c>
      <c r="Q435" s="33" t="n">
        <f>1068</f>
        <v>1068.0</v>
      </c>
      <c r="R435" s="34" t="s">
        <v>49</v>
      </c>
      <c r="S435" s="35" t="n">
        <f>1084.33</f>
        <v>1084.33</v>
      </c>
      <c r="T435" s="32" t="n">
        <f>565457</f>
        <v>565457.0</v>
      </c>
      <c r="U435" s="32" t="n">
        <f>7650</f>
        <v>7650.0</v>
      </c>
      <c r="V435" s="32" t="n">
        <f>612283998</f>
        <v>6.12283998E8</v>
      </c>
      <c r="W435" s="32" t="n">
        <f>8186600</f>
        <v>8186600.0</v>
      </c>
      <c r="X435" s="36" t="n">
        <f>18</f>
        <v>18.0</v>
      </c>
    </row>
    <row r="436">
      <c r="A436" s="27" t="s">
        <v>42</v>
      </c>
      <c r="B436" s="27" t="s">
        <v>1352</v>
      </c>
      <c r="C436" s="27" t="s">
        <v>1353</v>
      </c>
      <c r="D436" s="27" t="s">
        <v>1354</v>
      </c>
      <c r="E436" s="28" t="s">
        <v>46</v>
      </c>
      <c r="F436" s="29" t="s">
        <v>46</v>
      </c>
      <c r="G436" s="30" t="s">
        <v>46</v>
      </c>
      <c r="H436" s="31"/>
      <c r="I436" s="31" t="s">
        <v>413</v>
      </c>
      <c r="J436" s="32" t="n">
        <v>10.0</v>
      </c>
      <c r="K436" s="33" t="n">
        <f>223.7</f>
        <v>223.7</v>
      </c>
      <c r="L436" s="34" t="s">
        <v>48</v>
      </c>
      <c r="M436" s="33" t="n">
        <f>230.9</f>
        <v>230.9</v>
      </c>
      <c r="N436" s="34" t="s">
        <v>68</v>
      </c>
      <c r="O436" s="33" t="n">
        <f>202</f>
        <v>202.0</v>
      </c>
      <c r="P436" s="34" t="s">
        <v>94</v>
      </c>
      <c r="Q436" s="33" t="n">
        <f>225.5</f>
        <v>225.5</v>
      </c>
      <c r="R436" s="34" t="s">
        <v>49</v>
      </c>
      <c r="S436" s="35" t="n">
        <f>220.56</f>
        <v>220.56</v>
      </c>
      <c r="T436" s="32" t="n">
        <f>6071240</f>
        <v>6071240.0</v>
      </c>
      <c r="U436" s="32" t="n">
        <f>1670</f>
        <v>1670.0</v>
      </c>
      <c r="V436" s="32" t="n">
        <f>1324110055</f>
        <v>1.324110055E9</v>
      </c>
      <c r="W436" s="32" t="n">
        <f>369571</f>
        <v>369571.0</v>
      </c>
      <c r="X436" s="36" t="n">
        <f>18</f>
        <v>18.0</v>
      </c>
    </row>
    <row r="437">
      <c r="A437" s="27" t="s">
        <v>42</v>
      </c>
      <c r="B437" s="27" t="s">
        <v>1355</v>
      </c>
      <c r="C437" s="27" t="s">
        <v>1356</v>
      </c>
      <c r="D437" s="27" t="s">
        <v>1357</v>
      </c>
      <c r="E437" s="28" t="s">
        <v>46</v>
      </c>
      <c r="F437" s="29" t="s">
        <v>46</v>
      </c>
      <c r="G437" s="30" t="s">
        <v>46</v>
      </c>
      <c r="H437" s="31"/>
      <c r="I437" s="31" t="s">
        <v>413</v>
      </c>
      <c r="J437" s="32" t="n">
        <v>1.0</v>
      </c>
      <c r="K437" s="33" t="n">
        <f>2750</f>
        <v>2750.0</v>
      </c>
      <c r="L437" s="34" t="s">
        <v>48</v>
      </c>
      <c r="M437" s="33" t="n">
        <f>3180</f>
        <v>3180.0</v>
      </c>
      <c r="N437" s="34" t="s">
        <v>68</v>
      </c>
      <c r="O437" s="33" t="n">
        <f>2620</f>
        <v>2620.0</v>
      </c>
      <c r="P437" s="34" t="s">
        <v>48</v>
      </c>
      <c r="Q437" s="33" t="n">
        <f>3075</f>
        <v>3075.0</v>
      </c>
      <c r="R437" s="34" t="s">
        <v>49</v>
      </c>
      <c r="S437" s="35" t="n">
        <f>2881.67</f>
        <v>2881.67</v>
      </c>
      <c r="T437" s="32" t="n">
        <f>194998</f>
        <v>194998.0</v>
      </c>
      <c r="U437" s="32" t="n">
        <f>6</f>
        <v>6.0</v>
      </c>
      <c r="V437" s="32" t="n">
        <f>569532694</f>
        <v>5.69532694E8</v>
      </c>
      <c r="W437" s="32" t="n">
        <f>18383</f>
        <v>18383.0</v>
      </c>
      <c r="X437" s="36" t="n">
        <f>18</f>
        <v>18.0</v>
      </c>
    </row>
    <row r="438">
      <c r="A438" s="27" t="s">
        <v>42</v>
      </c>
      <c r="B438" s="27" t="s">
        <v>1358</v>
      </c>
      <c r="C438" s="27" t="s">
        <v>1359</v>
      </c>
      <c r="D438" s="27" t="s">
        <v>1360</v>
      </c>
      <c r="E438" s="28" t="s">
        <v>46</v>
      </c>
      <c r="F438" s="29" t="s">
        <v>46</v>
      </c>
      <c r="G438" s="30" t="s">
        <v>46</v>
      </c>
      <c r="H438" s="31"/>
      <c r="I438" s="31" t="s">
        <v>413</v>
      </c>
      <c r="J438" s="32" t="n">
        <v>1.0</v>
      </c>
      <c r="K438" s="33" t="n">
        <f>2549</f>
        <v>2549.0</v>
      </c>
      <c r="L438" s="34" t="s">
        <v>48</v>
      </c>
      <c r="M438" s="33" t="n">
        <f>2977</f>
        <v>2977.0</v>
      </c>
      <c r="N438" s="34" t="s">
        <v>68</v>
      </c>
      <c r="O438" s="33" t="n">
        <f>2477</f>
        <v>2477.0</v>
      </c>
      <c r="P438" s="34" t="s">
        <v>48</v>
      </c>
      <c r="Q438" s="33" t="n">
        <f>2906</f>
        <v>2906.0</v>
      </c>
      <c r="R438" s="34" t="s">
        <v>49</v>
      </c>
      <c r="S438" s="35" t="n">
        <f>2704.06</f>
        <v>2704.06</v>
      </c>
      <c r="T438" s="32" t="n">
        <f>95895</f>
        <v>95895.0</v>
      </c>
      <c r="U438" s="32" t="n">
        <f>125</f>
        <v>125.0</v>
      </c>
      <c r="V438" s="32" t="n">
        <f>261165604</f>
        <v>2.61165604E8</v>
      </c>
      <c r="W438" s="32" t="n">
        <f>327500</f>
        <v>327500.0</v>
      </c>
      <c r="X438" s="36" t="n">
        <f>18</f>
        <v>18.0</v>
      </c>
    </row>
    <row r="439">
      <c r="A439" s="27" t="s">
        <v>42</v>
      </c>
      <c r="B439" s="27" t="s">
        <v>1361</v>
      </c>
      <c r="C439" s="27" t="s">
        <v>1362</v>
      </c>
      <c r="D439" s="27" t="s">
        <v>1363</v>
      </c>
      <c r="E439" s="28" t="s">
        <v>46</v>
      </c>
      <c r="F439" s="29" t="s">
        <v>46</v>
      </c>
      <c r="G439" s="30" t="s">
        <v>46</v>
      </c>
      <c r="H439" s="31"/>
      <c r="I439" s="31" t="s">
        <v>413</v>
      </c>
      <c r="J439" s="32" t="n">
        <v>10.0</v>
      </c>
      <c r="K439" s="33" t="n">
        <f>374.1</f>
        <v>374.1</v>
      </c>
      <c r="L439" s="34" t="s">
        <v>48</v>
      </c>
      <c r="M439" s="33" t="n">
        <f>409.5</f>
        <v>409.5</v>
      </c>
      <c r="N439" s="34" t="s">
        <v>90</v>
      </c>
      <c r="O439" s="33" t="n">
        <f>349.5</f>
        <v>349.5</v>
      </c>
      <c r="P439" s="34" t="s">
        <v>48</v>
      </c>
      <c r="Q439" s="33" t="n">
        <f>405.8</f>
        <v>405.8</v>
      </c>
      <c r="R439" s="34" t="s">
        <v>49</v>
      </c>
      <c r="S439" s="35" t="n">
        <f>390.58</f>
        <v>390.58</v>
      </c>
      <c r="T439" s="32" t="n">
        <f>8016580</f>
        <v>8016580.0</v>
      </c>
      <c r="U439" s="32" t="n">
        <f>200</f>
        <v>200.0</v>
      </c>
      <c r="V439" s="32" t="n">
        <f>3084702802</f>
        <v>3.084702802E9</v>
      </c>
      <c r="W439" s="32" t="n">
        <f>79620</f>
        <v>79620.0</v>
      </c>
      <c r="X439" s="36" t="n">
        <f>18</f>
        <v>18.0</v>
      </c>
    </row>
    <row r="440">
      <c r="A440" s="27" t="s">
        <v>42</v>
      </c>
      <c r="B440" s="27" t="s">
        <v>1364</v>
      </c>
      <c r="C440" s="27" t="s">
        <v>1365</v>
      </c>
      <c r="D440" s="27" t="s">
        <v>1366</v>
      </c>
      <c r="E440" s="28" t="s">
        <v>46</v>
      </c>
      <c r="F440" s="29" t="s">
        <v>46</v>
      </c>
      <c r="G440" s="30" t="s">
        <v>46</v>
      </c>
      <c r="H440" s="31"/>
      <c r="I440" s="31" t="s">
        <v>413</v>
      </c>
      <c r="J440" s="32" t="n">
        <v>10.0</v>
      </c>
      <c r="K440" s="33" t="n">
        <f>400</f>
        <v>400.0</v>
      </c>
      <c r="L440" s="34" t="s">
        <v>48</v>
      </c>
      <c r="M440" s="33" t="n">
        <f>435.4</f>
        <v>435.4</v>
      </c>
      <c r="N440" s="34" t="s">
        <v>49</v>
      </c>
      <c r="O440" s="33" t="n">
        <f>369.5</f>
        <v>369.5</v>
      </c>
      <c r="P440" s="34" t="s">
        <v>48</v>
      </c>
      <c r="Q440" s="33" t="n">
        <f>434</f>
        <v>434.0</v>
      </c>
      <c r="R440" s="34" t="s">
        <v>49</v>
      </c>
      <c r="S440" s="35" t="n">
        <f>414.76</f>
        <v>414.76</v>
      </c>
      <c r="T440" s="32" t="n">
        <f>22013970</f>
        <v>2.201397E7</v>
      </c>
      <c r="U440" s="32" t="n">
        <f>3158820</f>
        <v>3158820.0</v>
      </c>
      <c r="V440" s="32" t="n">
        <f>9029030516</f>
        <v>9.029030516E9</v>
      </c>
      <c r="W440" s="32" t="n">
        <f>1312328098</f>
        <v>1.312328098E9</v>
      </c>
      <c r="X440" s="36" t="n">
        <f>18</f>
        <v>18.0</v>
      </c>
    </row>
    <row r="441">
      <c r="A441" s="27" t="s">
        <v>42</v>
      </c>
      <c r="B441" s="27" t="s">
        <v>1367</v>
      </c>
      <c r="C441" s="27" t="s">
        <v>1368</v>
      </c>
      <c r="D441" s="27" t="s">
        <v>1369</v>
      </c>
      <c r="E441" s="28" t="s">
        <v>46</v>
      </c>
      <c r="F441" s="29" t="s">
        <v>46</v>
      </c>
      <c r="G441" s="30" t="s">
        <v>46</v>
      </c>
      <c r="H441" s="31"/>
      <c r="I441" s="31" t="s">
        <v>413</v>
      </c>
      <c r="J441" s="32" t="n">
        <v>1.0</v>
      </c>
      <c r="K441" s="33" t="n">
        <f>1104</f>
        <v>1104.0</v>
      </c>
      <c r="L441" s="34" t="s">
        <v>48</v>
      </c>
      <c r="M441" s="33" t="n">
        <f>1141</f>
        <v>1141.0</v>
      </c>
      <c r="N441" s="34" t="s">
        <v>79</v>
      </c>
      <c r="O441" s="33" t="n">
        <f>1080</f>
        <v>1080.0</v>
      </c>
      <c r="P441" s="34" t="s">
        <v>48</v>
      </c>
      <c r="Q441" s="33" t="n">
        <f>1130</f>
        <v>1130.0</v>
      </c>
      <c r="R441" s="34" t="s">
        <v>49</v>
      </c>
      <c r="S441" s="35" t="n">
        <f>1114.28</f>
        <v>1114.28</v>
      </c>
      <c r="T441" s="32" t="n">
        <f>350359</f>
        <v>350359.0</v>
      </c>
      <c r="U441" s="32" t="n">
        <f>5</f>
        <v>5.0</v>
      </c>
      <c r="V441" s="32" t="n">
        <f>388206877</f>
        <v>3.88206877E8</v>
      </c>
      <c r="W441" s="32" t="n">
        <f>5580</f>
        <v>5580.0</v>
      </c>
      <c r="X441" s="36" t="n">
        <f>18</f>
        <v>18.0</v>
      </c>
    </row>
    <row r="442">
      <c r="A442" s="27" t="s">
        <v>42</v>
      </c>
      <c r="B442" s="27" t="s">
        <v>1370</v>
      </c>
      <c r="C442" s="27" t="s">
        <v>1371</v>
      </c>
      <c r="D442" s="27" t="s">
        <v>1372</v>
      </c>
      <c r="E442" s="28" t="s">
        <v>46</v>
      </c>
      <c r="F442" s="29" t="s">
        <v>46</v>
      </c>
      <c r="G442" s="30" t="s">
        <v>46</v>
      </c>
      <c r="H442" s="31"/>
      <c r="I442" s="31" t="s">
        <v>47</v>
      </c>
      <c r="J442" s="32" t="n">
        <v>1.0</v>
      </c>
      <c r="K442" s="33" t="n">
        <f>2290</f>
        <v>2290.0</v>
      </c>
      <c r="L442" s="34" t="s">
        <v>48</v>
      </c>
      <c r="M442" s="33" t="n">
        <f>2477</f>
        <v>2477.0</v>
      </c>
      <c r="N442" s="34" t="s">
        <v>49</v>
      </c>
      <c r="O442" s="33" t="n">
        <f>2262</f>
        <v>2262.0</v>
      </c>
      <c r="P442" s="34" t="s">
        <v>48</v>
      </c>
      <c r="Q442" s="33" t="n">
        <f>2477</f>
        <v>2477.0</v>
      </c>
      <c r="R442" s="34" t="s">
        <v>49</v>
      </c>
      <c r="S442" s="35" t="n">
        <f>2388.11</f>
        <v>2388.11</v>
      </c>
      <c r="T442" s="32" t="n">
        <f>2850694</f>
        <v>2850694.0</v>
      </c>
      <c r="U442" s="32" t="n">
        <f>104807</f>
        <v>104807.0</v>
      </c>
      <c r="V442" s="32" t="n">
        <f>6789647219</f>
        <v>6.789647219E9</v>
      </c>
      <c r="W442" s="32" t="n">
        <f>250377779</f>
        <v>2.50377779E8</v>
      </c>
      <c r="X442" s="36" t="n">
        <f>18</f>
        <v>18.0</v>
      </c>
    </row>
    <row r="443">
      <c r="A443" s="27" t="s">
        <v>42</v>
      </c>
      <c r="B443" s="27" t="s">
        <v>1373</v>
      </c>
      <c r="C443" s="27" t="s">
        <v>1374</v>
      </c>
      <c r="D443" s="27" t="s">
        <v>1375</v>
      </c>
      <c r="E443" s="28" t="s">
        <v>46</v>
      </c>
      <c r="F443" s="29" t="s">
        <v>46</v>
      </c>
      <c r="G443" s="30" t="s">
        <v>46</v>
      </c>
      <c r="H443" s="31"/>
      <c r="I443" s="31" t="s">
        <v>413</v>
      </c>
      <c r="J443" s="32" t="n">
        <v>1.0</v>
      </c>
      <c r="K443" s="33" t="n">
        <f>2052</f>
        <v>2052.0</v>
      </c>
      <c r="L443" s="34" t="s">
        <v>48</v>
      </c>
      <c r="M443" s="33" t="n">
        <f>2092</f>
        <v>2092.0</v>
      </c>
      <c r="N443" s="34" t="s">
        <v>68</v>
      </c>
      <c r="O443" s="33" t="n">
        <f>2027</f>
        <v>2027.0</v>
      </c>
      <c r="P443" s="34" t="s">
        <v>105</v>
      </c>
      <c r="Q443" s="33" t="n">
        <f>2065</f>
        <v>2065.0</v>
      </c>
      <c r="R443" s="34" t="s">
        <v>49</v>
      </c>
      <c r="S443" s="35" t="n">
        <f>2054.61</f>
        <v>2054.61</v>
      </c>
      <c r="T443" s="32" t="n">
        <f>689866</f>
        <v>689866.0</v>
      </c>
      <c r="U443" s="32" t="n">
        <f>387992</f>
        <v>387992.0</v>
      </c>
      <c r="V443" s="32" t="n">
        <f>1419829761</f>
        <v>1.419829761E9</v>
      </c>
      <c r="W443" s="32" t="n">
        <f>801461597</f>
        <v>8.01461597E8</v>
      </c>
      <c r="X443" s="36" t="n">
        <f>18</f>
        <v>18.0</v>
      </c>
    </row>
    <row r="444">
      <c r="A444" s="27" t="s">
        <v>42</v>
      </c>
      <c r="B444" s="27" t="s">
        <v>1376</v>
      </c>
      <c r="C444" s="27" t="s">
        <v>1377</v>
      </c>
      <c r="D444" s="27" t="s">
        <v>1378</v>
      </c>
      <c r="E444" s="28" t="s">
        <v>46</v>
      </c>
      <c r="F444" s="29" t="s">
        <v>46</v>
      </c>
      <c r="G444" s="30" t="s">
        <v>46</v>
      </c>
      <c r="H444" s="31"/>
      <c r="I444" s="31" t="s">
        <v>413</v>
      </c>
      <c r="J444" s="32" t="n">
        <v>10.0</v>
      </c>
      <c r="K444" s="33" t="n">
        <f>307.9</f>
        <v>307.9</v>
      </c>
      <c r="L444" s="34" t="s">
        <v>48</v>
      </c>
      <c r="M444" s="33" t="n">
        <f>330.1</f>
        <v>330.1</v>
      </c>
      <c r="N444" s="34" t="s">
        <v>68</v>
      </c>
      <c r="O444" s="33" t="n">
        <f>275.2</f>
        <v>275.2</v>
      </c>
      <c r="P444" s="34" t="s">
        <v>48</v>
      </c>
      <c r="Q444" s="33" t="n">
        <f>322.8</f>
        <v>322.8</v>
      </c>
      <c r="R444" s="34" t="s">
        <v>49</v>
      </c>
      <c r="S444" s="35" t="n">
        <f>308.89</f>
        <v>308.89</v>
      </c>
      <c r="T444" s="32" t="n">
        <f>6768660</f>
        <v>6768660.0</v>
      </c>
      <c r="U444" s="32" t="n">
        <f>300</f>
        <v>300.0</v>
      </c>
      <c r="V444" s="32" t="n">
        <f>2056341661</f>
        <v>2.056341661E9</v>
      </c>
      <c r="W444" s="32" t="n">
        <f>90773</f>
        <v>90773.0</v>
      </c>
      <c r="X444" s="36" t="n">
        <f>18</f>
        <v>18.0</v>
      </c>
    </row>
    <row r="445">
      <c r="A445" s="27" t="s">
        <v>42</v>
      </c>
      <c r="B445" s="27" t="s">
        <v>1379</v>
      </c>
      <c r="C445" s="27" t="s">
        <v>1380</v>
      </c>
      <c r="D445" s="27" t="s">
        <v>1381</v>
      </c>
      <c r="E445" s="28" t="s">
        <v>46</v>
      </c>
      <c r="F445" s="29" t="s">
        <v>46</v>
      </c>
      <c r="G445" s="30" t="s">
        <v>46</v>
      </c>
      <c r="H445" s="31"/>
      <c r="I445" s="31" t="s">
        <v>413</v>
      </c>
      <c r="J445" s="32" t="n">
        <v>10.0</v>
      </c>
      <c r="K445" s="33" t="n">
        <f>291.5</f>
        <v>291.5</v>
      </c>
      <c r="L445" s="34" t="s">
        <v>48</v>
      </c>
      <c r="M445" s="33" t="n">
        <f>321</f>
        <v>321.0</v>
      </c>
      <c r="N445" s="34" t="s">
        <v>90</v>
      </c>
      <c r="O445" s="33" t="n">
        <f>270</f>
        <v>270.0</v>
      </c>
      <c r="P445" s="34" t="s">
        <v>48</v>
      </c>
      <c r="Q445" s="33" t="n">
        <f>318.3</f>
        <v>318.3</v>
      </c>
      <c r="R445" s="34" t="s">
        <v>49</v>
      </c>
      <c r="S445" s="35" t="n">
        <f>306.26</f>
        <v>306.26</v>
      </c>
      <c r="T445" s="32" t="n">
        <f>2818640</f>
        <v>2818640.0</v>
      </c>
      <c r="U445" s="32" t="str">
        <f>"－"</f>
        <v>－</v>
      </c>
      <c r="V445" s="32" t="n">
        <f>856258996</f>
        <v>8.56258996E8</v>
      </c>
      <c r="W445" s="32" t="str">
        <f>"－"</f>
        <v>－</v>
      </c>
      <c r="X445" s="36" t="n">
        <f>18</f>
        <v>18.0</v>
      </c>
    </row>
    <row r="446">
      <c r="A446" s="27" t="s">
        <v>42</v>
      </c>
      <c r="B446" s="27" t="s">
        <v>1382</v>
      </c>
      <c r="C446" s="27" t="s">
        <v>1383</v>
      </c>
      <c r="D446" s="27" t="s">
        <v>1384</v>
      </c>
      <c r="E446" s="28" t="s">
        <v>46</v>
      </c>
      <c r="F446" s="29" t="s">
        <v>46</v>
      </c>
      <c r="G446" s="30" t="s">
        <v>46</v>
      </c>
      <c r="H446" s="31"/>
      <c r="I446" s="31" t="s">
        <v>413</v>
      </c>
      <c r="J446" s="32" t="n">
        <v>10.0</v>
      </c>
      <c r="K446" s="33" t="n">
        <f>733.6</f>
        <v>733.6</v>
      </c>
      <c r="L446" s="34" t="s">
        <v>48</v>
      </c>
      <c r="M446" s="33" t="n">
        <f>740</f>
        <v>740.0</v>
      </c>
      <c r="N446" s="34" t="s">
        <v>79</v>
      </c>
      <c r="O446" s="33" t="n">
        <f>704.1</f>
        <v>704.1</v>
      </c>
      <c r="P446" s="34" t="s">
        <v>274</v>
      </c>
      <c r="Q446" s="33" t="n">
        <f>727.7</f>
        <v>727.7</v>
      </c>
      <c r="R446" s="34" t="s">
        <v>49</v>
      </c>
      <c r="S446" s="35" t="n">
        <f>723.29</f>
        <v>723.29</v>
      </c>
      <c r="T446" s="32" t="n">
        <f>189140</f>
        <v>189140.0</v>
      </c>
      <c r="U446" s="32" t="str">
        <f>"－"</f>
        <v>－</v>
      </c>
      <c r="V446" s="32" t="n">
        <f>136641978</f>
        <v>1.36641978E8</v>
      </c>
      <c r="W446" s="32" t="str">
        <f>"－"</f>
        <v>－</v>
      </c>
      <c r="X446" s="36" t="n">
        <f>18</f>
        <v>18.0</v>
      </c>
    </row>
    <row r="447">
      <c r="A447" s="27" t="s">
        <v>42</v>
      </c>
      <c r="B447" s="27" t="s">
        <v>1385</v>
      </c>
      <c r="C447" s="27" t="s">
        <v>1386</v>
      </c>
      <c r="D447" s="27" t="s">
        <v>1387</v>
      </c>
      <c r="E447" s="28" t="s">
        <v>46</v>
      </c>
      <c r="F447" s="29" t="s">
        <v>46</v>
      </c>
      <c r="G447" s="30" t="s">
        <v>46</v>
      </c>
      <c r="H447" s="31"/>
      <c r="I447" s="31" t="s">
        <v>413</v>
      </c>
      <c r="J447" s="32" t="n">
        <v>10.0</v>
      </c>
      <c r="K447" s="33" t="n">
        <f>728</f>
        <v>728.0</v>
      </c>
      <c r="L447" s="34" t="s">
        <v>48</v>
      </c>
      <c r="M447" s="33" t="n">
        <f>730</f>
        <v>730.0</v>
      </c>
      <c r="N447" s="34" t="s">
        <v>60</v>
      </c>
      <c r="O447" s="33" t="n">
        <f>703.8</f>
        <v>703.8</v>
      </c>
      <c r="P447" s="34" t="s">
        <v>94</v>
      </c>
      <c r="Q447" s="33" t="n">
        <f>716.5</f>
        <v>716.5</v>
      </c>
      <c r="R447" s="34" t="s">
        <v>49</v>
      </c>
      <c r="S447" s="35" t="n">
        <f>718.11</f>
        <v>718.11</v>
      </c>
      <c r="T447" s="32" t="n">
        <f>4780980</f>
        <v>4780980.0</v>
      </c>
      <c r="U447" s="32" t="n">
        <f>4505880</f>
        <v>4505880.0</v>
      </c>
      <c r="V447" s="32" t="n">
        <f>3410273233</f>
        <v>3.410273233E9</v>
      </c>
      <c r="W447" s="32" t="n">
        <f>3211272228</f>
        <v>3.211272228E9</v>
      </c>
      <c r="X447" s="36" t="n">
        <f>18</f>
        <v>18.0</v>
      </c>
    </row>
    <row r="448">
      <c r="A448" s="27" t="s">
        <v>42</v>
      </c>
      <c r="B448" s="27" t="s">
        <v>1388</v>
      </c>
      <c r="C448" s="27" t="s">
        <v>1389</v>
      </c>
      <c r="D448" s="27" t="s">
        <v>1390</v>
      </c>
      <c r="E448" s="28" t="s">
        <v>46</v>
      </c>
      <c r="F448" s="29" t="s">
        <v>46</v>
      </c>
      <c r="G448" s="30" t="s">
        <v>46</v>
      </c>
      <c r="H448" s="31"/>
      <c r="I448" s="31" t="s">
        <v>413</v>
      </c>
      <c r="J448" s="32" t="n">
        <v>10.0</v>
      </c>
      <c r="K448" s="33" t="n">
        <f>267.7</f>
        <v>267.7</v>
      </c>
      <c r="L448" s="34" t="s">
        <v>48</v>
      </c>
      <c r="M448" s="33" t="n">
        <f>285</f>
        <v>285.0</v>
      </c>
      <c r="N448" s="34" t="s">
        <v>49</v>
      </c>
      <c r="O448" s="33" t="n">
        <f>264.3</f>
        <v>264.3</v>
      </c>
      <c r="P448" s="34" t="s">
        <v>48</v>
      </c>
      <c r="Q448" s="33" t="n">
        <f>283.2</f>
        <v>283.2</v>
      </c>
      <c r="R448" s="34" t="s">
        <v>49</v>
      </c>
      <c r="S448" s="35" t="n">
        <f>278.33</f>
        <v>278.33</v>
      </c>
      <c r="T448" s="32" t="n">
        <f>452790</f>
        <v>452790.0</v>
      </c>
      <c r="U448" s="32" t="n">
        <f>30</f>
        <v>30.0</v>
      </c>
      <c r="V448" s="32" t="n">
        <f>125305550</f>
        <v>1.2530555E8</v>
      </c>
      <c r="W448" s="32" t="n">
        <f>8133</f>
        <v>8133.0</v>
      </c>
      <c r="X448" s="36" t="n">
        <f>18</f>
        <v>18.0</v>
      </c>
    </row>
    <row r="449">
      <c r="A449" s="27" t="s">
        <v>42</v>
      </c>
      <c r="B449" s="27" t="s">
        <v>1391</v>
      </c>
      <c r="C449" s="27" t="s">
        <v>1392</v>
      </c>
      <c r="D449" s="27" t="s">
        <v>1393</v>
      </c>
      <c r="E449" s="28" t="s">
        <v>46</v>
      </c>
      <c r="F449" s="29" t="s">
        <v>46</v>
      </c>
      <c r="G449" s="30" t="s">
        <v>46</v>
      </c>
      <c r="H449" s="31"/>
      <c r="I449" s="31" t="s">
        <v>413</v>
      </c>
      <c r="J449" s="32" t="n">
        <v>10.0</v>
      </c>
      <c r="K449" s="33" t="n">
        <f>799.9</f>
        <v>799.9</v>
      </c>
      <c r="L449" s="34" t="s">
        <v>48</v>
      </c>
      <c r="M449" s="33" t="n">
        <f>812</f>
        <v>812.0</v>
      </c>
      <c r="N449" s="34" t="s">
        <v>59</v>
      </c>
      <c r="O449" s="33" t="n">
        <f>779</f>
        <v>779.0</v>
      </c>
      <c r="P449" s="34" t="s">
        <v>274</v>
      </c>
      <c r="Q449" s="33" t="n">
        <f>797</f>
        <v>797.0</v>
      </c>
      <c r="R449" s="34" t="s">
        <v>49</v>
      </c>
      <c r="S449" s="35" t="n">
        <f>797.63</f>
        <v>797.63</v>
      </c>
      <c r="T449" s="32" t="n">
        <f>1824710</f>
        <v>1824710.0</v>
      </c>
      <c r="U449" s="32" t="n">
        <f>160</f>
        <v>160.0</v>
      </c>
      <c r="V449" s="32" t="n">
        <f>1449301931</f>
        <v>1.449301931E9</v>
      </c>
      <c r="W449" s="32" t="n">
        <f>127052</f>
        <v>127052.0</v>
      </c>
      <c r="X449" s="36" t="n">
        <f>18</f>
        <v>18.0</v>
      </c>
    </row>
    <row r="450">
      <c r="A450" s="27" t="s">
        <v>42</v>
      </c>
      <c r="B450" s="27" t="s">
        <v>1394</v>
      </c>
      <c r="C450" s="27" t="s">
        <v>1395</v>
      </c>
      <c r="D450" s="27" t="s">
        <v>1396</v>
      </c>
      <c r="E450" s="28" t="s">
        <v>46</v>
      </c>
      <c r="F450" s="29" t="s">
        <v>46</v>
      </c>
      <c r="G450" s="30" t="s">
        <v>46</v>
      </c>
      <c r="H450" s="31"/>
      <c r="I450" s="31" t="s">
        <v>413</v>
      </c>
      <c r="J450" s="32" t="n">
        <v>10.0</v>
      </c>
      <c r="K450" s="33" t="n">
        <f>789.2</f>
        <v>789.2</v>
      </c>
      <c r="L450" s="34" t="s">
        <v>48</v>
      </c>
      <c r="M450" s="33" t="n">
        <f>817.8</f>
        <v>817.8</v>
      </c>
      <c r="N450" s="34" t="s">
        <v>49</v>
      </c>
      <c r="O450" s="33" t="n">
        <f>785.9</f>
        <v>785.9</v>
      </c>
      <c r="P450" s="34" t="s">
        <v>60</v>
      </c>
      <c r="Q450" s="33" t="n">
        <f>817.4</f>
        <v>817.4</v>
      </c>
      <c r="R450" s="34" t="s">
        <v>49</v>
      </c>
      <c r="S450" s="35" t="n">
        <f>800.49</f>
        <v>800.49</v>
      </c>
      <c r="T450" s="32" t="n">
        <f>2229640</f>
        <v>2229640.0</v>
      </c>
      <c r="U450" s="32" t="str">
        <f>"－"</f>
        <v>－</v>
      </c>
      <c r="V450" s="32" t="n">
        <f>1791052798</f>
        <v>1.791052798E9</v>
      </c>
      <c r="W450" s="32" t="str">
        <f>"－"</f>
        <v>－</v>
      </c>
      <c r="X450" s="36" t="n">
        <f>18</f>
        <v>18.0</v>
      </c>
    </row>
    <row r="451">
      <c r="A451" s="27" t="s">
        <v>42</v>
      </c>
      <c r="B451" s="27" t="s">
        <v>1397</v>
      </c>
      <c r="C451" s="27" t="s">
        <v>1398</v>
      </c>
      <c r="D451" s="27" t="s">
        <v>1399</v>
      </c>
      <c r="E451" s="28" t="s">
        <v>46</v>
      </c>
      <c r="F451" s="29" t="s">
        <v>46</v>
      </c>
      <c r="G451" s="30" t="s">
        <v>46</v>
      </c>
      <c r="H451" s="31"/>
      <c r="I451" s="31" t="s">
        <v>413</v>
      </c>
      <c r="J451" s="32" t="n">
        <v>1.0</v>
      </c>
      <c r="K451" s="33" t="n">
        <f>11455</f>
        <v>11455.0</v>
      </c>
      <c r="L451" s="34" t="s">
        <v>48</v>
      </c>
      <c r="M451" s="33" t="n">
        <f>11905</f>
        <v>11905.0</v>
      </c>
      <c r="N451" s="34" t="s">
        <v>68</v>
      </c>
      <c r="O451" s="33" t="n">
        <f>11320</f>
        <v>11320.0</v>
      </c>
      <c r="P451" s="34" t="s">
        <v>60</v>
      </c>
      <c r="Q451" s="33" t="n">
        <f>11575</f>
        <v>11575.0</v>
      </c>
      <c r="R451" s="34" t="s">
        <v>49</v>
      </c>
      <c r="S451" s="35" t="n">
        <f>11623.33</f>
        <v>11623.33</v>
      </c>
      <c r="T451" s="32" t="n">
        <f>1466</f>
        <v>1466.0</v>
      </c>
      <c r="U451" s="32" t="str">
        <f>"－"</f>
        <v>－</v>
      </c>
      <c r="V451" s="32" t="n">
        <f>17079855</f>
        <v>1.7079855E7</v>
      </c>
      <c r="W451" s="32" t="str">
        <f>"－"</f>
        <v>－</v>
      </c>
      <c r="X451" s="36" t="n">
        <f>18</f>
        <v>18.0</v>
      </c>
    </row>
    <row r="452">
      <c r="A452" s="27" t="s">
        <v>42</v>
      </c>
      <c r="B452" s="27" t="s">
        <v>1400</v>
      </c>
      <c r="C452" s="27" t="s">
        <v>1401</v>
      </c>
      <c r="D452" s="27" t="s">
        <v>1402</v>
      </c>
      <c r="E452" s="28" t="s">
        <v>46</v>
      </c>
      <c r="F452" s="29" t="s">
        <v>46</v>
      </c>
      <c r="G452" s="30" t="s">
        <v>46</v>
      </c>
      <c r="H452" s="31"/>
      <c r="I452" s="31" t="s">
        <v>413</v>
      </c>
      <c r="J452" s="32" t="n">
        <v>1.0</v>
      </c>
      <c r="K452" s="33" t="n">
        <f>2305</f>
        <v>2305.0</v>
      </c>
      <c r="L452" s="34" t="s">
        <v>48</v>
      </c>
      <c r="M452" s="33" t="n">
        <f>2627</f>
        <v>2627.0</v>
      </c>
      <c r="N452" s="34" t="s">
        <v>59</v>
      </c>
      <c r="O452" s="33" t="n">
        <f>2257</f>
        <v>2257.0</v>
      </c>
      <c r="P452" s="34" t="s">
        <v>48</v>
      </c>
      <c r="Q452" s="33" t="n">
        <f>2532</f>
        <v>2532.0</v>
      </c>
      <c r="R452" s="34" t="s">
        <v>49</v>
      </c>
      <c r="S452" s="35" t="n">
        <f>2450.33</f>
        <v>2450.33</v>
      </c>
      <c r="T452" s="32" t="n">
        <f>88483</f>
        <v>88483.0</v>
      </c>
      <c r="U452" s="32" t="n">
        <f>5086</f>
        <v>5086.0</v>
      </c>
      <c r="V452" s="32" t="n">
        <f>215903368</f>
        <v>2.15903368E8</v>
      </c>
      <c r="W452" s="32" t="n">
        <f>11967819</f>
        <v>1.1967819E7</v>
      </c>
      <c r="X452" s="36" t="n">
        <f>18</f>
        <v>18.0</v>
      </c>
    </row>
    <row r="453">
      <c r="A453" s="27" t="s">
        <v>42</v>
      </c>
      <c r="B453" s="27" t="s">
        <v>1403</v>
      </c>
      <c r="C453" s="27" t="s">
        <v>1404</v>
      </c>
      <c r="D453" s="27" t="s">
        <v>1405</v>
      </c>
      <c r="E453" s="28" t="s">
        <v>46</v>
      </c>
      <c r="F453" s="29" t="s">
        <v>46</v>
      </c>
      <c r="G453" s="30" t="s">
        <v>46</v>
      </c>
      <c r="H453" s="31"/>
      <c r="I453" s="31" t="s">
        <v>413</v>
      </c>
      <c r="J453" s="32" t="n">
        <v>1.0</v>
      </c>
      <c r="K453" s="33" t="n">
        <f>1144</f>
        <v>1144.0</v>
      </c>
      <c r="L453" s="34" t="s">
        <v>48</v>
      </c>
      <c r="M453" s="33" t="n">
        <f>1277</f>
        <v>1277.0</v>
      </c>
      <c r="N453" s="34" t="s">
        <v>49</v>
      </c>
      <c r="O453" s="33" t="n">
        <f>1120</f>
        <v>1120.0</v>
      </c>
      <c r="P453" s="34" t="s">
        <v>48</v>
      </c>
      <c r="Q453" s="33" t="n">
        <f>1274</f>
        <v>1274.0</v>
      </c>
      <c r="R453" s="34" t="s">
        <v>49</v>
      </c>
      <c r="S453" s="35" t="n">
        <f>1213.67</f>
        <v>1213.67</v>
      </c>
      <c r="T453" s="32" t="n">
        <f>1017397</f>
        <v>1017397.0</v>
      </c>
      <c r="U453" s="32" t="n">
        <f>414109</f>
        <v>414109.0</v>
      </c>
      <c r="V453" s="32" t="n">
        <f>1229618846</f>
        <v>1.229618846E9</v>
      </c>
      <c r="W453" s="32" t="n">
        <f>497309741</f>
        <v>4.97309741E8</v>
      </c>
      <c r="X453" s="36" t="n">
        <f>18</f>
        <v>18.0</v>
      </c>
    </row>
    <row r="454">
      <c r="A454" s="27" t="s">
        <v>42</v>
      </c>
      <c r="B454" s="27" t="s">
        <v>1406</v>
      </c>
      <c r="C454" s="27" t="s">
        <v>1407</v>
      </c>
      <c r="D454" s="27" t="s">
        <v>1408</v>
      </c>
      <c r="E454" s="28" t="s">
        <v>46</v>
      </c>
      <c r="F454" s="29" t="s">
        <v>46</v>
      </c>
      <c r="G454" s="30" t="s">
        <v>46</v>
      </c>
      <c r="H454" s="31"/>
      <c r="I454" s="31" t="s">
        <v>413</v>
      </c>
      <c r="J454" s="32" t="n">
        <v>1.0</v>
      </c>
      <c r="K454" s="33" t="n">
        <f>1220</f>
        <v>1220.0</v>
      </c>
      <c r="L454" s="34" t="s">
        <v>48</v>
      </c>
      <c r="M454" s="33" t="n">
        <f>1282</f>
        <v>1282.0</v>
      </c>
      <c r="N454" s="34" t="s">
        <v>69</v>
      </c>
      <c r="O454" s="33" t="n">
        <f>1125</f>
        <v>1125.0</v>
      </c>
      <c r="P454" s="34" t="s">
        <v>105</v>
      </c>
      <c r="Q454" s="33" t="n">
        <f>1212</f>
        <v>1212.0</v>
      </c>
      <c r="R454" s="34" t="s">
        <v>49</v>
      </c>
      <c r="S454" s="35" t="n">
        <f>1199.22</f>
        <v>1199.22</v>
      </c>
      <c r="T454" s="32" t="n">
        <f>5418757</f>
        <v>5418757.0</v>
      </c>
      <c r="U454" s="32" t="n">
        <f>1310098</f>
        <v>1310098.0</v>
      </c>
      <c r="V454" s="32" t="n">
        <f>6580905832</f>
        <v>6.580905832E9</v>
      </c>
      <c r="W454" s="32" t="n">
        <f>1638264699</f>
        <v>1.638264699E9</v>
      </c>
      <c r="X454" s="36" t="n">
        <f>18</f>
        <v>18.0</v>
      </c>
    </row>
    <row r="455">
      <c r="A455" s="27" t="s">
        <v>42</v>
      </c>
      <c r="B455" s="27" t="s">
        <v>1409</v>
      </c>
      <c r="C455" s="27" t="s">
        <v>1410</v>
      </c>
      <c r="D455" s="27" t="s">
        <v>1411</v>
      </c>
      <c r="E455" s="28" t="s">
        <v>46</v>
      </c>
      <c r="F455" s="29" t="s">
        <v>46</v>
      </c>
      <c r="G455" s="30" t="s">
        <v>46</v>
      </c>
      <c r="H455" s="31"/>
      <c r="I455" s="31" t="s">
        <v>413</v>
      </c>
      <c r="J455" s="32" t="n">
        <v>10.0</v>
      </c>
      <c r="K455" s="33" t="n">
        <f>354</f>
        <v>354.0</v>
      </c>
      <c r="L455" s="34" t="s">
        <v>48</v>
      </c>
      <c r="M455" s="33" t="n">
        <f>378</f>
        <v>378.0</v>
      </c>
      <c r="N455" s="34" t="s">
        <v>48</v>
      </c>
      <c r="O455" s="33" t="n">
        <f>297.8</f>
        <v>297.8</v>
      </c>
      <c r="P455" s="34" t="s">
        <v>48</v>
      </c>
      <c r="Q455" s="33" t="n">
        <f>301.8</f>
        <v>301.8</v>
      </c>
      <c r="R455" s="34" t="s">
        <v>49</v>
      </c>
      <c r="S455" s="35" t="n">
        <f>300.04</f>
        <v>300.04</v>
      </c>
      <c r="T455" s="32" t="n">
        <f>44410</f>
        <v>44410.0</v>
      </c>
      <c r="U455" s="32" t="str">
        <f>"－"</f>
        <v>－</v>
      </c>
      <c r="V455" s="32" t="n">
        <f>13403537</f>
        <v>1.3403537E7</v>
      </c>
      <c r="W455" s="32" t="str">
        <f>"－"</f>
        <v>－</v>
      </c>
      <c r="X455" s="36" t="n">
        <f>17</f>
        <v>17.0</v>
      </c>
    </row>
    <row r="456">
      <c r="A456" s="27" t="s">
        <v>42</v>
      </c>
      <c r="B456" s="27" t="s">
        <v>1412</v>
      </c>
      <c r="C456" s="27" t="s">
        <v>1413</v>
      </c>
      <c r="D456" s="27" t="s">
        <v>1414</v>
      </c>
      <c r="E456" s="28" t="s">
        <v>46</v>
      </c>
      <c r="F456" s="29" t="s">
        <v>46</v>
      </c>
      <c r="G456" s="30" t="s">
        <v>46</v>
      </c>
      <c r="H456" s="31"/>
      <c r="I456" s="31" t="s">
        <v>413</v>
      </c>
      <c r="J456" s="32" t="n">
        <v>10.0</v>
      </c>
      <c r="K456" s="33" t="n">
        <f>297.1</f>
        <v>297.1</v>
      </c>
      <c r="L456" s="34" t="s">
        <v>48</v>
      </c>
      <c r="M456" s="33" t="n">
        <f>302.4</f>
        <v>302.4</v>
      </c>
      <c r="N456" s="34" t="s">
        <v>49</v>
      </c>
      <c r="O456" s="33" t="n">
        <f>292.8</f>
        <v>292.8</v>
      </c>
      <c r="P456" s="34" t="s">
        <v>64</v>
      </c>
      <c r="Q456" s="33" t="n">
        <f>301.9</f>
        <v>301.9</v>
      </c>
      <c r="R456" s="34" t="s">
        <v>49</v>
      </c>
      <c r="S456" s="35" t="n">
        <f>298.4</f>
        <v>298.4</v>
      </c>
      <c r="T456" s="32" t="n">
        <f>14220</f>
        <v>14220.0</v>
      </c>
      <c r="U456" s="32" t="str">
        <f>"－"</f>
        <v>－</v>
      </c>
      <c r="V456" s="32" t="n">
        <f>4220401</f>
        <v>4220401.0</v>
      </c>
      <c r="W456" s="32" t="str">
        <f>"－"</f>
        <v>－</v>
      </c>
      <c r="X456" s="36" t="n">
        <f>17</f>
        <v>17.0</v>
      </c>
    </row>
    <row r="457">
      <c r="A457" s="27" t="s">
        <v>42</v>
      </c>
      <c r="B457" s="27" t="s">
        <v>1415</v>
      </c>
      <c r="C457" s="27" t="s">
        <v>1416</v>
      </c>
      <c r="D457" s="27" t="s">
        <v>1417</v>
      </c>
      <c r="E457" s="28" t="s">
        <v>46</v>
      </c>
      <c r="F457" s="29" t="s">
        <v>46</v>
      </c>
      <c r="G457" s="30" t="s">
        <v>46</v>
      </c>
      <c r="H457" s="31"/>
      <c r="I457" s="31" t="s">
        <v>413</v>
      </c>
      <c r="J457" s="32" t="n">
        <v>1.0</v>
      </c>
      <c r="K457" s="33" t="n">
        <f>1077</f>
        <v>1077.0</v>
      </c>
      <c r="L457" s="34" t="s">
        <v>48</v>
      </c>
      <c r="M457" s="33" t="n">
        <f>1192</f>
        <v>1192.0</v>
      </c>
      <c r="N457" s="34" t="s">
        <v>68</v>
      </c>
      <c r="O457" s="33" t="n">
        <f>1057</f>
        <v>1057.0</v>
      </c>
      <c r="P457" s="34" t="s">
        <v>48</v>
      </c>
      <c r="Q457" s="33" t="n">
        <f>1183</f>
        <v>1183.0</v>
      </c>
      <c r="R457" s="34" t="s">
        <v>49</v>
      </c>
      <c r="S457" s="35" t="n">
        <f>1134.5</f>
        <v>1134.5</v>
      </c>
      <c r="T457" s="32" t="n">
        <f>2299939</f>
        <v>2299939.0</v>
      </c>
      <c r="U457" s="32" t="n">
        <f>550031</f>
        <v>550031.0</v>
      </c>
      <c r="V457" s="32" t="n">
        <f>2687765268</f>
        <v>2.687765268E9</v>
      </c>
      <c r="W457" s="32" t="n">
        <f>637348058</f>
        <v>6.37348058E8</v>
      </c>
      <c r="X457" s="36" t="n">
        <f>18</f>
        <v>18.0</v>
      </c>
    </row>
    <row r="458">
      <c r="A458" s="27" t="s">
        <v>42</v>
      </c>
      <c r="B458" s="27" t="s">
        <v>1418</v>
      </c>
      <c r="C458" s="27" t="s">
        <v>1419</v>
      </c>
      <c r="D458" s="27" t="s">
        <v>1420</v>
      </c>
      <c r="E458" s="28" t="s">
        <v>46</v>
      </c>
      <c r="F458" s="29" t="s">
        <v>46</v>
      </c>
      <c r="G458" s="30" t="s">
        <v>46</v>
      </c>
      <c r="H458" s="31"/>
      <c r="I458" s="31" t="s">
        <v>413</v>
      </c>
      <c r="J458" s="32" t="n">
        <v>1.0</v>
      </c>
      <c r="K458" s="33" t="n">
        <f>2075</f>
        <v>2075.0</v>
      </c>
      <c r="L458" s="34" t="s">
        <v>48</v>
      </c>
      <c r="M458" s="33" t="n">
        <f>2183</f>
        <v>2183.0</v>
      </c>
      <c r="N458" s="34" t="s">
        <v>49</v>
      </c>
      <c r="O458" s="33" t="n">
        <f>2044</f>
        <v>2044.0</v>
      </c>
      <c r="P458" s="34" t="s">
        <v>48</v>
      </c>
      <c r="Q458" s="33" t="n">
        <f>2155</f>
        <v>2155.0</v>
      </c>
      <c r="R458" s="34" t="s">
        <v>49</v>
      </c>
      <c r="S458" s="35" t="n">
        <f>2104.78</f>
        <v>2104.78</v>
      </c>
      <c r="T458" s="32" t="n">
        <f>371580</f>
        <v>371580.0</v>
      </c>
      <c r="U458" s="32" t="str">
        <f>"－"</f>
        <v>－</v>
      </c>
      <c r="V458" s="32" t="n">
        <f>772558706</f>
        <v>7.72558706E8</v>
      </c>
      <c r="W458" s="32" t="str">
        <f>"－"</f>
        <v>－</v>
      </c>
      <c r="X458" s="36" t="n">
        <f>18</f>
        <v>18.0</v>
      </c>
    </row>
    <row r="459">
      <c r="A459" s="27" t="s">
        <v>42</v>
      </c>
      <c r="B459" s="27" t="s">
        <v>1421</v>
      </c>
      <c r="C459" s="27" t="s">
        <v>1422</v>
      </c>
      <c r="D459" s="27" t="s">
        <v>1423</v>
      </c>
      <c r="E459" s="28" t="s">
        <v>46</v>
      </c>
      <c r="F459" s="29" t="s">
        <v>46</v>
      </c>
      <c r="G459" s="30" t="s">
        <v>46</v>
      </c>
      <c r="H459" s="31"/>
      <c r="I459" s="31" t="s">
        <v>413</v>
      </c>
      <c r="J459" s="32" t="n">
        <v>1.0</v>
      </c>
      <c r="K459" s="33" t="n">
        <f>2045</f>
        <v>2045.0</v>
      </c>
      <c r="L459" s="34" t="s">
        <v>48</v>
      </c>
      <c r="M459" s="33" t="n">
        <f>2099</f>
        <v>2099.0</v>
      </c>
      <c r="N459" s="34" t="s">
        <v>68</v>
      </c>
      <c r="O459" s="33" t="n">
        <f>2003</f>
        <v>2003.0</v>
      </c>
      <c r="P459" s="34" t="s">
        <v>60</v>
      </c>
      <c r="Q459" s="33" t="n">
        <f>2081</f>
        <v>2081.0</v>
      </c>
      <c r="R459" s="34" t="s">
        <v>49</v>
      </c>
      <c r="S459" s="35" t="n">
        <f>2051.78</f>
        <v>2051.78</v>
      </c>
      <c r="T459" s="32" t="n">
        <f>30702</f>
        <v>30702.0</v>
      </c>
      <c r="U459" s="32" t="n">
        <f>1029</f>
        <v>1029.0</v>
      </c>
      <c r="V459" s="32" t="n">
        <f>62911641</f>
        <v>6.2911641E7</v>
      </c>
      <c r="W459" s="32" t="n">
        <f>2093736</f>
        <v>2093736.0</v>
      </c>
      <c r="X459" s="36" t="n">
        <f>18</f>
        <v>18.0</v>
      </c>
    </row>
    <row r="460">
      <c r="A460" s="27" t="s">
        <v>42</v>
      </c>
      <c r="B460" s="27" t="s">
        <v>1424</v>
      </c>
      <c r="C460" s="27" t="s">
        <v>1425</v>
      </c>
      <c r="D460" s="27" t="s">
        <v>1426</v>
      </c>
      <c r="E460" s="28" t="s">
        <v>46</v>
      </c>
      <c r="F460" s="29" t="s">
        <v>46</v>
      </c>
      <c r="G460" s="30" t="s">
        <v>46</v>
      </c>
      <c r="H460" s="31"/>
      <c r="I460" s="31" t="s">
        <v>413</v>
      </c>
      <c r="J460" s="32" t="n">
        <v>10.0</v>
      </c>
      <c r="K460" s="33" t="n">
        <f>800.5</f>
        <v>800.5</v>
      </c>
      <c r="L460" s="34" t="s">
        <v>48</v>
      </c>
      <c r="M460" s="33" t="n">
        <f>814.6</f>
        <v>814.6</v>
      </c>
      <c r="N460" s="34" t="s">
        <v>64</v>
      </c>
      <c r="O460" s="33" t="n">
        <f>789</f>
        <v>789.0</v>
      </c>
      <c r="P460" s="34" t="s">
        <v>59</v>
      </c>
      <c r="Q460" s="33" t="n">
        <f>795.1</f>
        <v>795.1</v>
      </c>
      <c r="R460" s="34" t="s">
        <v>49</v>
      </c>
      <c r="S460" s="35" t="n">
        <f>800.19</f>
        <v>800.19</v>
      </c>
      <c r="T460" s="32" t="n">
        <f>5904780</f>
        <v>5904780.0</v>
      </c>
      <c r="U460" s="32" t="n">
        <f>5345610</f>
        <v>5345610.0</v>
      </c>
      <c r="V460" s="32" t="n">
        <f>4697878529</f>
        <v>4.697878529E9</v>
      </c>
      <c r="W460" s="32" t="n">
        <f>4249452053</f>
        <v>4.249452053E9</v>
      </c>
      <c r="X460" s="36" t="n">
        <f>18</f>
        <v>18.0</v>
      </c>
    </row>
    <row r="461">
      <c r="A461" s="27" t="s">
        <v>42</v>
      </c>
      <c r="B461" s="27" t="s">
        <v>1427</v>
      </c>
      <c r="C461" s="27" t="s">
        <v>1428</v>
      </c>
      <c r="D461" s="27" t="s">
        <v>1429</v>
      </c>
      <c r="E461" s="28" t="s">
        <v>46</v>
      </c>
      <c r="F461" s="29" t="s">
        <v>46</v>
      </c>
      <c r="G461" s="30" t="s">
        <v>46</v>
      </c>
      <c r="H461" s="31"/>
      <c r="I461" s="31" t="s">
        <v>413</v>
      </c>
      <c r="J461" s="32" t="n">
        <v>1.0</v>
      </c>
      <c r="K461" s="33" t="n">
        <f>988</f>
        <v>988.0</v>
      </c>
      <c r="L461" s="34" t="s">
        <v>48</v>
      </c>
      <c r="M461" s="33" t="n">
        <f>1005</f>
        <v>1005.0</v>
      </c>
      <c r="N461" s="34" t="s">
        <v>64</v>
      </c>
      <c r="O461" s="33" t="n">
        <f>950</f>
        <v>950.0</v>
      </c>
      <c r="P461" s="34" t="s">
        <v>69</v>
      </c>
      <c r="Q461" s="33" t="n">
        <f>975</f>
        <v>975.0</v>
      </c>
      <c r="R461" s="34" t="s">
        <v>49</v>
      </c>
      <c r="S461" s="35" t="n">
        <f>966.78</f>
        <v>966.78</v>
      </c>
      <c r="T461" s="32" t="n">
        <f>5900</f>
        <v>5900.0</v>
      </c>
      <c r="U461" s="32" t="str">
        <f>"－"</f>
        <v>－</v>
      </c>
      <c r="V461" s="32" t="n">
        <f>5731052</f>
        <v>5731052.0</v>
      </c>
      <c r="W461" s="32" t="str">
        <f>"－"</f>
        <v>－</v>
      </c>
      <c r="X461" s="36" t="n">
        <f>18</f>
        <v>18.0</v>
      </c>
    </row>
    <row r="462">
      <c r="A462" s="27" t="s">
        <v>42</v>
      </c>
      <c r="B462" s="27" t="s">
        <v>1430</v>
      </c>
      <c r="C462" s="27" t="s">
        <v>1431</v>
      </c>
      <c r="D462" s="27" t="s">
        <v>1432</v>
      </c>
      <c r="E462" s="28" t="s">
        <v>46</v>
      </c>
      <c r="F462" s="29" t="s">
        <v>46</v>
      </c>
      <c r="G462" s="30" t="s">
        <v>46</v>
      </c>
      <c r="H462" s="31"/>
      <c r="I462" s="31" t="s">
        <v>413</v>
      </c>
      <c r="J462" s="32" t="n">
        <v>10.0</v>
      </c>
      <c r="K462" s="33" t="n">
        <f>509.4</f>
        <v>509.4</v>
      </c>
      <c r="L462" s="34" t="s">
        <v>48</v>
      </c>
      <c r="M462" s="33" t="n">
        <f>510.6</f>
        <v>510.6</v>
      </c>
      <c r="N462" s="34" t="s">
        <v>60</v>
      </c>
      <c r="O462" s="33" t="n">
        <f>488.4</f>
        <v>488.4</v>
      </c>
      <c r="P462" s="34" t="s">
        <v>94</v>
      </c>
      <c r="Q462" s="33" t="n">
        <f>503.3</f>
        <v>503.3</v>
      </c>
      <c r="R462" s="34" t="s">
        <v>49</v>
      </c>
      <c r="S462" s="35" t="n">
        <f>501.81</f>
        <v>501.81</v>
      </c>
      <c r="T462" s="32" t="n">
        <f>12611960</f>
        <v>1.261196E7</v>
      </c>
      <c r="U462" s="32" t="n">
        <f>12367880</f>
        <v>1.236788E7</v>
      </c>
      <c r="V462" s="32" t="n">
        <f>6359774943</f>
        <v>6.359774943E9</v>
      </c>
      <c r="W462" s="32" t="n">
        <f>6237290682</f>
        <v>6.237290682E9</v>
      </c>
      <c r="X462" s="36" t="n">
        <f>17</f>
        <v>17.0</v>
      </c>
    </row>
    <row r="463">
      <c r="A463" s="27" t="s">
        <v>42</v>
      </c>
      <c r="B463" s="27" t="s">
        <v>1433</v>
      </c>
      <c r="C463" s="27" t="s">
        <v>1434</v>
      </c>
      <c r="D463" s="27" t="s">
        <v>1435</v>
      </c>
      <c r="E463" s="28" t="s">
        <v>46</v>
      </c>
      <c r="F463" s="29" t="s">
        <v>46</v>
      </c>
      <c r="G463" s="30" t="s">
        <v>46</v>
      </c>
      <c r="H463" s="31"/>
      <c r="I463" s="31" t="s">
        <v>413</v>
      </c>
      <c r="J463" s="32" t="n">
        <v>10.0</v>
      </c>
      <c r="K463" s="33" t="n">
        <f>999</f>
        <v>999.0</v>
      </c>
      <c r="L463" s="34" t="s">
        <v>48</v>
      </c>
      <c r="M463" s="33" t="n">
        <f>1080</f>
        <v>1080.0</v>
      </c>
      <c r="N463" s="34" t="s">
        <v>60</v>
      </c>
      <c r="O463" s="33" t="n">
        <f>996.9</f>
        <v>996.9</v>
      </c>
      <c r="P463" s="34" t="s">
        <v>60</v>
      </c>
      <c r="Q463" s="33" t="n">
        <f>1012</f>
        <v>1012.0</v>
      </c>
      <c r="R463" s="34" t="s">
        <v>49</v>
      </c>
      <c r="S463" s="35" t="n">
        <f>1005.56</f>
        <v>1005.56</v>
      </c>
      <c r="T463" s="32" t="n">
        <f>14740</f>
        <v>14740.0</v>
      </c>
      <c r="U463" s="32" t="str">
        <f>"－"</f>
        <v>－</v>
      </c>
      <c r="V463" s="32" t="n">
        <f>14882219</f>
        <v>1.4882219E7</v>
      </c>
      <c r="W463" s="32" t="str">
        <f>"－"</f>
        <v>－</v>
      </c>
      <c r="X463" s="36" t="n">
        <f>18</f>
        <v>18.0</v>
      </c>
    </row>
    <row r="464">
      <c r="A464" s="27" t="s">
        <v>42</v>
      </c>
      <c r="B464" s="27" t="s">
        <v>1436</v>
      </c>
      <c r="C464" s="27" t="s">
        <v>1437</v>
      </c>
      <c r="D464" s="27" t="s">
        <v>1438</v>
      </c>
      <c r="E464" s="28" t="s">
        <v>46</v>
      </c>
      <c r="F464" s="29" t="s">
        <v>46</v>
      </c>
      <c r="G464" s="30" t="s">
        <v>46</v>
      </c>
      <c r="H464" s="31"/>
      <c r="I464" s="31" t="s">
        <v>413</v>
      </c>
      <c r="J464" s="32" t="n">
        <v>10.0</v>
      </c>
      <c r="K464" s="33" t="n">
        <f>1000.5</f>
        <v>1000.5</v>
      </c>
      <c r="L464" s="34" t="s">
        <v>48</v>
      </c>
      <c r="M464" s="33" t="n">
        <f>1004.5</f>
        <v>1004.5</v>
      </c>
      <c r="N464" s="34" t="s">
        <v>48</v>
      </c>
      <c r="O464" s="33" t="n">
        <f>996.2</f>
        <v>996.2</v>
      </c>
      <c r="P464" s="34" t="s">
        <v>258</v>
      </c>
      <c r="Q464" s="33" t="n">
        <f>998.9</f>
        <v>998.9</v>
      </c>
      <c r="R464" s="34" t="s">
        <v>83</v>
      </c>
      <c r="S464" s="35" t="n">
        <f>1000.2</f>
        <v>1000.2</v>
      </c>
      <c r="T464" s="32" t="n">
        <f>21500</f>
        <v>21500.0</v>
      </c>
      <c r="U464" s="32" t="str">
        <f>"－"</f>
        <v>－</v>
      </c>
      <c r="V464" s="32" t="n">
        <f>21508039</f>
        <v>2.1508039E7</v>
      </c>
      <c r="W464" s="32" t="str">
        <f>"－"</f>
        <v>－</v>
      </c>
      <c r="X464" s="36" t="n">
        <f>12</f>
        <v>12.0</v>
      </c>
    </row>
    <row r="465">
      <c r="A465" s="27" t="s">
        <v>42</v>
      </c>
      <c r="B465" s="27" t="s">
        <v>1439</v>
      </c>
      <c r="C465" s="27" t="s">
        <v>1440</v>
      </c>
      <c r="D465" s="27" t="s">
        <v>1441</v>
      </c>
      <c r="E465" s="28" t="s">
        <v>46</v>
      </c>
      <c r="F465" s="29" t="s">
        <v>46</v>
      </c>
      <c r="G465" s="30" t="s">
        <v>46</v>
      </c>
      <c r="H465" s="31"/>
      <c r="I465" s="31" t="s">
        <v>413</v>
      </c>
      <c r="J465" s="32" t="n">
        <v>10.0</v>
      </c>
      <c r="K465" s="33" t="n">
        <f>1000</f>
        <v>1000.0</v>
      </c>
      <c r="L465" s="34" t="s">
        <v>48</v>
      </c>
      <c r="M465" s="33" t="n">
        <f>1005</f>
        <v>1005.0</v>
      </c>
      <c r="N465" s="34" t="s">
        <v>258</v>
      </c>
      <c r="O465" s="33" t="n">
        <f>998</f>
        <v>998.0</v>
      </c>
      <c r="P465" s="34" t="s">
        <v>101</v>
      </c>
      <c r="Q465" s="33" t="n">
        <f>1000</f>
        <v>1000.0</v>
      </c>
      <c r="R465" s="34" t="s">
        <v>68</v>
      </c>
      <c r="S465" s="35" t="n">
        <f>1001.61</f>
        <v>1001.61</v>
      </c>
      <c r="T465" s="32" t="n">
        <f>10260</f>
        <v>10260.0</v>
      </c>
      <c r="U465" s="32" t="str">
        <f>"－"</f>
        <v>－</v>
      </c>
      <c r="V465" s="32" t="n">
        <f>10305340</f>
        <v>1.030534E7</v>
      </c>
      <c r="W465" s="32" t="str">
        <f>"－"</f>
        <v>－</v>
      </c>
      <c r="X465" s="36" t="n">
        <f>9</f>
        <v>9.0</v>
      </c>
    </row>
    <row r="466">
      <c r="A466" s="27" t="s">
        <v>42</v>
      </c>
      <c r="B466" s="27" t="s">
        <v>1442</v>
      </c>
      <c r="C466" s="27" t="s">
        <v>1443</v>
      </c>
      <c r="D466" s="27" t="s">
        <v>1444</v>
      </c>
      <c r="E466" s="28" t="s">
        <v>46</v>
      </c>
      <c r="F466" s="29" t="s">
        <v>46</v>
      </c>
      <c r="G466" s="30" t="s">
        <v>46</v>
      </c>
      <c r="H466" s="31"/>
      <c r="I466" s="31" t="s">
        <v>413</v>
      </c>
      <c r="J466" s="32" t="n">
        <v>10.0</v>
      </c>
      <c r="K466" s="33" t="n">
        <f>1001</f>
        <v>1001.0</v>
      </c>
      <c r="L466" s="34" t="s">
        <v>48</v>
      </c>
      <c r="M466" s="33" t="n">
        <f>1014</f>
        <v>1014.0</v>
      </c>
      <c r="N466" s="34" t="s">
        <v>90</v>
      </c>
      <c r="O466" s="33" t="n">
        <f>997.1</f>
        <v>997.1</v>
      </c>
      <c r="P466" s="34" t="s">
        <v>79</v>
      </c>
      <c r="Q466" s="33" t="n">
        <f>1009</f>
        <v>1009.0</v>
      </c>
      <c r="R466" s="34" t="s">
        <v>49</v>
      </c>
      <c r="S466" s="35" t="n">
        <f>1004.54</f>
        <v>1004.54</v>
      </c>
      <c r="T466" s="32" t="n">
        <f>1280</f>
        <v>1280.0</v>
      </c>
      <c r="U466" s="32" t="str">
        <f>"－"</f>
        <v>－</v>
      </c>
      <c r="V466" s="32" t="n">
        <f>1284168</f>
        <v>1284168.0</v>
      </c>
      <c r="W466" s="32" t="str">
        <f>"－"</f>
        <v>－</v>
      </c>
      <c r="X466" s="36" t="n">
        <f>15</f>
        <v>15.0</v>
      </c>
    </row>
    <row r="467">
      <c r="A467" s="27" t="s">
        <v>42</v>
      </c>
      <c r="B467" s="27" t="s">
        <v>1445</v>
      </c>
      <c r="C467" s="27" t="s">
        <v>1446</v>
      </c>
      <c r="D467" s="27" t="s">
        <v>1447</v>
      </c>
      <c r="E467" s="28" t="s">
        <v>46</v>
      </c>
      <c r="F467" s="29" t="s">
        <v>46</v>
      </c>
      <c r="G467" s="30" t="s">
        <v>46</v>
      </c>
      <c r="H467" s="31"/>
      <c r="I467" s="31" t="s">
        <v>413</v>
      </c>
      <c r="J467" s="32" t="n">
        <v>10.0</v>
      </c>
      <c r="K467" s="33" t="n">
        <f>998.7</f>
        <v>998.7</v>
      </c>
      <c r="L467" s="34" t="s">
        <v>48</v>
      </c>
      <c r="M467" s="33" t="n">
        <f>1049.5</f>
        <v>1049.5</v>
      </c>
      <c r="N467" s="34" t="s">
        <v>68</v>
      </c>
      <c r="O467" s="33" t="n">
        <f>996</f>
        <v>996.0</v>
      </c>
      <c r="P467" s="34" t="s">
        <v>48</v>
      </c>
      <c r="Q467" s="33" t="n">
        <f>1035</f>
        <v>1035.0</v>
      </c>
      <c r="R467" s="34" t="s">
        <v>49</v>
      </c>
      <c r="S467" s="35" t="n">
        <f>1016.61</f>
        <v>1016.61</v>
      </c>
      <c r="T467" s="32" t="n">
        <f>2796400</f>
        <v>2796400.0</v>
      </c>
      <c r="U467" s="32" t="str">
        <f>"－"</f>
        <v>－</v>
      </c>
      <c r="V467" s="32" t="n">
        <f>2837614392</f>
        <v>2.837614392E9</v>
      </c>
      <c r="W467" s="32" t="str">
        <f>"－"</f>
        <v>－</v>
      </c>
      <c r="X467" s="36" t="n">
        <f>18</f>
        <v>18.0</v>
      </c>
    </row>
    <row r="468">
      <c r="A468" s="27" t="s">
        <v>42</v>
      </c>
      <c r="B468" s="27" t="s">
        <v>1448</v>
      </c>
      <c r="C468" s="27" t="s">
        <v>1449</v>
      </c>
      <c r="D468" s="27" t="s">
        <v>1450</v>
      </c>
      <c r="E468" s="28" t="s">
        <v>46</v>
      </c>
      <c r="F468" s="29" t="s">
        <v>46</v>
      </c>
      <c r="G468" s="30" t="s">
        <v>46</v>
      </c>
      <c r="H468" s="31"/>
      <c r="I468" s="31" t="s">
        <v>413</v>
      </c>
      <c r="J468" s="32" t="n">
        <v>1.0</v>
      </c>
      <c r="K468" s="33" t="n">
        <f>9898</f>
        <v>9898.0</v>
      </c>
      <c r="L468" s="34" t="s">
        <v>48</v>
      </c>
      <c r="M468" s="33" t="n">
        <f>10710</f>
        <v>10710.0</v>
      </c>
      <c r="N468" s="34" t="s">
        <v>105</v>
      </c>
      <c r="O468" s="33" t="n">
        <f>9888</f>
        <v>9888.0</v>
      </c>
      <c r="P468" s="34" t="s">
        <v>48</v>
      </c>
      <c r="Q468" s="33" t="n">
        <f>10610</f>
        <v>10610.0</v>
      </c>
      <c r="R468" s="34" t="s">
        <v>49</v>
      </c>
      <c r="S468" s="35" t="n">
        <f>10427.11</f>
        <v>10427.11</v>
      </c>
      <c r="T468" s="32" t="n">
        <f>14299</f>
        <v>14299.0</v>
      </c>
      <c r="U468" s="32" t="str">
        <f>"－"</f>
        <v>－</v>
      </c>
      <c r="V468" s="32" t="n">
        <f>149824708</f>
        <v>1.49824708E8</v>
      </c>
      <c r="W468" s="32" t="str">
        <f>"－"</f>
        <v>－</v>
      </c>
      <c r="X468" s="36" t="n">
        <f>18</f>
        <v>18.0</v>
      </c>
    </row>
    <row r="469">
      <c r="A469" s="27" t="s">
        <v>42</v>
      </c>
      <c r="B469" s="27" t="s">
        <v>1451</v>
      </c>
      <c r="C469" s="27" t="s">
        <v>1452</v>
      </c>
      <c r="D469" s="27" t="s">
        <v>1453</v>
      </c>
      <c r="E469" s="28" t="s">
        <v>46</v>
      </c>
      <c r="F469" s="29" t="s">
        <v>46</v>
      </c>
      <c r="G469" s="30" t="s">
        <v>46</v>
      </c>
      <c r="H469" s="31"/>
      <c r="I469" s="31" t="s">
        <v>413</v>
      </c>
      <c r="J469" s="32" t="n">
        <v>1.0</v>
      </c>
      <c r="K469" s="33" t="n">
        <f>9750</f>
        <v>9750.0</v>
      </c>
      <c r="L469" s="34" t="s">
        <v>48</v>
      </c>
      <c r="M469" s="33" t="n">
        <f>10180</f>
        <v>10180.0</v>
      </c>
      <c r="N469" s="34" t="s">
        <v>258</v>
      </c>
      <c r="O469" s="33" t="n">
        <f>9287</f>
        <v>9287.0</v>
      </c>
      <c r="P469" s="34" t="s">
        <v>94</v>
      </c>
      <c r="Q469" s="33" t="n">
        <f>9912</f>
        <v>9912.0</v>
      </c>
      <c r="R469" s="34" t="s">
        <v>49</v>
      </c>
      <c r="S469" s="35" t="n">
        <f>9765.89</f>
        <v>9765.89</v>
      </c>
      <c r="T469" s="32" t="n">
        <f>37714</f>
        <v>37714.0</v>
      </c>
      <c r="U469" s="32" t="str">
        <f>"－"</f>
        <v>－</v>
      </c>
      <c r="V469" s="32" t="n">
        <f>366798358</f>
        <v>3.66798358E8</v>
      </c>
      <c r="W469" s="32" t="str">
        <f>"－"</f>
        <v>－</v>
      </c>
      <c r="X469" s="36" t="n">
        <f>18</f>
        <v>18.0</v>
      </c>
    </row>
    <row r="470">
      <c r="A470" s="27" t="s">
        <v>42</v>
      </c>
      <c r="B470" s="27" t="s">
        <v>1454</v>
      </c>
      <c r="C470" s="27" t="s">
        <v>1455</v>
      </c>
      <c r="D470" s="27" t="s">
        <v>1456</v>
      </c>
      <c r="E470" s="28" t="s">
        <v>46</v>
      </c>
      <c r="F470" s="29" t="s">
        <v>46</v>
      </c>
      <c r="G470" s="30" t="s">
        <v>46</v>
      </c>
      <c r="H470" s="31"/>
      <c r="I470" s="31" t="s">
        <v>413</v>
      </c>
      <c r="J470" s="32" t="n">
        <v>1.0</v>
      </c>
      <c r="K470" s="33" t="n">
        <f>9373</f>
        <v>9373.0</v>
      </c>
      <c r="L470" s="34" t="s">
        <v>48</v>
      </c>
      <c r="M470" s="33" t="n">
        <f>9880</f>
        <v>9880.0</v>
      </c>
      <c r="N470" s="34" t="s">
        <v>83</v>
      </c>
      <c r="O470" s="33" t="n">
        <f>9257</f>
        <v>9257.0</v>
      </c>
      <c r="P470" s="34" t="s">
        <v>69</v>
      </c>
      <c r="Q470" s="33" t="n">
        <f>9820</f>
        <v>9820.0</v>
      </c>
      <c r="R470" s="34" t="s">
        <v>49</v>
      </c>
      <c r="S470" s="35" t="n">
        <f>9560.67</f>
        <v>9560.67</v>
      </c>
      <c r="T470" s="32" t="n">
        <f>7592</f>
        <v>7592.0</v>
      </c>
      <c r="U470" s="32" t="str">
        <f>"－"</f>
        <v>－</v>
      </c>
      <c r="V470" s="32" t="n">
        <f>72395603</f>
        <v>7.2395603E7</v>
      </c>
      <c r="W470" s="32" t="str">
        <f>"－"</f>
        <v>－</v>
      </c>
      <c r="X470" s="36" t="n">
        <f>18</f>
        <v>18.0</v>
      </c>
    </row>
    <row r="471">
      <c r="A471" s="27" t="s">
        <v>42</v>
      </c>
      <c r="B471" s="27" t="s">
        <v>1457</v>
      </c>
      <c r="C471" s="27" t="s">
        <v>1458</v>
      </c>
      <c r="D471" s="27" t="s">
        <v>1459</v>
      </c>
      <c r="E471" s="28" t="s">
        <v>46</v>
      </c>
      <c r="F471" s="29" t="s">
        <v>46</v>
      </c>
      <c r="G471" s="30" t="s">
        <v>46</v>
      </c>
      <c r="H471" s="31"/>
      <c r="I471" s="31" t="s">
        <v>413</v>
      </c>
      <c r="J471" s="32" t="n">
        <v>10.0</v>
      </c>
      <c r="K471" s="33" t="n">
        <f>900</f>
        <v>900.0</v>
      </c>
      <c r="L471" s="34" t="s">
        <v>48</v>
      </c>
      <c r="M471" s="33" t="n">
        <f>900.6</f>
        <v>900.6</v>
      </c>
      <c r="N471" s="34" t="s">
        <v>68</v>
      </c>
      <c r="O471" s="33" t="n">
        <f>900</f>
        <v>900.0</v>
      </c>
      <c r="P471" s="34" t="s">
        <v>48</v>
      </c>
      <c r="Q471" s="33" t="n">
        <f>900.4</f>
        <v>900.4</v>
      </c>
      <c r="R471" s="34" t="s">
        <v>49</v>
      </c>
      <c r="S471" s="35" t="n">
        <f>900.27</f>
        <v>900.27</v>
      </c>
      <c r="T471" s="32" t="n">
        <f>414690</f>
        <v>414690.0</v>
      </c>
      <c r="U471" s="32" t="n">
        <f>100</f>
        <v>100.0</v>
      </c>
      <c r="V471" s="32" t="n">
        <f>373349362</f>
        <v>3.73349362E8</v>
      </c>
      <c r="W471" s="32" t="n">
        <f>90033</f>
        <v>90033.0</v>
      </c>
      <c r="X471" s="36" t="n">
        <f>18</f>
        <v>18.0</v>
      </c>
    </row>
    <row r="472">
      <c r="A472" s="27" t="s">
        <v>42</v>
      </c>
      <c r="B472" s="27" t="s">
        <v>1460</v>
      </c>
      <c r="C472" s="27" t="s">
        <v>1461</v>
      </c>
      <c r="D472" s="27" t="s">
        <v>1462</v>
      </c>
      <c r="E472" s="28" t="s">
        <v>1463</v>
      </c>
      <c r="F472" s="29" t="s">
        <v>1464</v>
      </c>
      <c r="G472" s="30" t="s">
        <v>1465</v>
      </c>
      <c r="H472" s="31"/>
      <c r="I472" s="31" t="s">
        <v>413</v>
      </c>
      <c r="J472" s="32" t="n">
        <v>1.0</v>
      </c>
      <c r="K472" s="33" t="n">
        <f>1060</f>
        <v>1060.0</v>
      </c>
      <c r="L472" s="34" t="s">
        <v>68</v>
      </c>
      <c r="M472" s="33" t="n">
        <f>1069</f>
        <v>1069.0</v>
      </c>
      <c r="N472" s="34" t="s">
        <v>68</v>
      </c>
      <c r="O472" s="33" t="n">
        <f>1060</f>
        <v>1060.0</v>
      </c>
      <c r="P472" s="34" t="s">
        <v>68</v>
      </c>
      <c r="Q472" s="33" t="n">
        <f>1066</f>
        <v>1066.0</v>
      </c>
      <c r="R472" s="34" t="s">
        <v>49</v>
      </c>
      <c r="S472" s="35" t="n">
        <f>1067.5</f>
        <v>1067.5</v>
      </c>
      <c r="T472" s="32" t="n">
        <f>87941</f>
        <v>87941.0</v>
      </c>
      <c r="U472" s="32" t="n">
        <f>1641</f>
        <v>1641.0</v>
      </c>
      <c r="V472" s="32" t="n">
        <f>93540863</f>
        <v>9.3540863E7</v>
      </c>
      <c r="W472" s="32" t="n">
        <f>1743967</f>
        <v>1743967.0</v>
      </c>
      <c r="X472" s="36" t="n">
        <f>2</f>
        <v>2.0</v>
      </c>
    </row>
    <row r="473">
      <c r="A473" s="27" t="s">
        <v>42</v>
      </c>
      <c r="B473" s="27" t="s">
        <v>1466</v>
      </c>
      <c r="C473" s="27" t="s">
        <v>1467</v>
      </c>
      <c r="D473" s="27" t="s">
        <v>1468</v>
      </c>
      <c r="E473" s="28" t="s">
        <v>1463</v>
      </c>
      <c r="F473" s="29" t="s">
        <v>1464</v>
      </c>
      <c r="G473" s="30" t="s">
        <v>1465</v>
      </c>
      <c r="H473" s="31"/>
      <c r="I473" s="31" t="s">
        <v>413</v>
      </c>
      <c r="J473" s="32" t="n">
        <v>1.0</v>
      </c>
      <c r="K473" s="33" t="n">
        <f>990</f>
        <v>990.0</v>
      </c>
      <c r="L473" s="34" t="s">
        <v>68</v>
      </c>
      <c r="M473" s="33" t="n">
        <f>1022</f>
        <v>1022.0</v>
      </c>
      <c r="N473" s="34" t="s">
        <v>49</v>
      </c>
      <c r="O473" s="33" t="n">
        <f>979</f>
        <v>979.0</v>
      </c>
      <c r="P473" s="34" t="s">
        <v>68</v>
      </c>
      <c r="Q473" s="33" t="n">
        <f>1022</f>
        <v>1022.0</v>
      </c>
      <c r="R473" s="34" t="s">
        <v>49</v>
      </c>
      <c r="S473" s="35" t="n">
        <f>1006.5</f>
        <v>1006.5</v>
      </c>
      <c r="T473" s="32" t="n">
        <f>5272239</f>
        <v>5272239.0</v>
      </c>
      <c r="U473" s="32" t="n">
        <f>33028</f>
        <v>33028.0</v>
      </c>
      <c r="V473" s="32" t="n">
        <f>5261704243</f>
        <v>5.261704243E9</v>
      </c>
      <c r="W473" s="32" t="n">
        <f>32822220</f>
        <v>3.282222E7</v>
      </c>
      <c r="X473" s="36" t="n">
        <f>2</f>
        <v>2.0</v>
      </c>
    </row>
    <row r="474">
      <c r="A474" s="27" t="s">
        <v>42</v>
      </c>
      <c r="B474" s="27" t="s">
        <v>1469</v>
      </c>
      <c r="C474" s="27" t="s">
        <v>1470</v>
      </c>
      <c r="D474" s="27" t="s">
        <v>1471</v>
      </c>
      <c r="E474" s="28" t="s">
        <v>46</v>
      </c>
      <c r="F474" s="29" t="s">
        <v>46</v>
      </c>
      <c r="G474" s="30" t="s">
        <v>46</v>
      </c>
      <c r="H474" s="31"/>
      <c r="I474" s="31" t="s">
        <v>47</v>
      </c>
      <c r="J474" s="32" t="n">
        <v>1.0</v>
      </c>
      <c r="K474" s="33" t="n">
        <f>144900</f>
        <v>144900.0</v>
      </c>
      <c r="L474" s="34" t="s">
        <v>48</v>
      </c>
      <c r="M474" s="33" t="n">
        <f>149600</f>
        <v>149600.0</v>
      </c>
      <c r="N474" s="34" t="s">
        <v>68</v>
      </c>
      <c r="O474" s="33" t="n">
        <f>142100</f>
        <v>142100.0</v>
      </c>
      <c r="P474" s="34" t="s">
        <v>274</v>
      </c>
      <c r="Q474" s="33" t="n">
        <f>145300</f>
        <v>145300.0</v>
      </c>
      <c r="R474" s="34" t="s">
        <v>49</v>
      </c>
      <c r="S474" s="35" t="n">
        <f>145383.33</f>
        <v>145383.33</v>
      </c>
      <c r="T474" s="32" t="n">
        <f>628548</f>
        <v>628548.0</v>
      </c>
      <c r="U474" s="32" t="n">
        <f>152486</f>
        <v>152486.0</v>
      </c>
      <c r="V474" s="32" t="n">
        <f>91396284873</f>
        <v>9.1396284873E10</v>
      </c>
      <c r="W474" s="32" t="n">
        <f>22166020473</f>
        <v>2.2166020473E10</v>
      </c>
      <c r="X474" s="36" t="n">
        <f>18</f>
        <v>18.0</v>
      </c>
    </row>
    <row r="475">
      <c r="A475" s="27" t="s">
        <v>42</v>
      </c>
      <c r="B475" s="27" t="s">
        <v>1472</v>
      </c>
      <c r="C475" s="27" t="s">
        <v>1473</v>
      </c>
      <c r="D475" s="27" t="s">
        <v>1474</v>
      </c>
      <c r="E475" s="28" t="s">
        <v>46</v>
      </c>
      <c r="F475" s="29" t="s">
        <v>46</v>
      </c>
      <c r="G475" s="30" t="s">
        <v>46</v>
      </c>
      <c r="H475" s="31"/>
      <c r="I475" s="31" t="s">
        <v>47</v>
      </c>
      <c r="J475" s="32" t="n">
        <v>1.0</v>
      </c>
      <c r="K475" s="33" t="n">
        <f>125700</f>
        <v>125700.0</v>
      </c>
      <c r="L475" s="34" t="s">
        <v>48</v>
      </c>
      <c r="M475" s="33" t="n">
        <f>132900</f>
        <v>132900.0</v>
      </c>
      <c r="N475" s="34" t="s">
        <v>49</v>
      </c>
      <c r="O475" s="33" t="n">
        <f>124700</f>
        <v>124700.0</v>
      </c>
      <c r="P475" s="34" t="s">
        <v>48</v>
      </c>
      <c r="Q475" s="33" t="n">
        <f>130100</f>
        <v>130100.0</v>
      </c>
      <c r="R475" s="34" t="s">
        <v>49</v>
      </c>
      <c r="S475" s="35" t="n">
        <f>127511.11</f>
        <v>127511.11</v>
      </c>
      <c r="T475" s="32" t="n">
        <f>426130</f>
        <v>426130.0</v>
      </c>
      <c r="U475" s="32" t="n">
        <f>91497</f>
        <v>91497.0</v>
      </c>
      <c r="V475" s="32" t="n">
        <f>54551384239</f>
        <v>5.4551384239E10</v>
      </c>
      <c r="W475" s="32" t="n">
        <f>11720912139</f>
        <v>1.1720912139E10</v>
      </c>
      <c r="X475" s="36" t="n">
        <f>18</f>
        <v>18.0</v>
      </c>
    </row>
    <row r="476">
      <c r="A476" s="27" t="s">
        <v>42</v>
      </c>
      <c r="B476" s="27" t="s">
        <v>1475</v>
      </c>
      <c r="C476" s="27" t="s">
        <v>1476</v>
      </c>
      <c r="D476" s="27" t="s">
        <v>1477</v>
      </c>
      <c r="E476" s="28" t="s">
        <v>46</v>
      </c>
      <c r="F476" s="29" t="s">
        <v>46</v>
      </c>
      <c r="G476" s="30" t="s">
        <v>46</v>
      </c>
      <c r="H476" s="31"/>
      <c r="I476" s="31" t="s">
        <v>47</v>
      </c>
      <c r="J476" s="32" t="n">
        <v>1.0</v>
      </c>
      <c r="K476" s="33" t="n">
        <f>122300</f>
        <v>122300.0</v>
      </c>
      <c r="L476" s="34" t="s">
        <v>48</v>
      </c>
      <c r="M476" s="33" t="n">
        <f>127200</f>
        <v>127200.0</v>
      </c>
      <c r="N476" s="34" t="s">
        <v>83</v>
      </c>
      <c r="O476" s="33" t="n">
        <f>121300</f>
        <v>121300.0</v>
      </c>
      <c r="P476" s="34" t="s">
        <v>60</v>
      </c>
      <c r="Q476" s="33" t="n">
        <f>121700</f>
        <v>121700.0</v>
      </c>
      <c r="R476" s="34" t="s">
        <v>49</v>
      </c>
      <c r="S476" s="35" t="n">
        <f>123855.56</f>
        <v>123855.56</v>
      </c>
      <c r="T476" s="32" t="n">
        <f>536755</f>
        <v>536755.0</v>
      </c>
      <c r="U476" s="32" t="n">
        <f>211444</f>
        <v>211444.0</v>
      </c>
      <c r="V476" s="32" t="n">
        <f>66461463348</f>
        <v>6.6461463348E10</v>
      </c>
      <c r="W476" s="32" t="n">
        <f>26178806048</f>
        <v>2.6178806048E10</v>
      </c>
      <c r="X476" s="36" t="n">
        <f>18</f>
        <v>18.0</v>
      </c>
    </row>
    <row r="477">
      <c r="A477" s="27" t="s">
        <v>42</v>
      </c>
      <c r="B477" s="27" t="s">
        <v>1478</v>
      </c>
      <c r="C477" s="27" t="s">
        <v>1479</v>
      </c>
      <c r="D477" s="27" t="s">
        <v>1480</v>
      </c>
      <c r="E477" s="28" t="s">
        <v>46</v>
      </c>
      <c r="F477" s="29" t="s">
        <v>46</v>
      </c>
      <c r="G477" s="30" t="s">
        <v>46</v>
      </c>
      <c r="H477" s="31"/>
      <c r="I477" s="31" t="s">
        <v>47</v>
      </c>
      <c r="J477" s="32" t="n">
        <v>1.0</v>
      </c>
      <c r="K477" s="33" t="n">
        <f>104600</f>
        <v>104600.0</v>
      </c>
      <c r="L477" s="34" t="s">
        <v>48</v>
      </c>
      <c r="M477" s="33" t="n">
        <f>107200</f>
        <v>107200.0</v>
      </c>
      <c r="N477" s="34" t="s">
        <v>83</v>
      </c>
      <c r="O477" s="33" t="n">
        <f>102900</f>
        <v>102900.0</v>
      </c>
      <c r="P477" s="34" t="s">
        <v>160</v>
      </c>
      <c r="Q477" s="33" t="n">
        <f>104100</f>
        <v>104100.0</v>
      </c>
      <c r="R477" s="34" t="s">
        <v>49</v>
      </c>
      <c r="S477" s="35" t="n">
        <f>105105.56</f>
        <v>105105.56</v>
      </c>
      <c r="T477" s="32" t="n">
        <f>328118</f>
        <v>328118.0</v>
      </c>
      <c r="U477" s="32" t="n">
        <f>107642</f>
        <v>107642.0</v>
      </c>
      <c r="V477" s="32" t="n">
        <f>34522944408</f>
        <v>3.4522944408E10</v>
      </c>
      <c r="W477" s="32" t="n">
        <f>11326459808</f>
        <v>1.1326459808E10</v>
      </c>
      <c r="X477" s="36" t="n">
        <f>18</f>
        <v>18.0</v>
      </c>
    </row>
    <row r="478">
      <c r="A478" s="27" t="s">
        <v>42</v>
      </c>
      <c r="B478" s="27" t="s">
        <v>1481</v>
      </c>
      <c r="C478" s="27" t="s">
        <v>1482</v>
      </c>
      <c r="D478" s="27" t="s">
        <v>1483</v>
      </c>
      <c r="E478" s="28" t="s">
        <v>46</v>
      </c>
      <c r="F478" s="29" t="s">
        <v>46</v>
      </c>
      <c r="G478" s="30" t="s">
        <v>46</v>
      </c>
      <c r="H478" s="31"/>
      <c r="I478" s="31" t="s">
        <v>47</v>
      </c>
      <c r="J478" s="32" t="n">
        <v>1.0</v>
      </c>
      <c r="K478" s="33" t="n">
        <f>105300</f>
        <v>105300.0</v>
      </c>
      <c r="L478" s="34" t="s">
        <v>48</v>
      </c>
      <c r="M478" s="33" t="n">
        <f>108600</f>
        <v>108600.0</v>
      </c>
      <c r="N478" s="34" t="s">
        <v>49</v>
      </c>
      <c r="O478" s="33" t="n">
        <f>104300</f>
        <v>104300.0</v>
      </c>
      <c r="P478" s="34" t="s">
        <v>60</v>
      </c>
      <c r="Q478" s="33" t="n">
        <f>106600</f>
        <v>106600.0</v>
      </c>
      <c r="R478" s="34" t="s">
        <v>49</v>
      </c>
      <c r="S478" s="35" t="n">
        <f>106488.89</f>
        <v>106488.89</v>
      </c>
      <c r="T478" s="32" t="n">
        <f>174307</f>
        <v>174307.0</v>
      </c>
      <c r="U478" s="32" t="n">
        <f>48614</f>
        <v>48614.0</v>
      </c>
      <c r="V478" s="32" t="n">
        <f>18563451899</f>
        <v>1.8563451899E10</v>
      </c>
      <c r="W478" s="32" t="n">
        <f>5183032899</f>
        <v>5.183032899E9</v>
      </c>
      <c r="X478" s="36" t="n">
        <f>18</f>
        <v>18.0</v>
      </c>
    </row>
    <row r="479">
      <c r="A479" s="27" t="s">
        <v>42</v>
      </c>
      <c r="B479" s="27" t="s">
        <v>1484</v>
      </c>
      <c r="C479" s="27" t="s">
        <v>1485</v>
      </c>
      <c r="D479" s="27" t="s">
        <v>1486</v>
      </c>
      <c r="E479" s="28" t="s">
        <v>46</v>
      </c>
      <c r="F479" s="29" t="s">
        <v>46</v>
      </c>
      <c r="G479" s="30" t="s">
        <v>46</v>
      </c>
      <c r="H479" s="31"/>
      <c r="I479" s="31" t="s">
        <v>47</v>
      </c>
      <c r="J479" s="32" t="n">
        <v>1.0</v>
      </c>
      <c r="K479" s="33" t="n">
        <f>143400</f>
        <v>143400.0</v>
      </c>
      <c r="L479" s="34" t="s">
        <v>48</v>
      </c>
      <c r="M479" s="33" t="n">
        <f>146700</f>
        <v>146700.0</v>
      </c>
      <c r="N479" s="34" t="s">
        <v>68</v>
      </c>
      <c r="O479" s="33" t="n">
        <f>140700</f>
        <v>140700.0</v>
      </c>
      <c r="P479" s="34" t="s">
        <v>160</v>
      </c>
      <c r="Q479" s="33" t="n">
        <f>144900</f>
        <v>144900.0</v>
      </c>
      <c r="R479" s="34" t="s">
        <v>49</v>
      </c>
      <c r="S479" s="35" t="n">
        <f>143127.78</f>
        <v>143127.78</v>
      </c>
      <c r="T479" s="32" t="n">
        <f>88428</f>
        <v>88428.0</v>
      </c>
      <c r="U479" s="32" t="n">
        <f>21316</f>
        <v>21316.0</v>
      </c>
      <c r="V479" s="32" t="n">
        <f>12679434945</f>
        <v>1.2679434945E10</v>
      </c>
      <c r="W479" s="32" t="n">
        <f>3059566545</f>
        <v>3.059566545E9</v>
      </c>
      <c r="X479" s="36" t="n">
        <f>18</f>
        <v>18.0</v>
      </c>
    </row>
    <row r="480">
      <c r="A480" s="27" t="s">
        <v>42</v>
      </c>
      <c r="B480" s="27" t="s">
        <v>1487</v>
      </c>
      <c r="C480" s="27" t="s">
        <v>1488</v>
      </c>
      <c r="D480" s="27" t="s">
        <v>1489</v>
      </c>
      <c r="E480" s="28" t="s">
        <v>46</v>
      </c>
      <c r="F480" s="29" t="s">
        <v>46</v>
      </c>
      <c r="G480" s="30" t="s">
        <v>46</v>
      </c>
      <c r="H480" s="31"/>
      <c r="I480" s="31" t="s">
        <v>47</v>
      </c>
      <c r="J480" s="32" t="n">
        <v>1.0</v>
      </c>
      <c r="K480" s="33" t="n">
        <f>208200</f>
        <v>208200.0</v>
      </c>
      <c r="L480" s="34" t="s">
        <v>48</v>
      </c>
      <c r="M480" s="33" t="n">
        <f>215200</f>
        <v>215200.0</v>
      </c>
      <c r="N480" s="34" t="s">
        <v>203</v>
      </c>
      <c r="O480" s="33" t="n">
        <f>207100</f>
        <v>207100.0</v>
      </c>
      <c r="P480" s="34" t="s">
        <v>60</v>
      </c>
      <c r="Q480" s="33" t="n">
        <f>210500</f>
        <v>210500.0</v>
      </c>
      <c r="R480" s="34" t="s">
        <v>49</v>
      </c>
      <c r="S480" s="35" t="n">
        <f>211572.22</f>
        <v>211572.22</v>
      </c>
      <c r="T480" s="32" t="n">
        <f>51584</f>
        <v>51584.0</v>
      </c>
      <c r="U480" s="32" t="n">
        <f>11854</f>
        <v>11854.0</v>
      </c>
      <c r="V480" s="32" t="n">
        <f>10908266335</f>
        <v>1.0908266335E10</v>
      </c>
      <c r="W480" s="32" t="n">
        <f>2507989035</f>
        <v>2.507989035E9</v>
      </c>
      <c r="X480" s="36" t="n">
        <f>18</f>
        <v>18.0</v>
      </c>
    </row>
    <row r="481">
      <c r="A481" s="27" t="s">
        <v>42</v>
      </c>
      <c r="B481" s="27" t="s">
        <v>1490</v>
      </c>
      <c r="C481" s="27" t="s">
        <v>1491</v>
      </c>
      <c r="D481" s="27" t="s">
        <v>1492</v>
      </c>
      <c r="E481" s="28" t="s">
        <v>46</v>
      </c>
      <c r="F481" s="29" t="s">
        <v>46</v>
      </c>
      <c r="G481" s="30" t="s">
        <v>46</v>
      </c>
      <c r="H481" s="31"/>
      <c r="I481" s="31" t="s">
        <v>47</v>
      </c>
      <c r="J481" s="32" t="n">
        <v>1.0</v>
      </c>
      <c r="K481" s="33" t="n">
        <f>137000</f>
        <v>137000.0</v>
      </c>
      <c r="L481" s="34" t="s">
        <v>48</v>
      </c>
      <c r="M481" s="33" t="n">
        <f>143200</f>
        <v>143200.0</v>
      </c>
      <c r="N481" s="34" t="s">
        <v>68</v>
      </c>
      <c r="O481" s="33" t="n">
        <f>136000</f>
        <v>136000.0</v>
      </c>
      <c r="P481" s="34" t="s">
        <v>48</v>
      </c>
      <c r="Q481" s="33" t="n">
        <f>140300</f>
        <v>140300.0</v>
      </c>
      <c r="R481" s="34" t="s">
        <v>49</v>
      </c>
      <c r="S481" s="35" t="n">
        <f>139377.78</f>
        <v>139377.78</v>
      </c>
      <c r="T481" s="32" t="n">
        <f>64053</f>
        <v>64053.0</v>
      </c>
      <c r="U481" s="32" t="n">
        <f>11569</f>
        <v>11569.0</v>
      </c>
      <c r="V481" s="32" t="n">
        <f>8932956567</f>
        <v>8.932956567E9</v>
      </c>
      <c r="W481" s="32" t="n">
        <f>1613115267</f>
        <v>1.613115267E9</v>
      </c>
      <c r="X481" s="36" t="n">
        <f>18</f>
        <v>18.0</v>
      </c>
    </row>
    <row r="482">
      <c r="A482" s="27" t="s">
        <v>42</v>
      </c>
      <c r="B482" s="27" t="s">
        <v>1493</v>
      </c>
      <c r="C482" s="27" t="s">
        <v>1494</v>
      </c>
      <c r="D482" s="27" t="s">
        <v>1495</v>
      </c>
      <c r="E482" s="28" t="s">
        <v>46</v>
      </c>
      <c r="F482" s="29" t="s">
        <v>46</v>
      </c>
      <c r="G482" s="30" t="s">
        <v>46</v>
      </c>
      <c r="H482" s="31"/>
      <c r="I482" s="31" t="s">
        <v>47</v>
      </c>
      <c r="J482" s="32" t="n">
        <v>1.0</v>
      </c>
      <c r="K482" s="33" t="n">
        <f>180200</f>
        <v>180200.0</v>
      </c>
      <c r="L482" s="34" t="s">
        <v>48</v>
      </c>
      <c r="M482" s="33" t="n">
        <f>188900</f>
        <v>188900.0</v>
      </c>
      <c r="N482" s="34" t="s">
        <v>68</v>
      </c>
      <c r="O482" s="33" t="n">
        <f>178000</f>
        <v>178000.0</v>
      </c>
      <c r="P482" s="34" t="s">
        <v>48</v>
      </c>
      <c r="Q482" s="33" t="n">
        <f>185400</f>
        <v>185400.0</v>
      </c>
      <c r="R482" s="34" t="s">
        <v>49</v>
      </c>
      <c r="S482" s="35" t="n">
        <f>182844.44</f>
        <v>182844.44</v>
      </c>
      <c r="T482" s="32" t="n">
        <f>152739</f>
        <v>152739.0</v>
      </c>
      <c r="U482" s="32" t="n">
        <f>34215</f>
        <v>34215.0</v>
      </c>
      <c r="V482" s="32" t="n">
        <f>27969186691</f>
        <v>2.7969186691E10</v>
      </c>
      <c r="W482" s="32" t="n">
        <f>6287212991</f>
        <v>6.287212991E9</v>
      </c>
      <c r="X482" s="36" t="n">
        <f>18</f>
        <v>18.0</v>
      </c>
    </row>
    <row r="483">
      <c r="A483" s="27" t="s">
        <v>42</v>
      </c>
      <c r="B483" s="27" t="s">
        <v>1496</v>
      </c>
      <c r="C483" s="27" t="s">
        <v>1497</v>
      </c>
      <c r="D483" s="27" t="s">
        <v>1498</v>
      </c>
      <c r="E483" s="28" t="s">
        <v>46</v>
      </c>
      <c r="F483" s="29" t="s">
        <v>46</v>
      </c>
      <c r="G483" s="30" t="s">
        <v>46</v>
      </c>
      <c r="H483" s="31"/>
      <c r="I483" s="31" t="s">
        <v>47</v>
      </c>
      <c r="J483" s="32" t="n">
        <v>1.0</v>
      </c>
      <c r="K483" s="33" t="n">
        <f>78300</f>
        <v>78300.0</v>
      </c>
      <c r="L483" s="34" t="s">
        <v>48</v>
      </c>
      <c r="M483" s="33" t="n">
        <f>80100</f>
        <v>80100.0</v>
      </c>
      <c r="N483" s="34" t="s">
        <v>90</v>
      </c>
      <c r="O483" s="33" t="n">
        <f>77200</f>
        <v>77200.0</v>
      </c>
      <c r="P483" s="34" t="s">
        <v>105</v>
      </c>
      <c r="Q483" s="33" t="n">
        <f>77700</f>
        <v>77700.0</v>
      </c>
      <c r="R483" s="34" t="s">
        <v>49</v>
      </c>
      <c r="S483" s="35" t="n">
        <f>78333.33</f>
        <v>78333.33</v>
      </c>
      <c r="T483" s="32" t="n">
        <f>218119</f>
        <v>218119.0</v>
      </c>
      <c r="U483" s="32" t="n">
        <f>82249</f>
        <v>82249.0</v>
      </c>
      <c r="V483" s="32" t="n">
        <f>17104982936</f>
        <v>1.7104982936E10</v>
      </c>
      <c r="W483" s="32" t="n">
        <f>6448075436</f>
        <v>6.448075436E9</v>
      </c>
      <c r="X483" s="36" t="n">
        <f>18</f>
        <v>18.0</v>
      </c>
    </row>
    <row r="484">
      <c r="A484" s="27" t="s">
        <v>42</v>
      </c>
      <c r="B484" s="27" t="s">
        <v>1499</v>
      </c>
      <c r="C484" s="27" t="s">
        <v>1500</v>
      </c>
      <c r="D484" s="27" t="s">
        <v>1501</v>
      </c>
      <c r="E484" s="28" t="s">
        <v>46</v>
      </c>
      <c r="F484" s="29" t="s">
        <v>46</v>
      </c>
      <c r="G484" s="30" t="s">
        <v>46</v>
      </c>
      <c r="H484" s="31"/>
      <c r="I484" s="31" t="s">
        <v>47</v>
      </c>
      <c r="J484" s="32" t="n">
        <v>1.0</v>
      </c>
      <c r="K484" s="33" t="n">
        <f>66000</f>
        <v>66000.0</v>
      </c>
      <c r="L484" s="34" t="s">
        <v>48</v>
      </c>
      <c r="M484" s="33" t="n">
        <f>68000</f>
        <v>68000.0</v>
      </c>
      <c r="N484" s="34" t="s">
        <v>90</v>
      </c>
      <c r="O484" s="33" t="n">
        <f>65100</f>
        <v>65100.0</v>
      </c>
      <c r="P484" s="34" t="s">
        <v>60</v>
      </c>
      <c r="Q484" s="33" t="n">
        <f>66300</f>
        <v>66300.0</v>
      </c>
      <c r="R484" s="34" t="s">
        <v>49</v>
      </c>
      <c r="S484" s="35" t="n">
        <f>66838.89</f>
        <v>66838.89</v>
      </c>
      <c r="T484" s="32" t="n">
        <f>641799</f>
        <v>641799.0</v>
      </c>
      <c r="U484" s="32" t="n">
        <f>140768</f>
        <v>140768.0</v>
      </c>
      <c r="V484" s="32" t="n">
        <f>42890248293</f>
        <v>4.2890248293E10</v>
      </c>
      <c r="W484" s="32" t="n">
        <f>9406421593</f>
        <v>9.406421593E9</v>
      </c>
      <c r="X484" s="36" t="n">
        <f>18</f>
        <v>18.0</v>
      </c>
    </row>
    <row r="485">
      <c r="A485" s="27" t="s">
        <v>42</v>
      </c>
      <c r="B485" s="27" t="s">
        <v>1502</v>
      </c>
      <c r="C485" s="27" t="s">
        <v>1503</v>
      </c>
      <c r="D485" s="27" t="s">
        <v>1504</v>
      </c>
      <c r="E485" s="28" t="s">
        <v>46</v>
      </c>
      <c r="F485" s="29" t="s">
        <v>46</v>
      </c>
      <c r="G485" s="30" t="s">
        <v>46</v>
      </c>
      <c r="H485" s="31"/>
      <c r="I485" s="31" t="s">
        <v>47</v>
      </c>
      <c r="J485" s="32" t="n">
        <v>1.0</v>
      </c>
      <c r="K485" s="33" t="n">
        <f>91300</f>
        <v>91300.0</v>
      </c>
      <c r="L485" s="34" t="s">
        <v>48</v>
      </c>
      <c r="M485" s="33" t="n">
        <f>93300</f>
        <v>93300.0</v>
      </c>
      <c r="N485" s="34" t="s">
        <v>79</v>
      </c>
      <c r="O485" s="33" t="n">
        <f>89400</f>
        <v>89400.0</v>
      </c>
      <c r="P485" s="34" t="s">
        <v>49</v>
      </c>
      <c r="Q485" s="33" t="n">
        <f>89500</f>
        <v>89500.0</v>
      </c>
      <c r="R485" s="34" t="s">
        <v>49</v>
      </c>
      <c r="S485" s="35" t="n">
        <f>91283.33</f>
        <v>91283.33</v>
      </c>
      <c r="T485" s="32" t="n">
        <f>112003</f>
        <v>112003.0</v>
      </c>
      <c r="U485" s="32" t="n">
        <f>25598</f>
        <v>25598.0</v>
      </c>
      <c r="V485" s="32" t="n">
        <f>10223145838</f>
        <v>1.0223145838E10</v>
      </c>
      <c r="W485" s="32" t="n">
        <f>2340058038</f>
        <v>2.340058038E9</v>
      </c>
      <c r="X485" s="36" t="n">
        <f>18</f>
        <v>18.0</v>
      </c>
    </row>
    <row r="486">
      <c r="A486" s="27" t="s">
        <v>42</v>
      </c>
      <c r="B486" s="27" t="s">
        <v>1505</v>
      </c>
      <c r="C486" s="27" t="s">
        <v>1506</v>
      </c>
      <c r="D486" s="27" t="s">
        <v>1507</v>
      </c>
      <c r="E486" s="28" t="s">
        <v>46</v>
      </c>
      <c r="F486" s="29" t="s">
        <v>46</v>
      </c>
      <c r="G486" s="30" t="s">
        <v>46</v>
      </c>
      <c r="H486" s="31"/>
      <c r="I486" s="31" t="s">
        <v>47</v>
      </c>
      <c r="J486" s="32" t="n">
        <v>1.0</v>
      </c>
      <c r="K486" s="33" t="n">
        <f>153100</f>
        <v>153100.0</v>
      </c>
      <c r="L486" s="34" t="s">
        <v>48</v>
      </c>
      <c r="M486" s="33" t="n">
        <f>159600</f>
        <v>159600.0</v>
      </c>
      <c r="N486" s="34" t="s">
        <v>68</v>
      </c>
      <c r="O486" s="33" t="n">
        <f>151500</f>
        <v>151500.0</v>
      </c>
      <c r="P486" s="34" t="s">
        <v>48</v>
      </c>
      <c r="Q486" s="33" t="n">
        <f>156500</f>
        <v>156500.0</v>
      </c>
      <c r="R486" s="34" t="s">
        <v>49</v>
      </c>
      <c r="S486" s="35" t="n">
        <f>154938.89</f>
        <v>154938.89</v>
      </c>
      <c r="T486" s="32" t="n">
        <f>57818</f>
        <v>57818.0</v>
      </c>
      <c r="U486" s="32" t="n">
        <f>11871</f>
        <v>11871.0</v>
      </c>
      <c r="V486" s="32" t="n">
        <f>8974264254</f>
        <v>8.974264254E9</v>
      </c>
      <c r="W486" s="32" t="n">
        <f>1844886154</f>
        <v>1.844886154E9</v>
      </c>
      <c r="X486" s="36" t="n">
        <f>18</f>
        <v>18.0</v>
      </c>
    </row>
    <row r="487">
      <c r="A487" s="27" t="s">
        <v>42</v>
      </c>
      <c r="B487" s="27" t="s">
        <v>1508</v>
      </c>
      <c r="C487" s="27" t="s">
        <v>1509</v>
      </c>
      <c r="D487" s="27" t="s">
        <v>1510</v>
      </c>
      <c r="E487" s="28" t="s">
        <v>46</v>
      </c>
      <c r="F487" s="29" t="s">
        <v>46</v>
      </c>
      <c r="G487" s="30" t="s">
        <v>46</v>
      </c>
      <c r="H487" s="31"/>
      <c r="I487" s="31" t="s">
        <v>47</v>
      </c>
      <c r="J487" s="32" t="n">
        <v>1.0</v>
      </c>
      <c r="K487" s="33" t="n">
        <f>101200</f>
        <v>101200.0</v>
      </c>
      <c r="L487" s="34" t="s">
        <v>48</v>
      </c>
      <c r="M487" s="33" t="n">
        <f>104800</f>
        <v>104800.0</v>
      </c>
      <c r="N487" s="34" t="s">
        <v>49</v>
      </c>
      <c r="O487" s="33" t="n">
        <f>99800</f>
        <v>99800.0</v>
      </c>
      <c r="P487" s="34" t="s">
        <v>105</v>
      </c>
      <c r="Q487" s="33" t="n">
        <f>103800</f>
        <v>103800.0</v>
      </c>
      <c r="R487" s="34" t="s">
        <v>49</v>
      </c>
      <c r="S487" s="35" t="n">
        <f>101872.22</f>
        <v>101872.22</v>
      </c>
      <c r="T487" s="32" t="n">
        <f>131811</f>
        <v>131811.0</v>
      </c>
      <c r="U487" s="32" t="n">
        <f>29344</f>
        <v>29344.0</v>
      </c>
      <c r="V487" s="32" t="n">
        <f>13440330417</f>
        <v>1.3440330417E10</v>
      </c>
      <c r="W487" s="32" t="n">
        <f>2995962217</f>
        <v>2.995962217E9</v>
      </c>
      <c r="X487" s="36" t="n">
        <f>18</f>
        <v>18.0</v>
      </c>
    </row>
    <row r="488">
      <c r="A488" s="27" t="s">
        <v>42</v>
      </c>
      <c r="B488" s="27" t="s">
        <v>1511</v>
      </c>
      <c r="C488" s="27" t="s">
        <v>1512</v>
      </c>
      <c r="D488" s="27" t="s">
        <v>1513</v>
      </c>
      <c r="E488" s="28" t="s">
        <v>46</v>
      </c>
      <c r="F488" s="29" t="s">
        <v>46</v>
      </c>
      <c r="G488" s="30" t="s">
        <v>46</v>
      </c>
      <c r="H488" s="31"/>
      <c r="I488" s="31" t="s">
        <v>47</v>
      </c>
      <c r="J488" s="32" t="n">
        <v>1.0</v>
      </c>
      <c r="K488" s="33" t="n">
        <f>187400</f>
        <v>187400.0</v>
      </c>
      <c r="L488" s="34" t="s">
        <v>48</v>
      </c>
      <c r="M488" s="33" t="n">
        <f>190200</f>
        <v>190200.0</v>
      </c>
      <c r="N488" s="34" t="s">
        <v>83</v>
      </c>
      <c r="O488" s="33" t="n">
        <f>183400</f>
        <v>183400.0</v>
      </c>
      <c r="P488" s="34" t="s">
        <v>105</v>
      </c>
      <c r="Q488" s="33" t="n">
        <f>186000</f>
        <v>186000.0</v>
      </c>
      <c r="R488" s="34" t="s">
        <v>49</v>
      </c>
      <c r="S488" s="35" t="n">
        <f>186838.89</f>
        <v>186838.89</v>
      </c>
      <c r="T488" s="32" t="n">
        <f>50471</f>
        <v>50471.0</v>
      </c>
      <c r="U488" s="32" t="n">
        <f>14728</f>
        <v>14728.0</v>
      </c>
      <c r="V488" s="32" t="n">
        <f>9425894169</f>
        <v>9.425894169E9</v>
      </c>
      <c r="W488" s="32" t="n">
        <f>2747292769</f>
        <v>2.747292769E9</v>
      </c>
      <c r="X488" s="36" t="n">
        <f>18</f>
        <v>18.0</v>
      </c>
    </row>
    <row r="489">
      <c r="A489" s="27" t="s">
        <v>42</v>
      </c>
      <c r="B489" s="27" t="s">
        <v>1514</v>
      </c>
      <c r="C489" s="27" t="s">
        <v>1515</v>
      </c>
      <c r="D489" s="27" t="s">
        <v>1516</v>
      </c>
      <c r="E489" s="28" t="s">
        <v>46</v>
      </c>
      <c r="F489" s="29" t="s">
        <v>46</v>
      </c>
      <c r="G489" s="30" t="s">
        <v>46</v>
      </c>
      <c r="H489" s="31"/>
      <c r="I489" s="31" t="s">
        <v>47</v>
      </c>
      <c r="J489" s="32" t="n">
        <v>1.0</v>
      </c>
      <c r="K489" s="33" t="n">
        <f>169100</f>
        <v>169100.0</v>
      </c>
      <c r="L489" s="34" t="s">
        <v>48</v>
      </c>
      <c r="M489" s="33" t="n">
        <f>173400</f>
        <v>173400.0</v>
      </c>
      <c r="N489" s="34" t="s">
        <v>68</v>
      </c>
      <c r="O489" s="33" t="n">
        <f>166800</f>
        <v>166800.0</v>
      </c>
      <c r="P489" s="34" t="s">
        <v>48</v>
      </c>
      <c r="Q489" s="33" t="n">
        <f>170000</f>
        <v>170000.0</v>
      </c>
      <c r="R489" s="34" t="s">
        <v>49</v>
      </c>
      <c r="S489" s="35" t="n">
        <f>169288.89</f>
        <v>169288.89</v>
      </c>
      <c r="T489" s="32" t="n">
        <f>254117</f>
        <v>254117.0</v>
      </c>
      <c r="U489" s="32" t="n">
        <f>71626</f>
        <v>71626.0</v>
      </c>
      <c r="V489" s="32" t="n">
        <f>43012441007</f>
        <v>4.3012441007E10</v>
      </c>
      <c r="W489" s="32" t="n">
        <f>12114836907</f>
        <v>1.2114836907E10</v>
      </c>
      <c r="X489" s="36" t="n">
        <f>18</f>
        <v>18.0</v>
      </c>
    </row>
    <row r="490">
      <c r="A490" s="27" t="s">
        <v>42</v>
      </c>
      <c r="B490" s="27" t="s">
        <v>1517</v>
      </c>
      <c r="C490" s="27" t="s">
        <v>1518</v>
      </c>
      <c r="D490" s="27" t="s">
        <v>1519</v>
      </c>
      <c r="E490" s="28" t="s">
        <v>46</v>
      </c>
      <c r="F490" s="29" t="s">
        <v>46</v>
      </c>
      <c r="G490" s="30" t="s">
        <v>46</v>
      </c>
      <c r="H490" s="31"/>
      <c r="I490" s="31" t="s">
        <v>47</v>
      </c>
      <c r="J490" s="32" t="n">
        <v>1.0</v>
      </c>
      <c r="K490" s="33" t="n">
        <f>97000</f>
        <v>97000.0</v>
      </c>
      <c r="L490" s="34" t="s">
        <v>48</v>
      </c>
      <c r="M490" s="33" t="n">
        <f>100100</f>
        <v>100100.0</v>
      </c>
      <c r="N490" s="34" t="s">
        <v>68</v>
      </c>
      <c r="O490" s="33" t="n">
        <f>96100</f>
        <v>96100.0</v>
      </c>
      <c r="P490" s="34" t="s">
        <v>105</v>
      </c>
      <c r="Q490" s="33" t="n">
        <f>98900</f>
        <v>98900.0</v>
      </c>
      <c r="R490" s="34" t="s">
        <v>49</v>
      </c>
      <c r="S490" s="35" t="n">
        <f>98305.56</f>
        <v>98305.56</v>
      </c>
      <c r="T490" s="32" t="n">
        <f>61281</f>
        <v>61281.0</v>
      </c>
      <c r="U490" s="32" t="n">
        <f>16489</f>
        <v>16489.0</v>
      </c>
      <c r="V490" s="32" t="n">
        <f>6023157661</f>
        <v>6.023157661E9</v>
      </c>
      <c r="W490" s="32" t="n">
        <f>1619652661</f>
        <v>1.619652661E9</v>
      </c>
      <c r="X490" s="36" t="n">
        <f>18</f>
        <v>18.0</v>
      </c>
    </row>
    <row r="491">
      <c r="A491" s="27" t="s">
        <v>42</v>
      </c>
      <c r="B491" s="27" t="s">
        <v>1520</v>
      </c>
      <c r="C491" s="27" t="s">
        <v>1521</v>
      </c>
      <c r="D491" s="27" t="s">
        <v>1522</v>
      </c>
      <c r="E491" s="28" t="s">
        <v>46</v>
      </c>
      <c r="F491" s="29" t="s">
        <v>46</v>
      </c>
      <c r="G491" s="30" t="s">
        <v>46</v>
      </c>
      <c r="H491" s="31"/>
      <c r="I491" s="31" t="s">
        <v>47</v>
      </c>
      <c r="J491" s="32" t="n">
        <v>1.0</v>
      </c>
      <c r="K491" s="33" t="n">
        <f>370000</f>
        <v>370000.0</v>
      </c>
      <c r="L491" s="34" t="s">
        <v>48</v>
      </c>
      <c r="M491" s="33" t="n">
        <f>375500</f>
        <v>375500.0</v>
      </c>
      <c r="N491" s="34" t="s">
        <v>101</v>
      </c>
      <c r="O491" s="33" t="n">
        <f>362000</f>
        <v>362000.0</v>
      </c>
      <c r="P491" s="34" t="s">
        <v>258</v>
      </c>
      <c r="Q491" s="33" t="n">
        <f>365000</f>
        <v>365000.0</v>
      </c>
      <c r="R491" s="34" t="s">
        <v>49</v>
      </c>
      <c r="S491" s="35" t="n">
        <f>368694.44</f>
        <v>368694.44</v>
      </c>
      <c r="T491" s="32" t="n">
        <f>33449</f>
        <v>33449.0</v>
      </c>
      <c r="U491" s="32" t="n">
        <f>7617</f>
        <v>7617.0</v>
      </c>
      <c r="V491" s="32" t="n">
        <f>12327454614</f>
        <v>1.2327454614E10</v>
      </c>
      <c r="W491" s="32" t="n">
        <f>2809007614</f>
        <v>2.809007614E9</v>
      </c>
      <c r="X491" s="36" t="n">
        <f>18</f>
        <v>18.0</v>
      </c>
    </row>
    <row r="492">
      <c r="A492" s="27" t="s">
        <v>42</v>
      </c>
      <c r="B492" s="27" t="s">
        <v>1523</v>
      </c>
      <c r="C492" s="27" t="s">
        <v>1524</v>
      </c>
      <c r="D492" s="27" t="s">
        <v>1525</v>
      </c>
      <c r="E492" s="28" t="s">
        <v>46</v>
      </c>
      <c r="F492" s="29" t="s">
        <v>46</v>
      </c>
      <c r="G492" s="30" t="s">
        <v>46</v>
      </c>
      <c r="H492" s="31"/>
      <c r="I492" s="31" t="s">
        <v>47</v>
      </c>
      <c r="J492" s="32" t="n">
        <v>1.0</v>
      </c>
      <c r="K492" s="33" t="n">
        <f>164500</f>
        <v>164500.0</v>
      </c>
      <c r="L492" s="34" t="s">
        <v>48</v>
      </c>
      <c r="M492" s="33" t="n">
        <f>168000</f>
        <v>168000.0</v>
      </c>
      <c r="N492" s="34" t="s">
        <v>101</v>
      </c>
      <c r="O492" s="33" t="n">
        <f>158300</f>
        <v>158300.0</v>
      </c>
      <c r="P492" s="34" t="s">
        <v>258</v>
      </c>
      <c r="Q492" s="33" t="n">
        <f>158700</f>
        <v>158700.0</v>
      </c>
      <c r="R492" s="34" t="s">
        <v>49</v>
      </c>
      <c r="S492" s="35" t="n">
        <f>162883.33</f>
        <v>162883.33</v>
      </c>
      <c r="T492" s="32" t="n">
        <f>32449</f>
        <v>32449.0</v>
      </c>
      <c r="U492" s="32" t="n">
        <f>4766</f>
        <v>4766.0</v>
      </c>
      <c r="V492" s="32" t="n">
        <f>5281684402</f>
        <v>5.281684402E9</v>
      </c>
      <c r="W492" s="32" t="n">
        <f>776979202</f>
        <v>7.76979202E8</v>
      </c>
      <c r="X492" s="36" t="n">
        <f>18</f>
        <v>18.0</v>
      </c>
    </row>
    <row r="493">
      <c r="A493" s="27" t="s">
        <v>42</v>
      </c>
      <c r="B493" s="27" t="s">
        <v>1526</v>
      </c>
      <c r="C493" s="27" t="s">
        <v>1527</v>
      </c>
      <c r="D493" s="27" t="s">
        <v>1528</v>
      </c>
      <c r="E493" s="28" t="s">
        <v>46</v>
      </c>
      <c r="F493" s="29" t="s">
        <v>46</v>
      </c>
      <c r="G493" s="30" t="s">
        <v>46</v>
      </c>
      <c r="H493" s="31"/>
      <c r="I493" s="31" t="s">
        <v>413</v>
      </c>
      <c r="J493" s="32" t="n">
        <v>1.0</v>
      </c>
      <c r="K493" s="33" t="n">
        <f>209600</f>
        <v>209600.0</v>
      </c>
      <c r="L493" s="34" t="s">
        <v>48</v>
      </c>
      <c r="M493" s="33" t="n">
        <f>228900</f>
        <v>228900.0</v>
      </c>
      <c r="N493" s="34" t="s">
        <v>69</v>
      </c>
      <c r="O493" s="33" t="n">
        <f>207700</f>
        <v>207700.0</v>
      </c>
      <c r="P493" s="34" t="s">
        <v>105</v>
      </c>
      <c r="Q493" s="33" t="n">
        <f>211100</f>
        <v>211100.0</v>
      </c>
      <c r="R493" s="34" t="s">
        <v>49</v>
      </c>
      <c r="S493" s="35" t="n">
        <f>211916.67</f>
        <v>211916.67</v>
      </c>
      <c r="T493" s="32" t="n">
        <f>12975</f>
        <v>12975.0</v>
      </c>
      <c r="U493" s="32" t="n">
        <f>1651</f>
        <v>1651.0</v>
      </c>
      <c r="V493" s="32" t="n">
        <f>2753180416</f>
        <v>2.753180416E9</v>
      </c>
      <c r="W493" s="32" t="n">
        <f>349905216</f>
        <v>3.49905216E8</v>
      </c>
      <c r="X493" s="36" t="n">
        <f>18</f>
        <v>18.0</v>
      </c>
    </row>
    <row r="494">
      <c r="A494" s="27" t="s">
        <v>42</v>
      </c>
      <c r="B494" s="27" t="s">
        <v>1529</v>
      </c>
      <c r="C494" s="27" t="s">
        <v>1530</v>
      </c>
      <c r="D494" s="27" t="s">
        <v>1531</v>
      </c>
      <c r="E494" s="28" t="s">
        <v>46</v>
      </c>
      <c r="F494" s="29" t="s">
        <v>46</v>
      </c>
      <c r="G494" s="30" t="s">
        <v>46</v>
      </c>
      <c r="H494" s="31"/>
      <c r="I494" s="31" t="s">
        <v>47</v>
      </c>
      <c r="J494" s="32" t="n">
        <v>1.0</v>
      </c>
      <c r="K494" s="33" t="n">
        <f>135600</f>
        <v>135600.0</v>
      </c>
      <c r="L494" s="34" t="s">
        <v>48</v>
      </c>
      <c r="M494" s="33" t="n">
        <f>137800</f>
        <v>137800.0</v>
      </c>
      <c r="N494" s="34" t="s">
        <v>83</v>
      </c>
      <c r="O494" s="33" t="n">
        <f>132900</f>
        <v>132900.0</v>
      </c>
      <c r="P494" s="34" t="s">
        <v>160</v>
      </c>
      <c r="Q494" s="33" t="n">
        <f>133000</f>
        <v>133000.0</v>
      </c>
      <c r="R494" s="34" t="s">
        <v>49</v>
      </c>
      <c r="S494" s="35" t="n">
        <f>135355.56</f>
        <v>135355.56</v>
      </c>
      <c r="T494" s="32" t="n">
        <f>354898</f>
        <v>354898.0</v>
      </c>
      <c r="U494" s="32" t="n">
        <f>120796</f>
        <v>120796.0</v>
      </c>
      <c r="V494" s="32" t="n">
        <f>48020377723</f>
        <v>4.8020377723E10</v>
      </c>
      <c r="W494" s="32" t="n">
        <f>16326214223</f>
        <v>1.6326214223E10</v>
      </c>
      <c r="X494" s="36" t="n">
        <f>18</f>
        <v>18.0</v>
      </c>
    </row>
    <row r="495">
      <c r="A495" s="27" t="s">
        <v>42</v>
      </c>
      <c r="B495" s="27" t="s">
        <v>1532</v>
      </c>
      <c r="C495" s="27" t="s">
        <v>1533</v>
      </c>
      <c r="D495" s="27" t="s">
        <v>1534</v>
      </c>
      <c r="E495" s="28" t="s">
        <v>46</v>
      </c>
      <c r="F495" s="29" t="s">
        <v>46</v>
      </c>
      <c r="G495" s="30" t="s">
        <v>46</v>
      </c>
      <c r="H495" s="31"/>
      <c r="I495" s="31" t="s">
        <v>47</v>
      </c>
      <c r="J495" s="32" t="n">
        <v>1.0</v>
      </c>
      <c r="K495" s="33" t="n">
        <f>83700</f>
        <v>83700.0</v>
      </c>
      <c r="L495" s="34" t="s">
        <v>48</v>
      </c>
      <c r="M495" s="33" t="n">
        <f>87200</f>
        <v>87200.0</v>
      </c>
      <c r="N495" s="34" t="s">
        <v>90</v>
      </c>
      <c r="O495" s="33" t="n">
        <f>82600</f>
        <v>82600.0</v>
      </c>
      <c r="P495" s="34" t="s">
        <v>48</v>
      </c>
      <c r="Q495" s="33" t="n">
        <f>84800</f>
        <v>84800.0</v>
      </c>
      <c r="R495" s="34" t="s">
        <v>49</v>
      </c>
      <c r="S495" s="35" t="n">
        <f>85466.67</f>
        <v>85466.67</v>
      </c>
      <c r="T495" s="32" t="n">
        <f>407642</f>
        <v>407642.0</v>
      </c>
      <c r="U495" s="32" t="n">
        <f>82874</f>
        <v>82874.0</v>
      </c>
      <c r="V495" s="32" t="n">
        <f>34841557896</f>
        <v>3.4841557896E10</v>
      </c>
      <c r="W495" s="32" t="n">
        <f>7079987496</f>
        <v>7.079987496E9</v>
      </c>
      <c r="X495" s="36" t="n">
        <f>18</f>
        <v>18.0</v>
      </c>
    </row>
    <row r="496">
      <c r="A496" s="27" t="s">
        <v>42</v>
      </c>
      <c r="B496" s="27" t="s">
        <v>1535</v>
      </c>
      <c r="C496" s="27" t="s">
        <v>1536</v>
      </c>
      <c r="D496" s="27" t="s">
        <v>1537</v>
      </c>
      <c r="E496" s="28" t="s">
        <v>46</v>
      </c>
      <c r="F496" s="29" t="s">
        <v>46</v>
      </c>
      <c r="G496" s="30" t="s">
        <v>46</v>
      </c>
      <c r="H496" s="31"/>
      <c r="I496" s="31" t="s">
        <v>47</v>
      </c>
      <c r="J496" s="32" t="n">
        <v>1.0</v>
      </c>
      <c r="K496" s="33" t="n">
        <f>115300</f>
        <v>115300.0</v>
      </c>
      <c r="L496" s="34" t="s">
        <v>48</v>
      </c>
      <c r="M496" s="33" t="n">
        <f>117900</f>
        <v>117900.0</v>
      </c>
      <c r="N496" s="34" t="s">
        <v>68</v>
      </c>
      <c r="O496" s="33" t="n">
        <f>114100</f>
        <v>114100.0</v>
      </c>
      <c r="P496" s="34" t="s">
        <v>105</v>
      </c>
      <c r="Q496" s="33" t="n">
        <f>115900</f>
        <v>115900.0</v>
      </c>
      <c r="R496" s="34" t="s">
        <v>49</v>
      </c>
      <c r="S496" s="35" t="n">
        <f>115716.67</f>
        <v>115716.67</v>
      </c>
      <c r="T496" s="32" t="n">
        <f>101671</f>
        <v>101671.0</v>
      </c>
      <c r="U496" s="32" t="n">
        <f>22854</f>
        <v>22854.0</v>
      </c>
      <c r="V496" s="32" t="n">
        <f>11761414635</f>
        <v>1.1761414635E10</v>
      </c>
      <c r="W496" s="32" t="n">
        <f>2645798635</f>
        <v>2.645798635E9</v>
      </c>
      <c r="X496" s="36" t="n">
        <f>18</f>
        <v>18.0</v>
      </c>
    </row>
    <row r="497">
      <c r="A497" s="27" t="s">
        <v>42</v>
      </c>
      <c r="B497" s="27" t="s">
        <v>1538</v>
      </c>
      <c r="C497" s="27" t="s">
        <v>1539</v>
      </c>
      <c r="D497" s="27" t="s">
        <v>1540</v>
      </c>
      <c r="E497" s="28" t="s">
        <v>46</v>
      </c>
      <c r="F497" s="29" t="s">
        <v>46</v>
      </c>
      <c r="G497" s="30" t="s">
        <v>46</v>
      </c>
      <c r="H497" s="31"/>
      <c r="I497" s="31" t="s">
        <v>47</v>
      </c>
      <c r="J497" s="32" t="n">
        <v>1.0</v>
      </c>
      <c r="K497" s="33" t="n">
        <f>150200</f>
        <v>150200.0</v>
      </c>
      <c r="L497" s="34" t="s">
        <v>48</v>
      </c>
      <c r="M497" s="33" t="n">
        <f>156500</f>
        <v>156500.0</v>
      </c>
      <c r="N497" s="34" t="s">
        <v>68</v>
      </c>
      <c r="O497" s="33" t="n">
        <f>149000</f>
        <v>149000.0</v>
      </c>
      <c r="P497" s="34" t="s">
        <v>105</v>
      </c>
      <c r="Q497" s="33" t="n">
        <f>152600</f>
        <v>152600.0</v>
      </c>
      <c r="R497" s="34" t="s">
        <v>49</v>
      </c>
      <c r="S497" s="35" t="n">
        <f>151716.67</f>
        <v>151716.67</v>
      </c>
      <c r="T497" s="32" t="n">
        <f>68195</f>
        <v>68195.0</v>
      </c>
      <c r="U497" s="32" t="n">
        <f>17481</f>
        <v>17481.0</v>
      </c>
      <c r="V497" s="32" t="n">
        <f>10351694692</f>
        <v>1.0351694692E10</v>
      </c>
      <c r="W497" s="32" t="n">
        <f>2653819792</f>
        <v>2.653819792E9</v>
      </c>
      <c r="X497" s="36" t="n">
        <f>18</f>
        <v>18.0</v>
      </c>
    </row>
    <row r="498">
      <c r="A498" s="27" t="s">
        <v>42</v>
      </c>
      <c r="B498" s="27" t="s">
        <v>1541</v>
      </c>
      <c r="C498" s="27" t="s">
        <v>1542</v>
      </c>
      <c r="D498" s="27" t="s">
        <v>1543</v>
      </c>
      <c r="E498" s="28" t="s">
        <v>46</v>
      </c>
      <c r="F498" s="29" t="s">
        <v>46</v>
      </c>
      <c r="G498" s="30" t="s">
        <v>46</v>
      </c>
      <c r="H498" s="31"/>
      <c r="I498" s="31" t="s">
        <v>413</v>
      </c>
      <c r="J498" s="32" t="n">
        <v>1.0</v>
      </c>
      <c r="K498" s="33" t="n">
        <f>57300</f>
        <v>57300.0</v>
      </c>
      <c r="L498" s="34" t="s">
        <v>48</v>
      </c>
      <c r="M498" s="33" t="n">
        <f>60500</f>
        <v>60500.0</v>
      </c>
      <c r="N498" s="34" t="s">
        <v>49</v>
      </c>
      <c r="O498" s="33" t="n">
        <f>55000</f>
        <v>55000.0</v>
      </c>
      <c r="P498" s="34" t="s">
        <v>79</v>
      </c>
      <c r="Q498" s="33" t="n">
        <f>59900</f>
        <v>59900.0</v>
      </c>
      <c r="R498" s="34" t="s">
        <v>49</v>
      </c>
      <c r="S498" s="35" t="n">
        <f>57011.11</f>
        <v>57011.11</v>
      </c>
      <c r="T498" s="32" t="n">
        <f>5578</f>
        <v>5578.0</v>
      </c>
      <c r="U498" s="32" t="n">
        <f>6</f>
        <v>6.0</v>
      </c>
      <c r="V498" s="32" t="n">
        <f>316949500</f>
        <v>3.169495E8</v>
      </c>
      <c r="W498" s="32" t="n">
        <f>359400</f>
        <v>359400.0</v>
      </c>
      <c r="X498" s="36" t="n">
        <f>18</f>
        <v>18.0</v>
      </c>
    </row>
    <row r="499">
      <c r="A499" s="27" t="s">
        <v>42</v>
      </c>
      <c r="B499" s="27" t="s">
        <v>1544</v>
      </c>
      <c r="C499" s="27" t="s">
        <v>1545</v>
      </c>
      <c r="D499" s="27" t="s">
        <v>1546</v>
      </c>
      <c r="E499" s="28" t="s">
        <v>46</v>
      </c>
      <c r="F499" s="29" t="s">
        <v>46</v>
      </c>
      <c r="G499" s="30" t="s">
        <v>46</v>
      </c>
      <c r="H499" s="31"/>
      <c r="I499" s="31" t="s">
        <v>413</v>
      </c>
      <c r="J499" s="32" t="n">
        <v>1.0</v>
      </c>
      <c r="K499" s="33" t="n">
        <f>91700</f>
        <v>91700.0</v>
      </c>
      <c r="L499" s="34" t="s">
        <v>48</v>
      </c>
      <c r="M499" s="33" t="n">
        <f>95900</f>
        <v>95900.0</v>
      </c>
      <c r="N499" s="34" t="s">
        <v>68</v>
      </c>
      <c r="O499" s="33" t="n">
        <f>89700</f>
        <v>89700.0</v>
      </c>
      <c r="P499" s="34" t="s">
        <v>585</v>
      </c>
      <c r="Q499" s="33" t="n">
        <f>92000</f>
        <v>92000.0</v>
      </c>
      <c r="R499" s="34" t="s">
        <v>49</v>
      </c>
      <c r="S499" s="35" t="n">
        <f>91438.89</f>
        <v>91438.89</v>
      </c>
      <c r="T499" s="32" t="n">
        <f>19151</f>
        <v>19151.0</v>
      </c>
      <c r="U499" s="32" t="n">
        <f>1109</f>
        <v>1109.0</v>
      </c>
      <c r="V499" s="32" t="n">
        <f>1755759885</f>
        <v>1.755759885E9</v>
      </c>
      <c r="W499" s="32" t="n">
        <f>99739685</f>
        <v>9.9739685E7</v>
      </c>
      <c r="X499" s="36" t="n">
        <f>18</f>
        <v>18.0</v>
      </c>
    </row>
    <row r="500">
      <c r="A500" s="27" t="s">
        <v>42</v>
      </c>
      <c r="B500" s="27" t="s">
        <v>1547</v>
      </c>
      <c r="C500" s="27" t="s">
        <v>1548</v>
      </c>
      <c r="D500" s="27" t="s">
        <v>1549</v>
      </c>
      <c r="E500" s="28" t="s">
        <v>46</v>
      </c>
      <c r="F500" s="29" t="s">
        <v>46</v>
      </c>
      <c r="G500" s="30" t="s">
        <v>46</v>
      </c>
      <c r="H500" s="31"/>
      <c r="I500" s="31" t="s">
        <v>413</v>
      </c>
      <c r="J500" s="32" t="n">
        <v>1.0</v>
      </c>
      <c r="K500" s="33" t="n">
        <f>50000</f>
        <v>50000.0</v>
      </c>
      <c r="L500" s="34" t="s">
        <v>48</v>
      </c>
      <c r="M500" s="33" t="n">
        <f>53600</f>
        <v>53600.0</v>
      </c>
      <c r="N500" s="34" t="s">
        <v>49</v>
      </c>
      <c r="O500" s="33" t="n">
        <f>49850</f>
        <v>49850.0</v>
      </c>
      <c r="P500" s="34" t="s">
        <v>48</v>
      </c>
      <c r="Q500" s="33" t="n">
        <f>53300</f>
        <v>53300.0</v>
      </c>
      <c r="R500" s="34" t="s">
        <v>49</v>
      </c>
      <c r="S500" s="35" t="n">
        <f>51008.33</f>
        <v>51008.33</v>
      </c>
      <c r="T500" s="32" t="n">
        <f>7173</f>
        <v>7173.0</v>
      </c>
      <c r="U500" s="32" t="n">
        <f>300</f>
        <v>300.0</v>
      </c>
      <c r="V500" s="32" t="n">
        <f>366221750</f>
        <v>3.6622175E8</v>
      </c>
      <c r="W500" s="32" t="n">
        <f>15114900</f>
        <v>1.51149E7</v>
      </c>
      <c r="X500" s="36" t="n">
        <f>18</f>
        <v>18.0</v>
      </c>
    </row>
    <row r="501">
      <c r="A501" s="27" t="s">
        <v>42</v>
      </c>
      <c r="B501" s="27" t="s">
        <v>1550</v>
      </c>
      <c r="C501" s="27" t="s">
        <v>1551</v>
      </c>
      <c r="D501" s="27" t="s">
        <v>1552</v>
      </c>
      <c r="E501" s="28" t="s">
        <v>46</v>
      </c>
      <c r="F501" s="29" t="s">
        <v>46</v>
      </c>
      <c r="G501" s="30" t="s">
        <v>46</v>
      </c>
      <c r="H501" s="31"/>
      <c r="I501" s="31" t="s">
        <v>47</v>
      </c>
      <c r="J501" s="32" t="n">
        <v>1.0</v>
      </c>
      <c r="K501" s="33" t="n">
        <f>56800</f>
        <v>56800.0</v>
      </c>
      <c r="L501" s="34" t="s">
        <v>48</v>
      </c>
      <c r="M501" s="33" t="n">
        <f>59600</f>
        <v>59600.0</v>
      </c>
      <c r="N501" s="34" t="s">
        <v>68</v>
      </c>
      <c r="O501" s="33" t="n">
        <f>56300</f>
        <v>56300.0</v>
      </c>
      <c r="P501" s="34" t="s">
        <v>105</v>
      </c>
      <c r="Q501" s="33" t="n">
        <f>57900</f>
        <v>57900.0</v>
      </c>
      <c r="R501" s="34" t="s">
        <v>49</v>
      </c>
      <c r="S501" s="35" t="n">
        <f>57411.11</f>
        <v>57411.11</v>
      </c>
      <c r="T501" s="32" t="n">
        <f>23821</f>
        <v>23821.0</v>
      </c>
      <c r="U501" s="32" t="n">
        <f>2103</f>
        <v>2103.0</v>
      </c>
      <c r="V501" s="32" t="n">
        <f>1372605640</f>
        <v>1.37260564E9</v>
      </c>
      <c r="W501" s="32" t="n">
        <f>121325640</f>
        <v>1.2132564E8</v>
      </c>
      <c r="X501" s="36" t="n">
        <f>18</f>
        <v>18.0</v>
      </c>
    </row>
    <row r="502">
      <c r="A502" s="27" t="s">
        <v>42</v>
      </c>
      <c r="B502" s="27" t="s">
        <v>1553</v>
      </c>
      <c r="C502" s="27" t="s">
        <v>1554</v>
      </c>
      <c r="D502" s="27" t="s">
        <v>1555</v>
      </c>
      <c r="E502" s="28" t="s">
        <v>46</v>
      </c>
      <c r="F502" s="29" t="s">
        <v>46</v>
      </c>
      <c r="G502" s="30" t="s">
        <v>46</v>
      </c>
      <c r="H502" s="31" t="s">
        <v>1174</v>
      </c>
      <c r="I502" s="31" t="s">
        <v>413</v>
      </c>
      <c r="J502" s="32" t="n">
        <v>1.0</v>
      </c>
      <c r="K502" s="33" t="n">
        <f>66400</f>
        <v>66400.0</v>
      </c>
      <c r="L502" s="34" t="s">
        <v>48</v>
      </c>
      <c r="M502" s="33" t="n">
        <f>66600</f>
        <v>66600.0</v>
      </c>
      <c r="N502" s="34" t="s">
        <v>79</v>
      </c>
      <c r="O502" s="33" t="n">
        <f>66400</f>
        <v>66400.0</v>
      </c>
      <c r="P502" s="34" t="s">
        <v>48</v>
      </c>
      <c r="Q502" s="33" t="n">
        <f>66400</f>
        <v>66400.0</v>
      </c>
      <c r="R502" s="34" t="s">
        <v>49</v>
      </c>
      <c r="S502" s="35" t="n">
        <f>66444.44</f>
        <v>66444.44</v>
      </c>
      <c r="T502" s="32" t="n">
        <f>26568</f>
        <v>26568.0</v>
      </c>
      <c r="U502" s="32" t="n">
        <f>460</f>
        <v>460.0</v>
      </c>
      <c r="V502" s="32" t="n">
        <f>1765996079</f>
        <v>1.765996079E9</v>
      </c>
      <c r="W502" s="32" t="n">
        <f>30562679</f>
        <v>3.0562679E7</v>
      </c>
      <c r="X502" s="36" t="n">
        <f>18</f>
        <v>18.0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2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