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4" sheetId="1" r:id="rId1"/>
  </sheets>
  <definedNames>
    <definedName name="_xlnm.Print_Titles" localSheetId="0">BO_EM0004!$1:$6</definedName>
  </definedNames>
  <calcPr calcId="145621"/>
</workbook>
</file>

<file path=xl/sharedStrings.xml><?xml version="1.0" encoding="utf-8"?>
<sst xmlns="http://schemas.openxmlformats.org/spreadsheetml/2006/main" count="6274" uniqueCount="1629">
  <si>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</si>
  <si>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sb="0" eb="1">
      <t>トウ</t>
    </rPh>
    <rPh sb="2" eb="3">
      <t>シン</t>
    </rPh>
    <rPh sb="4" eb="5">
      <t>トウ</t>
    </rPh>
    <rPh sb="6" eb="7">
      <t>ソウ</t>
    </rPh>
    <rPh sb="8" eb="9">
      <t>バ</t>
    </rPh>
    <rPh sb="10" eb="11">
      <t>ヒョウ</t>
    </rPh>
    <phoneticPr fontId="3"/>
  </si>
  <si>
    <t>Investment Trust Quotations</t>
    <phoneticPr fontId="3"/>
  </si>
  <si>
    <t>年月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</si>
  <si>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</si>
  <si>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</si>
  <si>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</si>
  <si>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</si>
  <si>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</si>
  <si>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sb="0" eb="2">
      <t>ヒヅケ</t>
    </rPh>
    <phoneticPr fontId="3"/>
  </si>
  <si>
    <t>区分</t>
  </si>
  <si>
    <t>信用・貸借</t>
    <rPh sb="0" eb="2">
      <t>シンヨウ</t>
    </rPh>
    <rPh sb="3" eb="5">
      <t>タイシャク</t>
    </rPh>
    <phoneticPr fontId="3"/>
  </si>
  <si>
    <t>売買単位</t>
    <rPh sb="0" eb="2">
      <t>バイバイ</t>
    </rPh>
    <rPh sb="2" eb="4">
      <t>タンイ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</si>
  <si>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</si>
  <si>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</si>
  <si>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</si>
  <si>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</si>
  <si>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</si>
  <si>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売買高</t>
    <rPh sb="0" eb="3">
      <t>バイバイダカ</t>
    </rPh>
    <phoneticPr fontId="3"/>
  </si>
  <si>
    <t>うちToSTNeT売買高</t>
  </si>
  <si>
    <t>売買代金</t>
    <rPh sb="0" eb="2">
      <t>バイバイ</t>
    </rPh>
    <rPh sb="2" eb="4">
      <t>ダイキン</t>
    </rPh>
    <phoneticPr fontId="3"/>
  </si>
  <si>
    <t>うちToSTNeT売買代金</t>
  </si>
  <si>
    <t>値付日数</t>
    <rPh sb="0" eb="2">
      <t>ネツ</t>
    </rPh>
    <rPh sb="2" eb="4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</si>
  <si>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</si>
  <si>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</si>
  <si>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</si>
  <si>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</si>
  <si>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</si>
  <si>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</si>
  <si>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</si>
  <si>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</si>
  <si>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</si>
  <si>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</si>
  <si>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</si>
  <si>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</si>
  <si>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</si>
  <si>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</si>
  <si>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</si>
  <si>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</si>
  <si>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</si>
  <si>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</si>
  <si>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</si>
  <si>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2026/03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</si>
  <si>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</si>
  <si>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</si>
  <si>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</si>
  <si>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</si>
  <si>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</si>
  <si>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2</t>
  </si>
  <si>
    <t>23</t>
  </si>
  <si>
    <t>31</t>
  </si>
  <si>
    <t>1306</t>
  </si>
  <si>
    <t>ＮＥＸＴ　ＦＵＮＤＳ　ＴＯＰＩＸ連動型上場投信　受益証券</t>
  </si>
  <si>
    <t>NEXT FUNDS TOPIX Exchange Traded Fund</t>
  </si>
  <si>
    <t xml:space="preserve">新株落ち  </t>
  </si>
  <si>
    <t xml:space="preserve">ex-subscription right  </t>
  </si>
  <si>
    <t>27</t>
  </si>
  <si>
    <t>30</t>
  </si>
  <si>
    <t>1308</t>
  </si>
  <si>
    <t>上場インデックスファンドＴＯＰＩＸ　受益証券</t>
  </si>
  <si>
    <t>Listed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</si>
  <si>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</si>
  <si>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</si>
  <si>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</si>
  <si>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3</t>
  </si>
  <si>
    <t>1311</t>
  </si>
  <si>
    <t>ＮＥＸＴ　ＦＵＮＤＳ　ＴＯＰＩＸ　Ｃｏｒｅ　３０連動型上場投信　受益証券</t>
  </si>
  <si>
    <t>NEXT FUNDS TOPIX Core 30 Exchange Traded Fund</t>
  </si>
  <si>
    <t>1319</t>
  </si>
  <si>
    <t>ＮＥＸＴ　ＦＵＮＤＳ　日経３００株価指数連動型上場投信　受益証券</t>
  </si>
  <si>
    <t>NEXT FUNDS Nikkei 300 Index Exchange Traded Fund</t>
  </si>
  <si>
    <t>17</t>
  </si>
  <si>
    <t>1320</t>
  </si>
  <si>
    <t>ｉＦｒｅｅＥＴＦ　日経２２５（年１回決算型）　受益証券</t>
  </si>
  <si>
    <t>iFreeETF Nikkei225 (Yearly Dividend Type)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</si>
  <si>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</si>
  <si>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</si>
  <si>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</si>
  <si>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</si>
  <si>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</si>
  <si>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</si>
  <si>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</si>
  <si>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</si>
  <si>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</si>
  <si>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</si>
  <si>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</si>
  <si>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</si>
  <si>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</si>
  <si>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</si>
  <si>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</si>
  <si>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</si>
  <si>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</si>
  <si>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</si>
  <si>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</si>
  <si>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</si>
  <si>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Listed Index Fund 225</t>
  </si>
  <si>
    <t>133A</t>
  </si>
  <si>
    <t>グローバルＸ　超短期米国債　ＥＴＦ　受益証券</t>
  </si>
  <si>
    <t>Global X Ultra Short-Term T-Bill ETF</t>
  </si>
  <si>
    <t>19</t>
  </si>
  <si>
    <t>1343</t>
  </si>
  <si>
    <t>ＮＥＸＴ　ＦＵＮＤＳ　東証ＲＥＩＴ　指数連動型上場投信　受益証券</t>
  </si>
  <si>
    <t>NEXT FUNDS REIT INDEX ETF</t>
  </si>
  <si>
    <t>10</t>
  </si>
  <si>
    <t>1345</t>
  </si>
  <si>
    <t>上場インデックスファンドＪリート（東証ＲＥＩＴ指数）隔月分配型　受益証券</t>
  </si>
  <si>
    <t>Listed Index Fund J-REIT (Tokyo Stock Exchange REIT Index)Bi-Monthly Dividend Payment Type</t>
  </si>
  <si>
    <t>5</t>
  </si>
  <si>
    <t>1346</t>
  </si>
  <si>
    <t>ＭＡＸＩＳ　日経２２５上場投信　受益証券</t>
  </si>
  <si>
    <t>MAXIS NIKKEI 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</si>
  <si>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</si>
  <si>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</si>
  <si>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</si>
  <si>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</si>
  <si>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</si>
  <si>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</si>
  <si>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24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</si>
  <si>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</si>
  <si>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</si>
  <si>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</si>
  <si>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</si>
  <si>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</si>
  <si>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Exchange Traded Fund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</si>
  <si>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</si>
  <si>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</si>
  <si>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</si>
  <si>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</si>
  <si>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</si>
  <si>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</si>
  <si>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</si>
  <si>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</si>
  <si>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</si>
  <si>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</si>
  <si>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</si>
  <si>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</si>
  <si>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</si>
  <si>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</si>
  <si>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</si>
  <si>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</si>
  <si>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</si>
  <si>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</si>
  <si>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</si>
  <si>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</si>
  <si>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</si>
  <si>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</si>
  <si>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</si>
  <si>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</si>
  <si>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</si>
  <si>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</si>
  <si>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</si>
  <si>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</si>
  <si>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</si>
  <si>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</si>
  <si>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</si>
  <si>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</si>
  <si>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</si>
  <si>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140A</t>
  </si>
  <si>
    <t>ｉＦｒｅｅＥＴＦ　米国１０年国債先物インバース　受益証券</t>
  </si>
  <si>
    <t>iFreeETF 10-Year U.S. Treasury Note Futures Inverse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</si>
  <si>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</si>
  <si>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</si>
  <si>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</si>
  <si>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</si>
  <si>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</si>
  <si>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</si>
  <si>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</si>
  <si>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</si>
  <si>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</si>
  <si>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</si>
  <si>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</si>
  <si>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</si>
  <si>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1466</t>
  </si>
  <si>
    <t>ｉＦｒｅｅＥＴＦ　ＪＰＸ日経４００ダブルインバース・インデックス　受益証券</t>
  </si>
  <si>
    <t>iFreeETF JPX-Nikkei400 Double Inverse (-2x) Index</t>
  </si>
  <si>
    <t>1469</t>
  </si>
  <si>
    <t>ＪＰＸ日経４００ベア２倍上場投信（ダブルインバース）　受益証券</t>
  </si>
  <si>
    <t>JPX-Nikkei 400 Bear -2x Double Inverse ETF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</si>
  <si>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</si>
  <si>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</si>
  <si>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</si>
  <si>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9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</si>
  <si>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</si>
  <si>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</si>
  <si>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</si>
  <si>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</si>
  <si>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</si>
  <si>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</si>
  <si>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</si>
  <si>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</si>
  <si>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</si>
  <si>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</si>
  <si>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</si>
  <si>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</si>
  <si>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</si>
  <si>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</si>
  <si>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</si>
  <si>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</si>
  <si>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</si>
  <si>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</si>
  <si>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</si>
  <si>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ｉＦｒｅｅＥＴＦ　ＭＳＣＩ日本株人材設備投資指数　受益証券</t>
  </si>
  <si>
    <t>iFreeETF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</si>
  <si>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</si>
  <si>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</si>
  <si>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</si>
  <si>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</si>
  <si>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</si>
  <si>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</si>
  <si>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</si>
  <si>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</si>
  <si>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</si>
  <si>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</si>
  <si>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</si>
  <si>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</si>
  <si>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25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</si>
  <si>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</si>
  <si>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</si>
  <si>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</si>
  <si>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</si>
  <si>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</si>
  <si>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</si>
  <si>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6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</si>
  <si>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</si>
  <si>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</si>
  <si>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</si>
  <si>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</si>
  <si>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</si>
  <si>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</si>
  <si>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</si>
  <si>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ｉＦｒｅｅＥＴＦ　東証ＲＥＩＴ指数　受益証券</t>
  </si>
  <si>
    <t>iFreeETF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</si>
  <si>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</si>
  <si>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</si>
  <si>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</si>
  <si>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</si>
  <si>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</si>
  <si>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</si>
  <si>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18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</si>
  <si>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</si>
  <si>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</si>
  <si>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</si>
  <si>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</si>
  <si>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</si>
  <si>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</si>
  <si>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</si>
  <si>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</si>
  <si>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</si>
  <si>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</si>
  <si>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</si>
  <si>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</si>
  <si>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</si>
  <si>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</si>
  <si>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</si>
  <si>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</si>
  <si>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</si>
  <si>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</si>
  <si>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</si>
  <si>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</si>
  <si>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</si>
  <si>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13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</si>
  <si>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</si>
  <si>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</si>
  <si>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</si>
  <si>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</si>
  <si>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</si>
  <si>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</si>
  <si>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</si>
  <si>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</si>
  <si>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</si>
  <si>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</si>
  <si>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</si>
  <si>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</si>
  <si>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</si>
  <si>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</si>
  <si>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</si>
  <si>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11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</si>
  <si>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</si>
  <si>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</si>
  <si>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</si>
  <si>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</si>
  <si>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</si>
  <si>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</si>
  <si>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</si>
  <si>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</si>
  <si>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</si>
  <si>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</si>
  <si>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</si>
  <si>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</si>
  <si>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</si>
  <si>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</si>
  <si>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</si>
  <si>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</si>
  <si>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Ａ－ＲＥＩＴ）　受益証券</t>
  </si>
  <si>
    <t>Listed Index Fund Australian REIT (S&amp;P/ASX200 A-REIT)</t>
  </si>
  <si>
    <t>1557</t>
  </si>
  <si>
    <t>ＳＰＤＲ　Ｓ＆Ｐ５００　ＥＴＦ　受益証券</t>
  </si>
  <si>
    <t>State Street SPDR S&amp;P 500 ETF Trust</t>
  </si>
  <si>
    <t>1559</t>
  </si>
  <si>
    <t>ＮＥＸＴ　ＦＵＮＤＳ　タイ株式ＳＥＴ５０指数連動型上場投信　受益証券</t>
  </si>
  <si>
    <t>NEXT FUNDS Thai Stock SET50 Exchange Traded Fund</t>
  </si>
  <si>
    <t>4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</si>
  <si>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</si>
  <si>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</si>
  <si>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</si>
  <si>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</si>
  <si>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</si>
  <si>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</si>
  <si>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</si>
  <si>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</si>
  <si>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</si>
  <si>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</si>
  <si>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</si>
  <si>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</si>
  <si>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</si>
  <si>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</si>
  <si>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</si>
  <si>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</si>
  <si>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</si>
  <si>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</si>
  <si>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</si>
  <si>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</si>
  <si>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</si>
  <si>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</si>
  <si>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</si>
  <si>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</si>
  <si>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</si>
  <si>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</si>
  <si>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</si>
  <si>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</si>
  <si>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</si>
  <si>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Exchange Traded Fund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</si>
  <si>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</si>
  <si>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</si>
  <si>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</si>
  <si>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</si>
  <si>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</si>
  <si>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</si>
  <si>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</si>
  <si>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</si>
  <si>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</si>
  <si>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</si>
  <si>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</si>
  <si>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</si>
  <si>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</si>
  <si>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</si>
  <si>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</si>
  <si>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</si>
  <si>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</si>
  <si>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</si>
  <si>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</si>
  <si>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</si>
  <si>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</si>
  <si>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</si>
  <si>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</si>
  <si>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</si>
  <si>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</si>
  <si>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</si>
  <si>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</si>
  <si>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</si>
  <si>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</si>
  <si>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</si>
  <si>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</si>
  <si>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</si>
  <si>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</si>
  <si>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1599</t>
  </si>
  <si>
    <t>ｉＦｒｅｅＥＴＦ　ＪＰＸ日経４００　受益証券</t>
  </si>
  <si>
    <t>iFreeETF JPX-Nikkei400</t>
  </si>
  <si>
    <t>159A</t>
  </si>
  <si>
    <t>ＮＥＸＴ　ＦＵＮＤＳ　ＪＰＸプライム１５０指数連動型上場投信　受益証券</t>
  </si>
  <si>
    <t>NEXT FUNDS JPX Prime 150 Index Exchange Traded Fund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</si>
  <si>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</si>
  <si>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</si>
  <si>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</si>
  <si>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</si>
  <si>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</si>
  <si>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</si>
  <si>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</si>
  <si>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</si>
  <si>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</si>
  <si>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</si>
  <si>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</si>
  <si>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</si>
  <si>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</si>
  <si>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</si>
  <si>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</si>
  <si>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</si>
  <si>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</si>
  <si>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</si>
  <si>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</si>
  <si>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</si>
  <si>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</si>
  <si>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</si>
  <si>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</si>
  <si>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</si>
  <si>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</si>
  <si>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</si>
  <si>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</si>
  <si>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</si>
  <si>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</si>
  <si>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</si>
  <si>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</si>
  <si>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</si>
  <si>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</si>
  <si>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</si>
  <si>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</si>
  <si>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</si>
  <si>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</si>
  <si>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</si>
  <si>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</si>
  <si>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</si>
  <si>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</si>
  <si>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</si>
  <si>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162A</t>
  </si>
  <si>
    <t>ＡＩセレクトメガトレンド　日本株（ネットリターン）ＥＴＮ　受益証券</t>
  </si>
  <si>
    <t>AI Select Megatrend Japan Equity Net Return ETN</t>
  </si>
  <si>
    <t>信用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</si>
  <si>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</si>
  <si>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</si>
  <si>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</si>
  <si>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</si>
  <si>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</si>
  <si>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</si>
  <si>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</si>
  <si>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</si>
  <si>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</si>
  <si>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</si>
  <si>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</si>
  <si>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</si>
  <si>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163A</t>
  </si>
  <si>
    <t>半導体フォーカス　日本株（ネットリターン）ＥＴＮ　受益証券</t>
  </si>
  <si>
    <t>Semiconductor Focus Japan Equity Net Return ETN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</si>
  <si>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</si>
  <si>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</si>
  <si>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</si>
  <si>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</si>
  <si>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</si>
  <si>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</si>
  <si>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</si>
  <si>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</si>
  <si>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</si>
  <si>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</si>
  <si>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ＪＰＸ　Ｂｌｏｓｓｏｍ　Ｊａｐａｎ　Ｉｎｄｅｘ　受益証券</t>
  </si>
  <si>
    <t>iFreeETF FTSE JPX Blossom Japan Index</t>
  </si>
  <si>
    <t>26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</si>
  <si>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</si>
  <si>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</si>
  <si>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</si>
  <si>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</si>
  <si>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</si>
  <si>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</si>
  <si>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</si>
  <si>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</si>
  <si>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</si>
  <si>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</si>
  <si>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</si>
  <si>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</si>
  <si>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</si>
  <si>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</si>
  <si>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</si>
  <si>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</si>
  <si>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</si>
  <si>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</si>
  <si>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</si>
  <si>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</si>
  <si>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</si>
  <si>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</si>
  <si>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</si>
  <si>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</si>
  <si>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</si>
  <si>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</si>
  <si>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</si>
  <si>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</si>
  <si>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</si>
  <si>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</si>
  <si>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</si>
  <si>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</si>
  <si>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</si>
  <si>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</si>
  <si>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</si>
  <si>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</si>
  <si>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</si>
  <si>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</si>
  <si>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</si>
  <si>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</si>
  <si>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　連動型上場投信　受益証券</t>
  </si>
  <si>
    <t>NEXT FUNDS Nifty 50 Linked Exchange Traded Fund</t>
  </si>
  <si>
    <t>1679</t>
  </si>
  <si>
    <t>Ｓｉｍｐｌｅ－Ｘ　ＮＹ　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</si>
  <si>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</si>
  <si>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</si>
  <si>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</si>
  <si>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 (MSCI-KOKUSAI)</t>
  </si>
  <si>
    <t>1681</t>
  </si>
  <si>
    <t>上場インデックスファンド海外新興国株式（ＭＳＣＩ　エマージング）　受益証券</t>
  </si>
  <si>
    <t>Listed Index Fund International Emerging Countries Equity (MSCI EMERGING)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</si>
  <si>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</si>
  <si>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</si>
  <si>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</si>
  <si>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</si>
  <si>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</si>
  <si>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</si>
  <si>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</si>
  <si>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</si>
  <si>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</si>
  <si>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</si>
  <si>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</si>
  <si>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</si>
  <si>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</si>
  <si>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</si>
  <si>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</si>
  <si>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</si>
  <si>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</si>
  <si>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</si>
  <si>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</si>
  <si>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</si>
  <si>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</si>
  <si>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</si>
  <si>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</si>
  <si>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</si>
  <si>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</si>
  <si>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</si>
  <si>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</si>
  <si>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</si>
  <si>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</si>
  <si>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</si>
  <si>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</si>
  <si>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</si>
  <si>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</si>
  <si>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</si>
  <si>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</si>
  <si>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</si>
  <si>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</si>
  <si>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</si>
  <si>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</si>
  <si>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</si>
  <si>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</si>
  <si>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</si>
  <si>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</si>
  <si>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</si>
  <si>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</si>
  <si>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 (TSE Dividend Focus 100)</t>
  </si>
  <si>
    <t>1699</t>
  </si>
  <si>
    <t>ＮＥＸＴ　ＦＵＮＤＳ　ＮＯＭＵＲＡ　原油インデックス連動型上場投信　受益証券</t>
  </si>
  <si>
    <t>NEXT FUNDS NOMURA Crude Oil Long Index Linked Exchange Traded Fund</t>
  </si>
  <si>
    <t>170A</t>
  </si>
  <si>
    <t>ＳＭＴ　ＥＴＦ日本好配当株アクティブ　受益証券</t>
  </si>
  <si>
    <t>SMT ETF Japan Equity Income Strategy Active</t>
  </si>
  <si>
    <t>178A</t>
  </si>
  <si>
    <t>グローバルＸ　革新的優良企業　ＥＴＦ　受益証券</t>
  </si>
  <si>
    <t>Global X Innovative Bluechip Top 10+ ETF</t>
  </si>
  <si>
    <t>179A</t>
  </si>
  <si>
    <t>グローバルＸ　超長期米国債　ＥＴＦ（為替ヘッジあり）　受益証券</t>
  </si>
  <si>
    <t>Global X 25+ Year T-Bond ETF (JPY Hedged)</t>
  </si>
  <si>
    <t>180A</t>
  </si>
  <si>
    <t>グローバルＸ　超長期米国債　ＥＴＦ　受益証券</t>
  </si>
  <si>
    <t>Global X 25+ Year T-Bond ETF</t>
  </si>
  <si>
    <t>181A</t>
  </si>
  <si>
    <t>ＭＡＸＩＳ米国国債１－３年上場投信（為替ヘッジなし）　受益証券</t>
  </si>
  <si>
    <t>MAXIS US Treasury Bond 1-3 Year ETF (Unhedged)</t>
  </si>
  <si>
    <t>182A</t>
  </si>
  <si>
    <t>ＭＡＸＩＳ米国国債２０年超上場投信（為替ヘッジなし）　受益証券</t>
  </si>
  <si>
    <t>MAXIS US Treasury Bond 20+ Year ETF (Unhedged)</t>
  </si>
  <si>
    <t>183A</t>
  </si>
  <si>
    <t>ＭＡＸＩＳ米国国債２０年超上場投信（為替ヘッジあり）　受益証券</t>
  </si>
  <si>
    <t>MAXIS US Treasury Bond 20+ Year ETF (JPY Hedged)</t>
  </si>
  <si>
    <t>188A</t>
  </si>
  <si>
    <t>グローバルＸ　インド・トップ１０＋　ＥＴＦ　受益証券</t>
  </si>
  <si>
    <t>Global X India Top 10+ ETF</t>
  </si>
  <si>
    <t>200A</t>
  </si>
  <si>
    <t>ＮＥＸＴ　ＦＵＮＤＳ　日経半導体株指数連動型上場投信　受益証券</t>
  </si>
  <si>
    <t>NEXT FUNDS Nikkei Semiconductor Stock Index Exchange Traded Fund</t>
  </si>
  <si>
    <t>2011</t>
  </si>
  <si>
    <t>ＳＭＤＡＭ　Ａｃｔｉｖｅ　ＥＴＦ　日本高配当株式　受益証券</t>
  </si>
  <si>
    <t>SMDAM Active ETF Japan High Dividend Equity</t>
  </si>
  <si>
    <t>2012</t>
  </si>
  <si>
    <t>ｉシェアーズ　米国債０－３ヶ月　ＥＴＦ　受益証券</t>
  </si>
  <si>
    <t>iShares 0-3 Month US Treasury Bond ETF</t>
  </si>
  <si>
    <t>12</t>
  </si>
  <si>
    <t>2013</t>
  </si>
  <si>
    <t>ｉシェアーズ　米国高配当株　ＥＴＦ　受益証券</t>
  </si>
  <si>
    <t>iShares US High Dividend ETF</t>
  </si>
  <si>
    <t>2014</t>
  </si>
  <si>
    <t>ｉシェアーズ　米国連続増配株　ＥＴＦ　受益証券</t>
  </si>
  <si>
    <t>iShares US Dividend Growth ETF</t>
  </si>
  <si>
    <t>2015</t>
  </si>
  <si>
    <t>ｉＦｒｅｅＥＴＦ　米国国債７－１０年（為替ヘッジなし）　受益証券</t>
  </si>
  <si>
    <t>iFreeETF US Treasury Bond 7-10 Year (NON HEDGED)</t>
  </si>
  <si>
    <t>2016</t>
  </si>
  <si>
    <t>ｉＦｒｅｅＥＴＦ　米国国債７－１０年（為替ヘッジあり）　受益証券</t>
  </si>
  <si>
    <t>iFreeETF US Treasury Bond 7-10 Year (JPY HEDGED)</t>
  </si>
  <si>
    <t>2017</t>
  </si>
  <si>
    <t>ｉＦｒｅｅＥＴＦ　ＪＰＸプライム１５０　受益証券</t>
  </si>
  <si>
    <t>iFreeETF JPX Prime 150</t>
  </si>
  <si>
    <t>2018</t>
  </si>
  <si>
    <t>グローバルＸ　ＵＳ　ＲＥＩＴ・トップ２０　ＥＴＦ　受益証券</t>
  </si>
  <si>
    <t>Global X US REIT Top 20 ETF</t>
  </si>
  <si>
    <t>2019</t>
  </si>
  <si>
    <t>グローバルＸ　米国優先証券　ＥＴＦ（隔月分配型）　受益証券</t>
  </si>
  <si>
    <t>Global X U.S. Preferred Security ETF (Bi-monthly dividend type)</t>
  </si>
  <si>
    <t>201A</t>
  </si>
  <si>
    <t>ｉシェアーズ　Ｎｉｆｔｙ　５０　インド株　ＥＴＦ　受益証券</t>
  </si>
  <si>
    <t>iShares Nifty 50 ETF</t>
  </si>
  <si>
    <t>2031</t>
  </si>
  <si>
    <t>ＮＥＸＴ　ＮＯＴＥＳ　香港ハンセン・ダブル・ブル　ＥＴＮ　受益証券</t>
  </si>
  <si>
    <t>NEXT NOTES HSI Leveraged ETN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</si>
  <si>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</si>
  <si>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</si>
  <si>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</si>
  <si>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</si>
  <si>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</si>
  <si>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</si>
  <si>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</si>
  <si>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</si>
  <si>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</si>
  <si>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</si>
  <si>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</si>
  <si>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</si>
  <si>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</si>
  <si>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</si>
  <si>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</si>
  <si>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</si>
  <si>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</si>
  <si>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</si>
  <si>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</si>
  <si>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</si>
  <si>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</si>
  <si>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</si>
  <si>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</si>
  <si>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</si>
  <si>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</si>
  <si>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</si>
  <si>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</si>
  <si>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</si>
  <si>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東証グロース市場２５０　ＥＴＮ　受益証券</t>
  </si>
  <si>
    <t>NEXT NOTES Tokyo Stock Exchange Growth Market 250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</si>
  <si>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</si>
  <si>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</si>
  <si>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</si>
  <si>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</si>
  <si>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</si>
  <si>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</si>
  <si>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</si>
  <si>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</si>
  <si>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</si>
  <si>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</si>
  <si>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</si>
  <si>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</si>
  <si>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</si>
  <si>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</si>
  <si>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</si>
  <si>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</si>
  <si>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</si>
  <si>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</si>
  <si>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</si>
  <si>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</si>
  <si>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</si>
  <si>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</si>
  <si>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</si>
  <si>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</si>
  <si>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</si>
  <si>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</si>
  <si>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</si>
  <si>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</si>
  <si>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</si>
  <si>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</si>
  <si>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</si>
  <si>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</si>
  <si>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</si>
  <si>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</si>
  <si>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</si>
  <si>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</si>
  <si>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</si>
  <si>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</si>
  <si>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</si>
  <si>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</si>
  <si>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</si>
  <si>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</si>
  <si>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</si>
  <si>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</si>
  <si>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</si>
  <si>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</si>
  <si>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</si>
  <si>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</si>
  <si>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2080</t>
  </si>
  <si>
    <t>ＰＢＲ１倍割れ解消推進ＥＴＦ　受益証券</t>
  </si>
  <si>
    <t>PBR Improvement over 1x ETF</t>
  </si>
  <si>
    <t>2081</t>
  </si>
  <si>
    <t>政策保有解消推進ＥＴＦ　受益証券</t>
  </si>
  <si>
    <t>Strategic Shareholding Disposal Promotion ETF</t>
  </si>
  <si>
    <t>2082</t>
  </si>
  <si>
    <t>投資家経営者一心同体ＥＴＦ　受益証券</t>
  </si>
  <si>
    <t>Investor-Management Unite as One ETF</t>
  </si>
  <si>
    <t>2083</t>
  </si>
  <si>
    <t>ＮＥＸＴ　ＦＵＮＤＳ　日本成長株アクティブ上場投信　受益証券</t>
  </si>
  <si>
    <t>NEXT FUNDS Japan Growth Equity Active Exchange Traded Fund</t>
  </si>
  <si>
    <t>2084</t>
  </si>
  <si>
    <t>ＮＥＸＴ　ＦＵＮＤＳ　日本高配当株アクティブ上場投信　受益証券</t>
  </si>
  <si>
    <t>NEXT FUNDS Japan High Dividend Equity Active Exchange Traded Fund</t>
  </si>
  <si>
    <t>2085</t>
  </si>
  <si>
    <t>ＭＡＸＩＳ高配当日本株アクティブ上場投信　受益証券</t>
  </si>
  <si>
    <t>MAXIS High Dividend Japan Equity Actively Managed ETF</t>
  </si>
  <si>
    <t>2086</t>
  </si>
  <si>
    <t>ＮＺＡＭ　上場投信　Ｓ＆Ｐ５００（為替ヘッジあり）　受益証券</t>
  </si>
  <si>
    <t>NZAM ETF S&amp;P500 (JPY Hedged)</t>
  </si>
  <si>
    <t>2087</t>
  </si>
  <si>
    <t>ＮＺＡＭ　上場投信　ＮＡＳＤＡＱ１００（為替ヘッジあり）　受益証券</t>
  </si>
  <si>
    <t>NZAM ETF NASDAQ100 (JPY Hedged)</t>
  </si>
  <si>
    <t>2088</t>
  </si>
  <si>
    <t>ＮＺＡＭ　上場投信　ＮＹダウ３０（為替ヘッジあり）　受益証券</t>
  </si>
  <si>
    <t>NZAM ETF NY Dow30 (JPY Hedged)</t>
  </si>
  <si>
    <t>2089</t>
  </si>
  <si>
    <t>ＮＺＡＭ　上場投信　ＤＡＸ（為替ヘッジあり）　受益証券</t>
  </si>
  <si>
    <t>NZAM ETF DAX (JPY Hedged)</t>
  </si>
  <si>
    <t>2090</t>
  </si>
  <si>
    <t>ＮＺＡＭ　上場投信　米国国債７－１０年（為替ヘッジあり）　受益証券</t>
  </si>
  <si>
    <t>NZAM ETF US Treasury 7-10Y (JPY Hedged)</t>
  </si>
  <si>
    <t>2091</t>
  </si>
  <si>
    <t>ＮＺＡＭ　上場投信　ドイツ国債７－１０年（為替ヘッジあり）　受益証券</t>
  </si>
  <si>
    <t>NZAM ETF German Government Bond 7-10Y (JPY Hedged)</t>
  </si>
  <si>
    <t>2092</t>
  </si>
  <si>
    <t>ＮＺＡＭ　上場投信　フランス国債７－１０年（為替ヘッジあり）　受益証券</t>
  </si>
  <si>
    <t>NZAM ETF France Government Bond 7-10Y (JPY Hedged)</t>
  </si>
  <si>
    <t>2093</t>
  </si>
  <si>
    <t>上場Ｔｒａｃｅｒｓ　米国債０－２年ラダー（為替ヘッジなし）　受益証券</t>
  </si>
  <si>
    <t>Listed Tracers US Government Bond 0-2years Ladder (No Currency Hedge)</t>
  </si>
  <si>
    <t>2094</t>
  </si>
  <si>
    <t>東証ＲＥＩＴインバースＥＴＦ　受益証券</t>
  </si>
  <si>
    <t>TSE REIT Inverse ETF</t>
  </si>
  <si>
    <t>2095</t>
  </si>
  <si>
    <t>グローバルＸ　Ｓ＆Ｐ５００配当貴族　ＥＴＦ（為替ヘッジあり）　受益証券</t>
  </si>
  <si>
    <t>Global X S&amp;P 500 Dividend Aristocrats ETF (JPY Hedged)</t>
  </si>
  <si>
    <t>2096</t>
  </si>
  <si>
    <t>グローバルＸ　オフィス・Ｊ－ＲＥＩＴ　ＥＴＦ　受益証券</t>
  </si>
  <si>
    <t>Global X Office J-REIT ETF</t>
  </si>
  <si>
    <t>2097</t>
  </si>
  <si>
    <t>グローバルＸ　レジデンシャル・Ｊ－ＲＥＩＴ　ＥＴＦ　受益証券</t>
  </si>
  <si>
    <t>Global X Residential J-REIT ETF</t>
  </si>
  <si>
    <t>2098</t>
  </si>
  <si>
    <t>グローバルＸ　ホテル＆リテール・Ｊ－ＲＥＩＴ　ＥＴＦ　受益証券</t>
  </si>
  <si>
    <t>Global X Hotel &amp; Retail J-REIT ETF</t>
  </si>
  <si>
    <t>210A</t>
  </si>
  <si>
    <t>ｉＦｒｅｅＥＴＦ　日経高利回りＲＥＩＴ指数　受益証券</t>
  </si>
  <si>
    <t>iFreeETF Nikkei High Yield REIT Index</t>
  </si>
  <si>
    <t>213A</t>
  </si>
  <si>
    <t>上場インデックスファンド日経半導体株　受益証券</t>
  </si>
  <si>
    <t>Listed Index Fund Nikkei Semiconductor Stock</t>
  </si>
  <si>
    <t>221A</t>
  </si>
  <si>
    <t>ＭＡＸＩＳ日経半導体株上場投信　受益証券</t>
  </si>
  <si>
    <t>MAXIS Nikkei Semiconductor Stock (Japan) ETF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</si>
  <si>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</si>
  <si>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</si>
  <si>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</si>
  <si>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</si>
  <si>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</si>
  <si>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</si>
  <si>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</si>
  <si>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</si>
  <si>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</si>
  <si>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</si>
  <si>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</si>
  <si>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</si>
  <si>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</si>
  <si>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</si>
  <si>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</si>
  <si>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223A</t>
  </si>
  <si>
    <t>グローバルＸ　ＡＩ＆ビッグデータ　ＥＴＦ　受益証券</t>
  </si>
  <si>
    <t>Global X Artificial Intelligence &amp; Technology ETF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</si>
  <si>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</si>
  <si>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</si>
  <si>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</si>
  <si>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</si>
  <si>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</si>
  <si>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</si>
  <si>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</si>
  <si>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</si>
  <si>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</si>
  <si>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</si>
  <si>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</si>
  <si>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</si>
  <si>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</si>
  <si>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</si>
  <si>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</si>
  <si>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</si>
  <si>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</si>
  <si>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</si>
  <si>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</si>
  <si>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</si>
  <si>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</si>
  <si>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2247</t>
  </si>
  <si>
    <t>ｉＦｒｅｅＥＴＦ　Ｓ＆Ｐ５００（為替ヘッジなし）　受益証券</t>
  </si>
  <si>
    <t>iFreeETF S&amp;P500 (NON HEDGED)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</si>
  <si>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</si>
  <si>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</si>
  <si>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</si>
  <si>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</si>
  <si>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</si>
  <si>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</si>
  <si>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224A</t>
  </si>
  <si>
    <t>グローバルＸ　ウラニウムビジネス　ＥＴＦ　受益証券</t>
  </si>
  <si>
    <t>Global X Uranium ETF</t>
  </si>
  <si>
    <t>2250</t>
  </si>
  <si>
    <t>ｉシェアーズ　ＭＳＣＩ　ジャパン気候変動アクション　ＥＴＦ　受益証券</t>
  </si>
  <si>
    <t>iShares MSCI Japan Climate Action ETF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</si>
  <si>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</si>
  <si>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</si>
  <si>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</si>
  <si>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>2252</t>
  </si>
  <si>
    <t>グローバルＸ　Ｍｏｒｎｉｎｇｓｔａｒ　米国中小型　Ｍｏａｔ　ＥＴＦ　受益証券</t>
  </si>
  <si>
    <t>Global X Morningstar US Small Mid Moat ETF</t>
  </si>
  <si>
    <t>2253</t>
  </si>
  <si>
    <t>グローバルＸ　スーパーディビィデンド－ＵＳ　ＥＴＦ　受益証券</t>
  </si>
  <si>
    <t>Global X SuperDividend U.S. ETF</t>
  </si>
  <si>
    <t>2254</t>
  </si>
  <si>
    <t>グローバルＸ　チャイナＥＶ＆バッテリー　ＥＴＦ　受益証券</t>
  </si>
  <si>
    <t>Global X China Electric Vehicle and Battery ETF</t>
  </si>
  <si>
    <t>2255</t>
  </si>
  <si>
    <t>ｉシェアーズ　米国債２０年超　ＥＴＦ　受益証券</t>
  </si>
  <si>
    <t>iShares 20+ Year US Treasury Bond ETF</t>
  </si>
  <si>
    <t>2256</t>
  </si>
  <si>
    <t>ｉシェアーズ　米国総合債券　ＥＴＦ　受益証券</t>
  </si>
  <si>
    <t>iShares US Aggregate Bond ETF</t>
  </si>
  <si>
    <t>2257</t>
  </si>
  <si>
    <t>ｉシェアーズ　米ドル建て投資適格社債　ＥＴＦ　受益証券</t>
  </si>
  <si>
    <t>iShares USD Investment Grade Corporate Bond ETF</t>
  </si>
  <si>
    <t>2258</t>
  </si>
  <si>
    <t>ｉシェアーズ　米ドル建てハイイールド社債　ＥＴＦ　受益証券</t>
  </si>
  <si>
    <t>iShares USD High Yield Corporate Bond ETF</t>
  </si>
  <si>
    <t>2259</t>
  </si>
  <si>
    <t>ｉシェアーズ　フランス国債７－１０年　ＥＴＦ（為替ヘッジあり）　受益証券</t>
  </si>
  <si>
    <t>iShares 7-10 Year France Government Bond JPY Hedged ETF</t>
  </si>
  <si>
    <t>233A</t>
  </si>
  <si>
    <t>ｉＦｒｅｅＥＴＦ　インドＮｉｆｔｙ５０　受益証券</t>
  </si>
  <si>
    <t>iFreeETF Nifty50</t>
  </si>
  <si>
    <t>234A</t>
  </si>
  <si>
    <t>グローバルＸ　ＭＳＣＩ　キャッシュフローキング－日本株式　ＥＴＦ　受益証券</t>
  </si>
  <si>
    <t>Global X MSCI Japan Cash Flow Kings ETF</t>
  </si>
  <si>
    <t>235A</t>
  </si>
  <si>
    <t>グローバルＸ　高配当３０－日本株式　ＥＴＦ　受益証券</t>
  </si>
  <si>
    <t>Global X Japan High Dividend 30 ETF</t>
  </si>
  <si>
    <t>236A</t>
  </si>
  <si>
    <t>ｉシェアーズ　日本国債７－１０年　ＥＴＦ　受益証券</t>
  </si>
  <si>
    <t>iShares 7-10 Year Japan Government Bond ETF</t>
  </si>
  <si>
    <t>237A</t>
  </si>
  <si>
    <t>ｉシェアーズ　米国債２５年超　ロングデュレーション　ＥＴＦ　受益証券</t>
  </si>
  <si>
    <t>iShares 25+ Year US Treasury Bond Long Duration ETF</t>
  </si>
  <si>
    <t>238A</t>
  </si>
  <si>
    <t>ｉシェアーズ　米国債２５年超　ロングデュレーション　ＥＴＦ（為替ヘッジあり）　受益証券</t>
  </si>
  <si>
    <t>iShares 25+ Year US Treasury Bond Long Duration JPY Hedged ETF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</si>
  <si>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</si>
  <si>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</si>
  <si>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</si>
  <si>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</si>
  <si>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</si>
  <si>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</si>
  <si>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</si>
  <si>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</si>
  <si>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</si>
  <si>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</si>
  <si>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</si>
  <si>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</si>
  <si>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</si>
  <si>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</si>
  <si>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</si>
  <si>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</si>
  <si>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</si>
  <si>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</si>
  <si>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</si>
  <si>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東証グロース２５０ＥＴＦ　受益証券</t>
  </si>
  <si>
    <t>TSE Growth 250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</si>
  <si>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</si>
  <si>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</si>
  <si>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</si>
  <si>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</si>
  <si>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</si>
  <si>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</si>
  <si>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</si>
  <si>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</si>
  <si>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</si>
  <si>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</si>
  <si>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</si>
  <si>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</si>
  <si>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</si>
  <si>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</si>
  <si>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</si>
  <si>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</si>
  <si>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</si>
  <si>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</si>
  <si>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</si>
  <si>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</si>
  <si>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</si>
  <si>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</si>
  <si>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</si>
  <si>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</si>
  <si>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</si>
  <si>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</si>
  <si>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</si>
  <si>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</si>
  <si>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</si>
  <si>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</si>
  <si>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</si>
  <si>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</si>
  <si>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</si>
  <si>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</si>
  <si>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</si>
  <si>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</si>
  <si>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</si>
  <si>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</si>
  <si>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</si>
  <si>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</si>
  <si>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</si>
  <si>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</si>
  <si>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</si>
  <si>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</si>
  <si>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</si>
  <si>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</si>
  <si>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</si>
  <si>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</si>
  <si>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</si>
  <si>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</si>
  <si>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</si>
  <si>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</si>
  <si>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</si>
  <si>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</si>
  <si>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</si>
  <si>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</si>
  <si>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</si>
  <si>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</si>
  <si>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</si>
  <si>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</si>
  <si>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</si>
  <si>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</si>
  <si>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</si>
  <si>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</si>
  <si>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</si>
  <si>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</si>
  <si>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</si>
  <si>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</si>
  <si>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</si>
  <si>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</si>
  <si>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</si>
  <si>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</si>
  <si>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</si>
  <si>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</si>
  <si>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</si>
  <si>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</si>
  <si>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</si>
  <si>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</si>
  <si>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</si>
  <si>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</si>
  <si>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</si>
  <si>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</si>
  <si>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</si>
  <si>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</si>
  <si>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</si>
  <si>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</si>
  <si>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</si>
  <si>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</si>
  <si>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</si>
  <si>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</si>
  <si>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</si>
  <si>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</si>
  <si>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</si>
  <si>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</si>
  <si>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</si>
  <si>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</si>
  <si>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257A</t>
  </si>
  <si>
    <t>ＳＭＴ　ＥＴＦ日本株厳選投資アクティブ　受益証券</t>
  </si>
  <si>
    <t>SMT ETF Selected Japan Equity Active</t>
  </si>
  <si>
    <t>258A</t>
  </si>
  <si>
    <t>ＳＭＴ　ＥＴＦ国内リート厳選投資アクティブ　受益証券</t>
  </si>
  <si>
    <t>SMT ETF Selected J-REIT Active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</si>
  <si>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</si>
  <si>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</si>
  <si>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</si>
  <si>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</si>
  <si>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</si>
  <si>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</si>
  <si>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</si>
  <si>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</si>
  <si>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</si>
  <si>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</si>
  <si>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</si>
  <si>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</si>
  <si>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</si>
  <si>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</si>
  <si>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</si>
  <si>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</si>
  <si>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</si>
  <si>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</si>
  <si>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</si>
  <si>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</si>
  <si>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</si>
  <si>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</si>
  <si>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</si>
  <si>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</si>
  <si>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</si>
  <si>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</si>
  <si>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</si>
  <si>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</si>
  <si>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</si>
  <si>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</si>
  <si>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</si>
  <si>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</si>
  <si>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</si>
  <si>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</si>
  <si>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</si>
  <si>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</si>
  <si>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</si>
  <si>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</si>
  <si>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</si>
  <si>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</si>
  <si>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</si>
  <si>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</si>
  <si>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</si>
  <si>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</si>
  <si>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</si>
  <si>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</si>
  <si>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</si>
  <si>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</si>
  <si>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</si>
  <si>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クリーンテック－日本株式　ＥＴＦ　受益証券</t>
  </si>
  <si>
    <t>Global X CleanTech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</si>
  <si>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</si>
  <si>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</si>
  <si>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</si>
  <si>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</si>
  <si>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</si>
  <si>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</si>
  <si>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</si>
  <si>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</si>
  <si>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</si>
  <si>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</si>
  <si>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グローバルリーダーズ－日本株式　ＥＴＦ　受益証券</t>
  </si>
  <si>
    <t>Global X Japan Global Leaders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</si>
  <si>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</si>
  <si>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</si>
  <si>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</si>
  <si>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</si>
  <si>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ＭＳＣＩジャパンカントリー指数（セレクト）連動型上場投信　受益証券</t>
  </si>
  <si>
    <t>NEXT FUNDS MSCI Japan Country Selection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</si>
  <si>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</si>
  <si>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</si>
  <si>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</si>
  <si>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</si>
  <si>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</si>
  <si>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</si>
  <si>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</si>
  <si>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</si>
  <si>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</si>
  <si>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</si>
  <si>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</si>
  <si>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</si>
  <si>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</si>
  <si>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</si>
  <si>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</si>
  <si>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</si>
  <si>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</si>
  <si>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</si>
  <si>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273A</t>
  </si>
  <si>
    <t>ＳＢＩ　サウジアラビア株式上場投信　受益証券</t>
  </si>
  <si>
    <t>SBI Saudi Arabia Equity Exchange Traded Fund</t>
  </si>
  <si>
    <t>282A</t>
  </si>
  <si>
    <t>グローバルＸ　半導体・トップ１０－日本株式　ＥＴＦ　受益証券</t>
  </si>
  <si>
    <t>Global X Japan Semiconductor Top 10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</si>
  <si>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</si>
  <si>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</si>
  <si>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</si>
  <si>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</si>
  <si>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中小型リーダーズ－日本株式　ＥＴＦ　受益証券</t>
  </si>
  <si>
    <t>Global X Japan Mid &amp; Small Cap Leaders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</si>
  <si>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</si>
  <si>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</si>
  <si>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</si>
  <si>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</si>
  <si>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</si>
  <si>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</si>
  <si>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283A</t>
  </si>
  <si>
    <t>グローバルＸ　ＵＳ　テック・配当貴族　ＥＴＦ　受益証券</t>
  </si>
  <si>
    <t>Global X US Tech Dividend Aristocrats ETF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</si>
  <si>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</si>
  <si>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</si>
  <si>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</si>
  <si>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</si>
  <si>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</si>
  <si>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</si>
  <si>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</si>
  <si>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</si>
  <si>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</si>
  <si>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</si>
  <si>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</si>
  <si>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</si>
  <si>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</si>
  <si>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</si>
  <si>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</si>
  <si>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</si>
  <si>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</si>
  <si>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</si>
  <si>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</si>
  <si>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</si>
  <si>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</si>
  <si>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</si>
  <si>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</si>
  <si>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</si>
  <si>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</si>
  <si>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</si>
  <si>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</si>
  <si>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</si>
  <si>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</si>
  <si>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</si>
  <si>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</si>
  <si>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</si>
  <si>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</si>
  <si>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</si>
  <si>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</si>
  <si>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</si>
  <si>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</si>
  <si>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</si>
  <si>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</si>
  <si>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</si>
  <si>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</si>
  <si>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</si>
  <si>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</si>
  <si>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</si>
  <si>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</si>
  <si>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</si>
  <si>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</si>
  <si>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</si>
  <si>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</si>
  <si>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</si>
  <si>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</si>
  <si>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</si>
  <si>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</si>
  <si>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</si>
  <si>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</si>
  <si>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</si>
  <si>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</si>
  <si>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</si>
  <si>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</si>
  <si>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</si>
  <si>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</si>
  <si>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</si>
  <si>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</si>
  <si>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</si>
  <si>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</si>
  <si>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</si>
  <si>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</si>
  <si>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</si>
  <si>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</si>
  <si>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</si>
  <si>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</si>
  <si>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</si>
  <si>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</si>
  <si>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</si>
  <si>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</si>
  <si>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</si>
  <si>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</si>
  <si>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</si>
  <si>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</si>
  <si>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</si>
  <si>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</si>
  <si>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</si>
  <si>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</si>
  <si>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</si>
  <si>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</si>
  <si>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</si>
  <si>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</si>
  <si>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294A</t>
  </si>
  <si>
    <t>ＮＥＸＴ　ＦＵＮＤＳ　ＭＳＣＩジャパン気候変動指数（セレクト）連動型上場投信　受益証券</t>
  </si>
  <si>
    <t>NEXT FUNDS MSCI Global Climate 500 Japan Selection Index Exchange Traded Fund</t>
  </si>
  <si>
    <t>295A</t>
  </si>
  <si>
    <t>Ｏｎｅ　ＥＴＦ　ＦＴＳＥ・サウジアラビア・インデックス　受益証券</t>
  </si>
  <si>
    <t>One ETF FTSE Saudi Arabia Index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</si>
  <si>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</si>
  <si>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</si>
  <si>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</si>
  <si>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</si>
  <si>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</si>
  <si>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</si>
  <si>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確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</si>
  <si>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</si>
  <si>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</si>
  <si>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</si>
  <si>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</si>
  <si>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</si>
  <si>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</si>
  <si>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313A</t>
  </si>
  <si>
    <t>ｉシェアーズ　Ｓ＆Ｐ　５００　トップ　２０　ＥＴＦ　受益証券</t>
  </si>
  <si>
    <t>iShares S&amp;P 500 Top 20 ETF</t>
  </si>
  <si>
    <t>314A</t>
  </si>
  <si>
    <t>ｉシェアーズ　ゴールド　ＥＴＦ　受益証券</t>
  </si>
  <si>
    <t>iShares Gold ETF</t>
  </si>
  <si>
    <t>315A</t>
  </si>
  <si>
    <t>グローバルＸ　銀行　高配当－日本株式　ＥＴＦ　受益証券</t>
  </si>
  <si>
    <t>Global X Japan Bank High Dividend ETF</t>
  </si>
  <si>
    <t>316A</t>
  </si>
  <si>
    <t>ｉＦｒｅｅＥＴＦ　ＦＡＮＧ＋　受益証券</t>
  </si>
  <si>
    <t>iFreeETF FANG+</t>
  </si>
  <si>
    <t>318A</t>
  </si>
  <si>
    <t>ＶＩＸ短期先物指数ＥＴＦ　受益証券</t>
  </si>
  <si>
    <t>SIMPLEX VIX Short-Term Futures ETF</t>
  </si>
  <si>
    <t>3226</t>
  </si>
  <si>
    <t>三井不動産アコモデーションファンド投資法人　投資証券</t>
  </si>
  <si>
    <t>Mitsui Fudosan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</si>
  <si>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</si>
  <si>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</si>
  <si>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</si>
  <si>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</si>
  <si>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</si>
  <si>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</si>
  <si>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</si>
  <si>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</si>
  <si>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</si>
  <si>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</si>
  <si>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</si>
  <si>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</si>
  <si>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</si>
  <si>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</si>
  <si>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</si>
  <si>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</si>
  <si>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</si>
  <si>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</si>
  <si>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</si>
  <si>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</si>
  <si>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</si>
  <si>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</si>
  <si>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</si>
  <si>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</si>
  <si>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328A</t>
  </si>
  <si>
    <t>グローバルＸ　プライシングパワー・リーダーズ－日本株式　ＥＴＦ　受益証券</t>
  </si>
  <si>
    <t>Global X Japan Pricing Power Leaders ETF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</si>
  <si>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</si>
  <si>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</si>
  <si>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</si>
  <si>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</si>
  <si>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</si>
  <si>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</si>
  <si>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</si>
  <si>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</si>
  <si>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</si>
  <si>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</si>
  <si>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</si>
  <si>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</si>
  <si>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</si>
  <si>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</si>
  <si>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</si>
  <si>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</si>
  <si>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</si>
  <si>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</si>
  <si>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</si>
  <si>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</si>
  <si>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</si>
  <si>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</si>
  <si>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</si>
  <si>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</si>
  <si>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345A</t>
  </si>
  <si>
    <t>高配当成長　日本株（ネットリターン）ＥＴＮ　受益証券</t>
  </si>
  <si>
    <t>High Dividend Growth Japan Equity Net Return ETN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</si>
  <si>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</si>
  <si>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</si>
  <si>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</si>
  <si>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</si>
  <si>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</si>
  <si>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</si>
  <si>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</si>
  <si>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</si>
  <si>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</si>
  <si>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</si>
  <si>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</si>
  <si>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</si>
  <si>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346A</t>
  </si>
  <si>
    <t>ＮＥＸＴ　ＦＵＮＤＳ　Ｓ＆Ｐ　５００　半導体・半導体製造装置３５％キャップ指数連動型上場投信　受益証券</t>
  </si>
  <si>
    <t>NEXT FUNDS S&amp;P 500 Semiconductors &amp; Semiconductor Equipment (Industry Group) 35% Capped Index Exchange Traded Fund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</si>
  <si>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</si>
  <si>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</si>
  <si>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</si>
  <si>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</si>
  <si>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</si>
  <si>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</si>
  <si>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</si>
  <si>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日本ホテル＆レジデンシャル投資法人　投資証券</t>
  </si>
  <si>
    <t>Nippon Hotel &amp; Residential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</si>
  <si>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</si>
  <si>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</si>
  <si>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</si>
  <si>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</si>
  <si>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</si>
  <si>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</si>
  <si>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</si>
  <si>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</si>
  <si>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</si>
  <si>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</si>
  <si>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セントラル・リート投資法人　投資証券</t>
  </si>
  <si>
    <t>CENTRAL REIT Investment Corporation</t>
  </si>
  <si>
    <t>348A</t>
  </si>
  <si>
    <t>ＭＡＸＩＳ読売３３３日本株上場投信　受益証券</t>
  </si>
  <si>
    <t>MAXIS Yomiuri333 Japan Stock ETF</t>
  </si>
  <si>
    <t>3492</t>
  </si>
  <si>
    <t>ＭＩＲＡＲＴＨ不動産投資法人　投資証券</t>
  </si>
  <si>
    <t>MIRARTH Real Estate Investment Corporation</t>
  </si>
  <si>
    <t>349A</t>
  </si>
  <si>
    <t>ＳＭＤＡＭ　Ａｃｔｉｖｅ　ＥＴＦ　日本グロース株式　受益証券</t>
  </si>
  <si>
    <t>SMDAM Active ETF Japan Growth Equity</t>
  </si>
  <si>
    <t>354A</t>
  </si>
  <si>
    <t>ｉＦｒｅｅＥＴＦ　ブルームバーグ日本株高配当５０指数　受益証券</t>
  </si>
  <si>
    <t>iFreeETF Bloomberg Japan High Dividend 50 Index</t>
  </si>
  <si>
    <t>356A</t>
  </si>
  <si>
    <t>グローバルＸ　Ｓ＆Ｐ５００　キャッシュフロー・トップ１００　ＥＴＦ　受益証券</t>
  </si>
  <si>
    <t>Global X S&amp;P 500 Cash Flow Top 100 ETF</t>
  </si>
  <si>
    <t>360A</t>
  </si>
  <si>
    <t>東証ＲＥＩＴ　Ｃｏｒｅ　ＥＴＦ　受益証券</t>
  </si>
  <si>
    <t>TSE REIT Core ETF</t>
  </si>
  <si>
    <t>363A</t>
  </si>
  <si>
    <t>ｉＦｒｅｅＥＴＦ　英国ＦＴＳＥ１００　受益証券</t>
  </si>
  <si>
    <t>iFreeETF FTSE100</t>
  </si>
  <si>
    <t>364A</t>
  </si>
  <si>
    <t>ＮＥＸＴ　ＦＵＮＤＳ　Ｓ＆Ｐ　５００　配当貴族指数連動型上場投信　受益証券</t>
  </si>
  <si>
    <t>NEXT FUNDS S&amp;P 500 Dividend Aristocrats Index Exchange Traded Fund</t>
  </si>
  <si>
    <t>376A</t>
  </si>
  <si>
    <t>ＮＥＸＴ　ＦＵＮＤＳ　ブルームバーグ米国国債（７－１０年）インデックス（７５％為替ヘッジあり）連動型上場投信　受益証券</t>
  </si>
  <si>
    <t>NEXT FUNDS Bloomberg US Treasury Bond (7-10 year) Index (75% Yen-Hedged) Exchange Traded Fund</t>
  </si>
  <si>
    <t>379A</t>
  </si>
  <si>
    <t>グローバルＸ　Ｓ＆Ｐ５００　ＥＴＦ（ダイナミック・プロテクション）　受益証券</t>
  </si>
  <si>
    <t>Global X S&amp;P 500 ETF (Dynamic Protection)</t>
  </si>
  <si>
    <t>380A</t>
  </si>
  <si>
    <t>グローバルＸ　チャイナテック　ＥＴＦ　受益証券</t>
  </si>
  <si>
    <t>Global X China Tech ETF</t>
  </si>
  <si>
    <t>381A</t>
  </si>
  <si>
    <t>ｉＦｒｅｅＥＴＦ　米国国債３－５年（為替ヘッジなし）　受益証券</t>
  </si>
  <si>
    <t>iFreeETF US Treasury Bond 3-5 Year (NON HEDGED)</t>
  </si>
  <si>
    <t>382A</t>
  </si>
  <si>
    <t>ｉＦｒｅｅＥＴＦ　米国国債３－５年（為替ヘッジあり）　受益証券</t>
  </si>
  <si>
    <t>iFreeETF US Treasury Bond 3-5 Year (JPY HEDGED)</t>
  </si>
  <si>
    <t>383A</t>
  </si>
  <si>
    <t>ＭＡＸＩＳ　Ｓ＆Ｐ５００均等ウェイト上場投信　受益証券</t>
  </si>
  <si>
    <t>MAXIS S&amp;P500 Equal Weight ETF</t>
  </si>
  <si>
    <t>392A</t>
  </si>
  <si>
    <t>ｉシェアーズ　ＮＡＳＤＡＱ　トップ　３０　ＥＴＦ　受益証券</t>
  </si>
  <si>
    <t>iShares Nasdaq Top 30 ETF</t>
  </si>
  <si>
    <t>394A</t>
  </si>
  <si>
    <t>業界改革厳選ＥＴＦテレビ業界　受益証券</t>
  </si>
  <si>
    <t>Sector Restructuring Select ETF TV</t>
  </si>
  <si>
    <t>395A</t>
  </si>
  <si>
    <t>業界改革厳選ＥＴＦ地銀　受益証券</t>
  </si>
  <si>
    <t>Sector Restructuring Select ETF Regional Banks</t>
  </si>
  <si>
    <t>396A</t>
  </si>
  <si>
    <t>業界改革厳選ＥＴＦ　ＲＥＩＴイベント・ドリブン　受益証券</t>
  </si>
  <si>
    <t>Sector Restructuring Select ETF Event-Driven REITs</t>
  </si>
  <si>
    <t>399A</t>
  </si>
  <si>
    <t>上場インデックスファンド日経平均高配当株５０　受益証券</t>
  </si>
  <si>
    <t>Listed Index Fund Nikkei 225 High Dividend Yield Stock 50</t>
  </si>
  <si>
    <t>401A</t>
  </si>
  <si>
    <t>霞ヶ関ホテルリート投資法人　投資証券</t>
  </si>
  <si>
    <t>Kasumigaseki Hotel REIT Investment Corporation</t>
  </si>
  <si>
    <t>404A</t>
  </si>
  <si>
    <t>グローバルＸ　チャイナテック・トップ１０　ＥＴＦ　受益証券</t>
  </si>
  <si>
    <t>Global X China Tech Top 10 ETF</t>
  </si>
  <si>
    <t>408A</t>
  </si>
  <si>
    <t>ｉシェアーズ　ＡＩ　グローバル・イノベーション　アクティブ　ＥＴＦ　受益証券</t>
  </si>
  <si>
    <t>iShares A.I. Global Innovation Active ETF</t>
  </si>
  <si>
    <t>412A</t>
  </si>
  <si>
    <t>ＮＥＸＴ　ＦＵＮＤＳ　ＴＩＰ　ＦａｃｔＳｅｔ　台湾イノベイティブ・テクノロジー５０指数連動型上場投信　受益証券</t>
  </si>
  <si>
    <t>NEXT FUNDS TIP FactSet Taiwan Innovative Technology 50 Index Exchange Traded Fund</t>
  </si>
  <si>
    <t>413A</t>
  </si>
  <si>
    <t>ｉＦｒｅｅＥＴＦ　キャセイ台湾テックリーダー指数　受益証券</t>
  </si>
  <si>
    <t>iFreeETF Cathay Taiwan Tech Leader Index</t>
  </si>
  <si>
    <t>424A</t>
  </si>
  <si>
    <t>グローバルＸ　ゴールド　ＥＴＦ（為替ヘッジあり）　受益証券</t>
  </si>
  <si>
    <t>Global X Gold ETF (JPY Hedged)</t>
  </si>
  <si>
    <t>425A</t>
  </si>
  <si>
    <t>グローバルＸ　ゴールド　ＥＴＦ　受益証券</t>
  </si>
  <si>
    <t>Global X Gold ETF</t>
  </si>
  <si>
    <t>426A</t>
  </si>
  <si>
    <t>ニッセイＥＴＦ　Ｓ＆Ｐ５００イコール・ウェイト（為替ヘッジなし）　受益証券</t>
  </si>
  <si>
    <t>Nissay ETF S&amp;P500 Equal Weight (Currency Unhedged)</t>
  </si>
  <si>
    <t>435A</t>
  </si>
  <si>
    <t>ｉＦｒｅｅＥＴＦ　日本株配当ローテーション戦略　受益証券</t>
  </si>
  <si>
    <t>iFreeETF Japan Equity Dividend Rotation Strategy</t>
  </si>
  <si>
    <t>443A</t>
  </si>
  <si>
    <t>ｉＦｒｅｅＥＴＦ　東証ＲＥＩＴ指数（２・５・８・１１月決算型）　受益証券</t>
  </si>
  <si>
    <t>iFreeETF Tokyo Stock Exchange REIT Index (Feb/May/Aug/Nov Dividend Type)</t>
  </si>
  <si>
    <t>447A</t>
  </si>
  <si>
    <t>ステート・ストリート・スパイダー　ゴールド　ＥＴＦ（為替ヘッジなし）　受益証券</t>
  </si>
  <si>
    <t>State Street SPDR Gold ETF (JPY Unhedged)</t>
  </si>
  <si>
    <t>448A</t>
  </si>
  <si>
    <t>ステート・ストリート・スパイダー　ゴールド　ＥＴＦ（為替ヘッジあり）　受益証券</t>
  </si>
  <si>
    <t>State Street SPDR Gold ETF (JPY Hedged)</t>
  </si>
  <si>
    <t>449A</t>
  </si>
  <si>
    <t>ステート・ストリート・スパイダー　Ｓ＆Ｐ５００　ＥＴＦ（為替ヘッジなし）　受益証券</t>
  </si>
  <si>
    <t>State Street SPDR S&amp;P 500 ETF (JPY Unhedged)</t>
  </si>
  <si>
    <t>450A</t>
  </si>
  <si>
    <t>ステート・ストリート・スパイダー　Ｓ＆Ｐ５００　ＥＴＦ（為替ヘッジあり）　受益証券</t>
  </si>
  <si>
    <t>State Street SPDR S&amp;P 500 ETF (JPY Hedged)</t>
  </si>
  <si>
    <t>451A</t>
  </si>
  <si>
    <t>ステート・ストリート・スパイダー　Ｓ＆Ｐ５００高配当株　ＥＴＦ　受益証券</t>
  </si>
  <si>
    <t>State Street SPDR S&amp;P 500 High Dividend ETF (JPY Unhedged)</t>
  </si>
  <si>
    <t>452A</t>
  </si>
  <si>
    <t>ｉシェアーズ　Ｓ＆Ｐ　５００　プレミアムインカム　ＥＴＦ　受益証券</t>
  </si>
  <si>
    <t>iShares S&amp;P 500 Premium Income ETF</t>
  </si>
  <si>
    <t>453A</t>
  </si>
  <si>
    <t>ｉシェアーズ　米国債２０年超　プレミアムインカム　ＥＴＦ　受益証券</t>
  </si>
  <si>
    <t>iShares 20+ Year US Treasury Bond Premium Income ETF</t>
  </si>
  <si>
    <t>459A</t>
  </si>
  <si>
    <t>野村高利回りＪリート指数ＥＴＦ　受益証券</t>
  </si>
  <si>
    <t>Nomura High-yield J-REIT Index ETF</t>
  </si>
  <si>
    <t>461A</t>
  </si>
  <si>
    <t>ＭＡＸＩＳ日本株高配当ＳＭＡＲＴ５０上場投信　受益証券</t>
  </si>
  <si>
    <t>MAXIS Japan Equity High Dividend SMART 50 ETF</t>
  </si>
  <si>
    <t>465A</t>
  </si>
  <si>
    <t>グローバルＸ　日経平均株主還元４０－日本株式　ＥＴＦ　受益証券</t>
  </si>
  <si>
    <t>Global X Japan Nikkei 225 Shareholder Return 40 ETF</t>
  </si>
  <si>
    <t>466A</t>
  </si>
  <si>
    <t>グローバルＸ　防衛テック　ＥＴＦ　受益証券</t>
  </si>
  <si>
    <t>Global X Defense Tech ETF</t>
  </si>
  <si>
    <t>467A</t>
  </si>
  <si>
    <t>グローバルＸ　米ドル建て投資適格社債　ＥＴＦ（為替ヘッジあり）　受益証券</t>
  </si>
  <si>
    <t>Global X USD Investment Grade Corporate Bond ETF (JPY Hedged)</t>
  </si>
  <si>
    <t>468A</t>
  </si>
  <si>
    <t>グローバルＸ　米ドル建て投資適格社債　ＥＴＦ　受益証券</t>
  </si>
  <si>
    <t>Global X USD Investment Grade Corporate Bond ETF</t>
  </si>
  <si>
    <t>473A</t>
  </si>
  <si>
    <t>ニッセイＥＴＦ　日経２２５インデックス　受益証券</t>
  </si>
  <si>
    <t>Nissay ETF Nikkei 225 Index</t>
  </si>
  <si>
    <t>486A</t>
  </si>
  <si>
    <t>ＮＥＸＴ　ＦＵＮＤＳ　ユーロ・ストックス５０指数（為替ヘッジなし）連動型上場投信　受益証券</t>
  </si>
  <si>
    <t>NEXT FUNDS EURO STOXX 50 (Unhedged) Exchange Traded Fund</t>
  </si>
  <si>
    <t>487A</t>
  </si>
  <si>
    <t>ＮＥＸＴ　ＦＵＮＤＳ　ドイツ株式・ＤＡＸ（為替ヘッジなし）連動型上場投信　受益証券</t>
  </si>
  <si>
    <t>NEXT FUNDS German Equity DAX (Unhedged) Exchange Traded Fund</t>
  </si>
  <si>
    <t>488A</t>
  </si>
  <si>
    <t>ｉシェアーズ　円高フォーカス　ＥＴＦ　受益証券</t>
  </si>
  <si>
    <t>iShares Yen Appreciation Focus ETF</t>
  </si>
  <si>
    <t>489A</t>
  </si>
  <si>
    <t>東証ＲＥＩＴ物流フォーカスＥＴＦ　受益証券</t>
  </si>
  <si>
    <t>TSE REIT Logistics Focus ETF</t>
  </si>
  <si>
    <t>491A</t>
  </si>
  <si>
    <t>ｉシェアーズ　Ｓ＆Ｐ　５００　除く金融　ＥＴＦ（為替ヘッジあり）　受益証券</t>
  </si>
  <si>
    <t>iShares S&amp;P 500 Ex-Financials JPY Hedged ETF</t>
  </si>
  <si>
    <t>492A</t>
  </si>
  <si>
    <t>Ｏｎｅ　ＥＴＦ　日本国債　高クーポン（平均残存１０年未満）　受益証券</t>
  </si>
  <si>
    <t>One ETF Japanese Government Bond High Coupon (Average Duration Below Ten Years)</t>
  </si>
  <si>
    <t>493A</t>
  </si>
  <si>
    <t>Ｏｎｅ　ＥＴＦ　日本国債　１－３年　受益証券</t>
  </si>
  <si>
    <t>One ETF Japanese Government Bond 1-3 years</t>
  </si>
  <si>
    <t>494A</t>
  </si>
  <si>
    <t>Ｏｎｅ　ＥＴＦ　日本国債　３－７年　受益証券</t>
  </si>
  <si>
    <t>One ETF Japanese Government Bond 3-7 years</t>
  </si>
  <si>
    <t>495A</t>
  </si>
  <si>
    <t>Ｏｎｅ　ＥＴＦ　日本国債　７－１０年　受益証券</t>
  </si>
  <si>
    <t>One ETF Japanese Government Bond 7-10 years</t>
  </si>
  <si>
    <t>496A</t>
  </si>
  <si>
    <t>Ｏｎｅ　ＥＴＦ　日本国債　１７－２０年　受益証券</t>
  </si>
  <si>
    <t>One ETF Japanese Government Bond 17-20 years</t>
  </si>
  <si>
    <t>497A</t>
  </si>
  <si>
    <t>インバウンド消費関連　日本株（ネットリターン）ＥＴＮ　受益証券</t>
  </si>
  <si>
    <t>Inbound Consumer Related Japan Equity Net Return ETN</t>
  </si>
  <si>
    <t>498A</t>
  </si>
  <si>
    <t>防衛・航空宇宙　欧州株（ネットリターン）ＥＴＮ　受益証券</t>
  </si>
  <si>
    <t>Defense Aerospace Europe Equity Net Return ETN</t>
  </si>
  <si>
    <t>499A</t>
  </si>
  <si>
    <t>ラグジュアリー厳選１０　欧州株（ネットリターン）ＥＴＮ　受益証券</t>
  </si>
  <si>
    <t>Luxury Select 10 Europe Equity Net Return ETN</t>
  </si>
  <si>
    <t>502A</t>
  </si>
  <si>
    <t>グローバルＸ　超短期円建て債券　ＥＴＦ　受益証券</t>
  </si>
  <si>
    <t>Global X JPY Ultra Short-Term Bond ETF</t>
  </si>
  <si>
    <t>509A</t>
  </si>
  <si>
    <t>グリーンライト・再エネインフラ投資法人　投資証券</t>
  </si>
  <si>
    <t>Green Light Renewable Energy Infrastructure Fund</t>
  </si>
  <si>
    <t xml:space="preserve">新規上場  </t>
  </si>
  <si>
    <t xml:space="preserve">New Listing  </t>
  </si>
  <si>
    <t xml:space="preserve">2026/03/10  </t>
  </si>
  <si>
    <t>512A</t>
  </si>
  <si>
    <t>グローバルＸ　ステーブルコイン＆トークンビジネス　ＥＴＦ（除く日本）　受益証券</t>
  </si>
  <si>
    <t>Global X Stablecoins &amp; Tokenization ETF (ex-Japan)</t>
  </si>
  <si>
    <t>513A</t>
  </si>
  <si>
    <t>グローバルＸ　防衛テック－日本株式　ＥＴＦ　受益証券</t>
  </si>
  <si>
    <t>Global X Japan Defense Tech ETF</t>
  </si>
  <si>
    <t>515A</t>
  </si>
  <si>
    <t>ｉシェアーズ　高格付け日本円社債　ＥＴＦ　受益証券</t>
  </si>
  <si>
    <t>iShares JPY Investment Grade Corporate Bond Active ETF</t>
  </si>
  <si>
    <t xml:space="preserve">2026/03/13  </t>
  </si>
  <si>
    <t>516A</t>
  </si>
  <si>
    <t>ｉＦｒｅｅＥＴＦ　米ドル・ブル（１倍）　受益証券</t>
  </si>
  <si>
    <t>iFreeETF US Dollar Bull (1x)</t>
  </si>
  <si>
    <t xml:space="preserve">2026/03/03  </t>
  </si>
  <si>
    <t>517A</t>
  </si>
  <si>
    <t>ｉＦｒｅｅＥＴＦ　米ドル・ベア（１倍）　受益証券</t>
  </si>
  <si>
    <t>iFreeETF US Dollar Bear (1x)</t>
  </si>
  <si>
    <t>518A</t>
  </si>
  <si>
    <t>ＮＥＸＴ　ＦＵＮＤＳ　ＦＴＳＥ日本株高配当キャッシュフロー５０指数連動型上場投信　受益証券</t>
  </si>
  <si>
    <t>NEXT FUNDS FTSE Japan ex-REITs High Income Cash Flow 50 Index Exchange Traded Fund</t>
  </si>
  <si>
    <t>521A</t>
  </si>
  <si>
    <t>ｉＦｒｅｅＥＴＦ　ＦＡＮＧ＋ゴールド　受益証券</t>
  </si>
  <si>
    <t>iFreeETF FANG+GOLD</t>
  </si>
  <si>
    <t xml:space="preserve">2026/03/11  </t>
  </si>
  <si>
    <t>526A</t>
  </si>
  <si>
    <t>ＪＰＸスタートアップ急成長１００ＥＴＦ　受益証券</t>
  </si>
  <si>
    <t>JPX Startup100 ETF</t>
  </si>
  <si>
    <t>530A</t>
  </si>
  <si>
    <t>ＮＺＡＭ　上場投信　東証ＲＥＩＴ指数（２・５・８・１１月決算型）　受益証券</t>
  </si>
  <si>
    <t>NZAM ETF J-REIT Index(2 5 8 11)</t>
  </si>
  <si>
    <t xml:space="preserve">2026/03/19  </t>
  </si>
  <si>
    <t>531A</t>
  </si>
  <si>
    <t>ＮＺＡＭ　上場投信　日経平均高配当株５０　受益証券</t>
  </si>
  <si>
    <t>NZAM ETF Nikkei High Dividend 50</t>
  </si>
  <si>
    <t>532A</t>
  </si>
  <si>
    <t>ＮＺＡＭ　上場投信　ＴＯＰＩＸ高配当４０　受益証券</t>
  </si>
  <si>
    <t>NZAM ETF TOPIX High Dividend 40</t>
  </si>
  <si>
    <t>533A</t>
  </si>
  <si>
    <t>ＮＺＡＭ　上場投信　Ｓ＆Ｐ５００（為替ヘッジなし）　受益証券</t>
  </si>
  <si>
    <t>NZAM ETF S&amp;P500(Unhedged)</t>
  </si>
  <si>
    <t>534A</t>
  </si>
  <si>
    <t>ＮＺＡＭ　上場投信　ＮＡＳＤＡＱ１００（為替ヘッジなし）　受益証券</t>
  </si>
  <si>
    <t>NZAM ETF NASDAQ100(Unhedged)</t>
  </si>
  <si>
    <t>535A</t>
  </si>
  <si>
    <t>ＮＺＡＭ　上場投信　ＤＡＸ（為替ヘッジなし）　受益証券</t>
  </si>
  <si>
    <t>NZAM ETF DAX(Unhedged)</t>
  </si>
  <si>
    <t>536A</t>
  </si>
  <si>
    <t>ＮＺＡＭ　上場投信　先進国株式（ＭＳＣＩ－ＫＯＫＵＳＡＩ）（為替ヘッジなし）　受益証券</t>
  </si>
  <si>
    <t>NZAM ETF MSCI-KOKUSAI(Unhedged)</t>
  </si>
  <si>
    <t>537A</t>
  </si>
  <si>
    <t>ＮＺＡＭ　上場投信　全世界株式（ＭＳＣＩ　ＡＣＷＩ）（為替ヘッジなし）　受益証券</t>
  </si>
  <si>
    <t>NZAM ETF MSCI ACWI(Unhedged)</t>
  </si>
  <si>
    <t>538A</t>
  </si>
  <si>
    <t>ＮＺＡＭ　上場投信　米国国債７－１０年（為替ヘッジなし）　受益証券</t>
  </si>
  <si>
    <t>NZAM ETF US Treasury 7-10Y(Unhedged)</t>
  </si>
  <si>
    <t>539A</t>
  </si>
  <si>
    <t>ＮＺＡＭ　上場投信　海外債券（ＦＴＳＥ　ＷＧＢＩ除く日本）（為替ヘッジなし）　受益証券</t>
  </si>
  <si>
    <t>NZAM ETF FTSE WGBI ex Japan(Unhedged)</t>
  </si>
  <si>
    <t>540A</t>
  </si>
  <si>
    <t>上場インデックスファンド日経銀行株トップ１０　受益証券</t>
  </si>
  <si>
    <t>Listed Index Fund Nikkei Bank Stock Top 10</t>
  </si>
  <si>
    <t xml:space="preserve">2026/03/18  </t>
  </si>
  <si>
    <t>541A</t>
  </si>
  <si>
    <t>Ｏｎｅ　ＥＴＦ　ＴＯＰＩＸ高配当株グロース指数　受益証券</t>
  </si>
  <si>
    <t>One ETF TOPIX High Dividend Growth Index</t>
  </si>
  <si>
    <t xml:space="preserve">2026/03/24  </t>
  </si>
  <si>
    <t>552A</t>
  </si>
  <si>
    <t>ＭＡＸＩＳ米国ＡＩインフラ株上場投信　受益証券</t>
  </si>
  <si>
    <t>MAXIS US AI Infrastructure Equity ETF</t>
  </si>
  <si>
    <t xml:space="preserve">2026/03/31  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</si>
  <si>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</si>
  <si>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</si>
  <si>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</si>
  <si>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</si>
  <si>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</si>
  <si>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</si>
  <si>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</si>
  <si>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</si>
  <si>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</si>
  <si>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</si>
  <si>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</si>
  <si>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</si>
  <si>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</si>
  <si>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</si>
  <si>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</si>
  <si>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</si>
  <si>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</si>
  <si>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</si>
  <si>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</si>
  <si>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</si>
  <si>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</si>
  <si>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</si>
  <si>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</si>
  <si>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</si>
  <si>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</si>
  <si>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</si>
  <si>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</si>
  <si>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</si>
  <si>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</si>
  <si>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</si>
  <si>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</si>
  <si>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</si>
  <si>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</si>
  <si>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</si>
  <si>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</si>
  <si>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</si>
  <si>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</si>
  <si>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</si>
  <si>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</si>
  <si>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</si>
  <si>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</si>
  <si>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</si>
  <si>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</si>
  <si>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</si>
  <si>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</si>
  <si>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</si>
  <si>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ＫＤＸ不動産投資法人　投資証券</t>
  </si>
  <si>
    <t>KDX Realty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</si>
  <si>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</si>
  <si>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</si>
  <si>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</si>
  <si>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</si>
  <si>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</si>
  <si>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</si>
  <si>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</si>
  <si>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</si>
  <si>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</si>
  <si>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</si>
  <si>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</si>
  <si>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</si>
  <si>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</si>
  <si>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</si>
  <si>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</si>
  <si>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</si>
  <si>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</si>
  <si>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</si>
  <si>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</si>
  <si>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</si>
  <si>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</si>
  <si>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</si>
  <si>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</si>
  <si>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</si>
  <si>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</si>
  <si>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</si>
  <si>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</si>
  <si>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</si>
  <si>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</si>
  <si>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</si>
  <si>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</si>
  <si>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</si>
  <si>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</si>
  <si>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</si>
  <si>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</si>
  <si>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</si>
  <si>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</si>
  <si>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</si>
  <si>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</si>
  <si>
    <t>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</si>
</sst>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9" fontId="2" fillId="0" borderId="0" applyFont="0" applyFill="0" applyBorder="0" applyAlignment="0" applyProtection="0"/>
    <xf numFmtId="0" fontId="12" fillId="0" borderId="0"/>
    <xf numFmtId="0" fontId="8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2" fillId="21" borderId="28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9" applyNumberFormat="0" applyAlignment="0" applyProtection="0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1" fillId="0" borderId="30" applyNumberFormat="0" applyFill="0" applyAlignment="0" applyProtection="0"/>
    <xf numFmtId="0" fontId="32" fillId="0" borderId="31" applyNumberFormat="0" applyFill="0" applyAlignment="0" applyProtection="0"/>
    <xf numFmtId="0" fontId="33" fillId="0" borderId="32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7" applyNumberFormat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7" fillId="0" borderId="0"/>
    <xf numFmtId="0" fontId="35" fillId="0" borderId="33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6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7" applyNumberFormat="0" applyFill="0" applyBorder="0" applyProtection="0"/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64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9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8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8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" fillId="0" borderId="0"/>
    <xf numFmtId="0" fontId="8" fillId="0" borderId="0"/>
    <xf numFmtId="0" fontId="83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3" fillId="0" borderId="0"/>
    <xf numFmtId="0" fontId="8" fillId="0" borderId="0"/>
    <xf numFmtId="0" fontId="83" fillId="0" borderId="0"/>
    <xf numFmtId="0" fontId="1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4" fillId="0" borderId="0">
      <alignment vertical="center"/>
    </xf>
    <xf numFmtId="0" fontId="8" fillId="0" borderId="0"/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8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49" fontId="2" fillId="0" borderId="15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49" fontId="2" fillId="0" borderId="16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right" vertical="center"/>
    </xf>
    <xf numFmtId="0" fontId="2" fillId="0" borderId="6" xfId="1" applyNumberFormat="1" applyFont="1" applyFill="1" applyBorder="1" applyAlignment="1">
      <alignment horizontal="right" vertical="center"/>
    </xf>
    <xf numFmtId="0" fontId="2" fillId="0" borderId="18" xfId="1" applyNumberFormat="1" applyFont="1" applyFill="1" applyBorder="1" applyAlignment="1">
      <alignment horizontal="right" vertical="center"/>
    </xf>
    <xf numFmtId="0" fontId="2" fillId="0" borderId="19" xfId="1" applyNumberFormat="1" applyFont="1" applyFill="1" applyBorder="1" applyAlignment="1">
      <alignment horizontal="right" vertical="center"/>
    </xf>
    <xf numFmtId="49" fontId="11" fillId="0" borderId="17" xfId="2" applyNumberFormat="1" applyFont="1" applyFill="1" applyBorder="1" applyAlignment="1">
      <alignment horizontal="right"/>
    </xf>
    <xf numFmtId="49" fontId="11" fillId="0" borderId="20" xfId="2" applyNumberFormat="1" applyFont="1" applyFill="1" applyBorder="1" applyAlignment="1">
      <alignment horizontal="right"/>
    </xf>
    <xf numFmtId="49" fontId="11" fillId="0" borderId="19" xfId="2" applyNumberFormat="1" applyFont="1" applyFill="1" applyBorder="1" applyAlignment="1">
      <alignment horizontal="right"/>
    </xf>
    <xf numFmtId="49" fontId="7" fillId="0" borderId="21" xfId="1" applyNumberFormat="1" applyFont="1" applyFill="1" applyBorder="1" applyAlignment="1">
      <alignment horizontal="left" vertical="center"/>
    </xf>
    <xf numFmtId="49" fontId="7" fillId="0" borderId="22" xfId="1" applyNumberFormat="1" applyFont="1" applyFill="1" applyBorder="1" applyAlignment="1">
      <alignment horizontal="left" vertical="center"/>
    </xf>
    <xf numFmtId="49" fontId="7" fillId="0" borderId="23" xfId="1" applyNumberFormat="1" applyFont="1" applyFill="1" applyBorder="1" applyAlignment="1">
      <alignment horizontal="left" vertical="center"/>
    </xf>
    <xf numFmtId="49" fontId="7" fillId="0" borderId="24" xfId="1" applyNumberFormat="1" applyFont="1" applyFill="1" applyBorder="1" applyAlignment="1">
      <alignment horizontal="left" vertical="center"/>
    </xf>
    <xf numFmtId="49" fontId="7" fillId="0" borderId="21" xfId="2" applyNumberFormat="1" applyFont="1" applyFill="1" applyBorder="1" applyAlignment="1">
      <alignment horizontal="left"/>
    </xf>
    <xf numFmtId="3" fontId="7" fillId="0" borderId="21" xfId="2" applyNumberFormat="1" applyFont="1" applyFill="1" applyBorder="1" applyAlignment="1">
      <alignment horizontal="right"/>
    </xf>
    <xf numFmtId="4" fontId="7" fillId="0" borderId="25" xfId="2" applyNumberFormat="1" applyFont="1" applyFill="1" applyBorder="1" applyAlignment="1">
      <alignment horizontal="right"/>
    </xf>
    <xf numFmtId="49" fontId="7" fillId="0" borderId="24" xfId="2" applyNumberFormat="1" applyFont="1" applyFill="1" applyBorder="1" applyAlignment="1">
      <alignment horizontal="right"/>
    </xf>
    <xf numFmtId="4" fontId="7" fillId="0" borderId="21" xfId="2" applyNumberFormat="1" applyFont="1" applyFill="1" applyBorder="1" applyAlignment="1">
      <alignment horizontal="right"/>
    </xf>
    <xf numFmtId="189" fontId="7" fillId="0" borderId="21" xfId="2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24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r="1" spans="1:24" ht="13.5" customHeight="1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r="2" spans="1:24" ht="99" customHeight="1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r="3" spans="1:24" ht="39" customHeight="1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r="4" spans="1:24" s="2" customFormat="1" ht="13.5" customHeight="1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r="7" spans="1:24" s="2" customFormat="1" ht="13.5" customHeight="1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4084</f>
        <v>4084.0</v>
      </c>
      <c r="L7" s="34" t="s">
        <v>48</v>
      </c>
      <c r="M7" s="33" t="n">
        <f>4145</f>
        <v>4145.0</v>
      </c>
      <c r="N7" s="34" t="s">
        <v>48</v>
      </c>
      <c r="O7" s="33" t="n">
        <f>3657</f>
        <v>3657.0</v>
      </c>
      <c r="P7" s="34" t="s">
        <v>49</v>
      </c>
      <c r="Q7" s="33" t="n">
        <f>3743</f>
        <v>3743.0</v>
      </c>
      <c r="R7" s="34" t="s">
        <v>50</v>
      </c>
      <c r="S7" s="35" t="n">
        <f>3871.52</f>
        <v>3871.52</v>
      </c>
      <c r="T7" s="32" t="n">
        <f>17347770</f>
        <v>1.734777E7</v>
      </c>
      <c r="U7" s="32" t="n">
        <f>12112980</f>
        <v>1.211298E7</v>
      </c>
      <c r="V7" s="32" t="n">
        <f>67265665728</f>
        <v>6.7265665728E10</v>
      </c>
      <c r="W7" s="32" t="n">
        <f>47025515158</f>
        <v>4.7025515158E10</v>
      </c>
      <c r="X7" s="36" t="n">
        <f>21</f>
        <v>21.0</v>
      </c>
    </row>
    <row r="8">
      <c r="A8" s="27" t="s">
        <v>42</v>
      </c>
      <c r="B8" s="27" t="s">
        <v>51</v>
      </c>
      <c r="C8" s="27" t="s">
        <v>52</v>
      </c>
      <c r="D8" s="27" t="s">
        <v>53</v>
      </c>
      <c r="E8" s="28" t="s">
        <v>54</v>
      </c>
      <c r="F8" s="29" t="s">
        <v>55</v>
      </c>
      <c r="G8" s="30" t="s">
        <v>46</v>
      </c>
      <c r="H8" s="31"/>
      <c r="I8" s="31" t="s">
        <v>47</v>
      </c>
      <c r="J8" s="32" t="n">
        <v>10.0</v>
      </c>
      <c r="K8" s="33" t="n">
        <f>4038</f>
        <v>4038.0</v>
      </c>
      <c r="L8" s="34" t="s">
        <v>48</v>
      </c>
      <c r="M8" s="33" t="n">
        <f>4094</f>
        <v>4094.0</v>
      </c>
      <c r="N8" s="34" t="s">
        <v>48</v>
      </c>
      <c r="O8" s="33" t="n">
        <f>3619</f>
        <v>3619.0</v>
      </c>
      <c r="P8" s="34" t="s">
        <v>49</v>
      </c>
      <c r="Q8" s="33" t="n">
        <f>3827</f>
        <v>3827.0</v>
      </c>
      <c r="R8" s="34" t="s">
        <v>56</v>
      </c>
      <c r="S8" s="35" t="n">
        <f>3840.47</f>
        <v>3840.47</v>
      </c>
      <c r="T8" s="32" t="n">
        <f>89756360</f>
        <v>8.975636E7</v>
      </c>
      <c r="U8" s="32" t="n">
        <f>28183240</f>
        <v>2.818324E7</v>
      </c>
      <c r="V8" s="32" t="n">
        <f>345338828419</f>
        <v>3.45338828419E11</v>
      </c>
      <c r="W8" s="32" t="n">
        <f>109132740569</f>
        <v>1.09132740569E11</v>
      </c>
      <c r="X8" s="36" t="n">
        <f>19</f>
        <v>19.0</v>
      </c>
    </row>
    <row r="9">
      <c r="A9" s="27" t="s">
        <v>42</v>
      </c>
      <c r="B9" s="27" t="s">
        <v>51</v>
      </c>
      <c r="C9" s="27" t="s">
        <v>52</v>
      </c>
      <c r="D9" s="27" t="s">
        <v>53</v>
      </c>
      <c r="E9" s="28" t="s">
        <v>54</v>
      </c>
      <c r="F9" s="29" t="s">
        <v>55</v>
      </c>
      <c r="G9" s="30" t="s">
        <v>46</v>
      </c>
      <c r="H9" s="31"/>
      <c r="I9" s="31" t="s">
        <v>47</v>
      </c>
      <c r="J9" s="32" t="n">
        <v>10.0</v>
      </c>
      <c r="K9" s="33" t="n">
        <f>370</f>
        <v>370.0</v>
      </c>
      <c r="L9" s="34" t="s">
        <v>57</v>
      </c>
      <c r="M9" s="33" t="n">
        <f>379.3</f>
        <v>379.3</v>
      </c>
      <c r="N9" s="34" t="s">
        <v>50</v>
      </c>
      <c r="O9" s="33" t="n">
        <f>367.4</f>
        <v>367.4</v>
      </c>
      <c r="P9" s="34" t="s">
        <v>57</v>
      </c>
      <c r="Q9" s="33" t="n">
        <f>371.4</f>
        <v>371.4</v>
      </c>
      <c r="R9" s="34" t="s">
        <v>50</v>
      </c>
      <c r="S9" s="35" t="n">
        <f>373.9</f>
        <v>373.9</v>
      </c>
      <c r="T9" s="32" t="n">
        <f>44836180</f>
        <v>4.483618E7</v>
      </c>
      <c r="U9" s="32" t="n">
        <f>11682660</f>
        <v>1.168266E7</v>
      </c>
      <c r="V9" s="32" t="n">
        <f>16707719912</f>
        <v>1.6707719912E10</v>
      </c>
      <c r="W9" s="32" t="n">
        <f>4341232740</f>
        <v>4.34123274E9</v>
      </c>
      <c r="X9" s="36" t="n">
        <f>2</f>
        <v>2.0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3991</f>
        <v>3991.0</v>
      </c>
      <c r="L10" s="34" t="s">
        <v>48</v>
      </c>
      <c r="M10" s="33" t="n">
        <f>4044</f>
        <v>4044.0</v>
      </c>
      <c r="N10" s="34" t="s">
        <v>48</v>
      </c>
      <c r="O10" s="33" t="n">
        <f>3575</f>
        <v>3575.0</v>
      </c>
      <c r="P10" s="34" t="s">
        <v>49</v>
      </c>
      <c r="Q10" s="33" t="n">
        <f>3662</f>
        <v>3662.0</v>
      </c>
      <c r="R10" s="34" t="s">
        <v>50</v>
      </c>
      <c r="S10" s="35" t="n">
        <f>3785.48</f>
        <v>3785.48</v>
      </c>
      <c r="T10" s="32" t="n">
        <f>19761081</f>
        <v>1.9761081E7</v>
      </c>
      <c r="U10" s="32" t="n">
        <f>10219655</f>
        <v>1.0219655E7</v>
      </c>
      <c r="V10" s="32" t="n">
        <f>74750090713</f>
        <v>7.4750090713E10</v>
      </c>
      <c r="W10" s="32" t="n">
        <f>38880473165</f>
        <v>3.8880473165E10</v>
      </c>
      <c r="X10" s="36" t="n">
        <f>21</f>
        <v>21.0</v>
      </c>
    </row>
    <row r="11">
      <c r="A11" s="27" t="s">
        <v>42</v>
      </c>
      <c r="B11" s="27" t="s">
        <v>61</v>
      </c>
      <c r="C11" s="27" t="s">
        <v>62</v>
      </c>
      <c r="D11" s="27" t="s">
        <v>63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1.0</v>
      </c>
      <c r="K11" s="33" t="n">
        <f>54880</f>
        <v>54880.0</v>
      </c>
      <c r="L11" s="34" t="s">
        <v>48</v>
      </c>
      <c r="M11" s="33" t="n">
        <f>55700</f>
        <v>55700.0</v>
      </c>
      <c r="N11" s="34" t="s">
        <v>64</v>
      </c>
      <c r="O11" s="33" t="n">
        <f>50020</f>
        <v>50020.0</v>
      </c>
      <c r="P11" s="34" t="s">
        <v>57</v>
      </c>
      <c r="Q11" s="33" t="n">
        <f>51960</f>
        <v>51960.0</v>
      </c>
      <c r="R11" s="34" t="s">
        <v>50</v>
      </c>
      <c r="S11" s="35" t="n">
        <f>53574.29</f>
        <v>53574.29</v>
      </c>
      <c r="T11" s="32" t="n">
        <f>4605</f>
        <v>4605.0</v>
      </c>
      <c r="U11" s="32" t="str">
        <f>"－"</f>
        <v>－</v>
      </c>
      <c r="V11" s="32" t="n">
        <f>248414090</f>
        <v>2.4841409E8</v>
      </c>
      <c r="W11" s="32" t="str">
        <f>"－"</f>
        <v>－</v>
      </c>
      <c r="X11" s="36" t="n">
        <f>21</f>
        <v>21.0</v>
      </c>
    </row>
    <row r="12">
      <c r="A12" s="27" t="s">
        <v>42</v>
      </c>
      <c r="B12" s="27" t="s">
        <v>65</v>
      </c>
      <c r="C12" s="27" t="s">
        <v>66</v>
      </c>
      <c r="D12" s="27" t="s">
        <v>67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1963</f>
        <v>1963.0</v>
      </c>
      <c r="L12" s="34" t="s">
        <v>48</v>
      </c>
      <c r="M12" s="33" t="n">
        <f>1982</f>
        <v>1982.0</v>
      </c>
      <c r="N12" s="34" t="s">
        <v>48</v>
      </c>
      <c r="O12" s="33" t="n">
        <f>1783</f>
        <v>1783.0</v>
      </c>
      <c r="P12" s="34" t="s">
        <v>49</v>
      </c>
      <c r="Q12" s="33" t="n">
        <f>1818</f>
        <v>1818.0</v>
      </c>
      <c r="R12" s="34" t="s">
        <v>50</v>
      </c>
      <c r="S12" s="35" t="n">
        <f>1872.24</f>
        <v>1872.24</v>
      </c>
      <c r="T12" s="32" t="n">
        <f>1160904</f>
        <v>1160904.0</v>
      </c>
      <c r="U12" s="32" t="n">
        <f>401668</f>
        <v>401668.0</v>
      </c>
      <c r="V12" s="32" t="n">
        <f>2168565441</f>
        <v>2.168565441E9</v>
      </c>
      <c r="W12" s="32" t="n">
        <f>745345815</f>
        <v>7.45345815E8</v>
      </c>
      <c r="X12" s="36" t="n">
        <f>21</f>
        <v>21.0</v>
      </c>
    </row>
    <row r="13">
      <c r="A13" s="27" t="s">
        <v>42</v>
      </c>
      <c r="B13" s="27" t="s">
        <v>68</v>
      </c>
      <c r="C13" s="27" t="s">
        <v>69</v>
      </c>
      <c r="D13" s="27" t="s">
        <v>70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1000.0</v>
      </c>
      <c r="K13" s="33" t="n">
        <f>734.3</f>
        <v>734.3</v>
      </c>
      <c r="L13" s="34" t="s">
        <v>48</v>
      </c>
      <c r="M13" s="33" t="n">
        <f>734.3</f>
        <v>734.3</v>
      </c>
      <c r="N13" s="34" t="s">
        <v>48</v>
      </c>
      <c r="O13" s="33" t="n">
        <f>660.4</f>
        <v>660.4</v>
      </c>
      <c r="P13" s="34" t="s">
        <v>71</v>
      </c>
      <c r="Q13" s="33" t="n">
        <f>680</f>
        <v>680.0</v>
      </c>
      <c r="R13" s="34" t="s">
        <v>57</v>
      </c>
      <c r="S13" s="35" t="n">
        <f>691.28</f>
        <v>691.28</v>
      </c>
      <c r="T13" s="32" t="n">
        <f>58000</f>
        <v>58000.0</v>
      </c>
      <c r="U13" s="32" t="str">
        <f>"－"</f>
        <v>－</v>
      </c>
      <c r="V13" s="32" t="n">
        <f>40226200</f>
        <v>4.02262E7</v>
      </c>
      <c r="W13" s="32" t="str">
        <f>"－"</f>
        <v>－</v>
      </c>
      <c r="X13" s="36" t="n">
        <f>12</f>
        <v>12.0</v>
      </c>
    </row>
    <row r="14">
      <c r="A14" s="27" t="s">
        <v>42</v>
      </c>
      <c r="B14" s="27" t="s">
        <v>72</v>
      </c>
      <c r="C14" s="27" t="s">
        <v>73</v>
      </c>
      <c r="D14" s="27" t="s">
        <v>74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59750</f>
        <v>59750.0</v>
      </c>
      <c r="L14" s="34" t="s">
        <v>48</v>
      </c>
      <c r="M14" s="33" t="n">
        <f>60450</f>
        <v>60450.0</v>
      </c>
      <c r="N14" s="34" t="s">
        <v>48</v>
      </c>
      <c r="O14" s="33" t="n">
        <f>52480</f>
        <v>52480.0</v>
      </c>
      <c r="P14" s="34" t="s">
        <v>49</v>
      </c>
      <c r="Q14" s="33" t="n">
        <f>53300</f>
        <v>53300.0</v>
      </c>
      <c r="R14" s="34" t="s">
        <v>50</v>
      </c>
      <c r="S14" s="35" t="n">
        <f>55906.19</f>
        <v>55906.19</v>
      </c>
      <c r="T14" s="32" t="n">
        <f>2632551</f>
        <v>2632551.0</v>
      </c>
      <c r="U14" s="32" t="n">
        <f>1170627</f>
        <v>1170627.0</v>
      </c>
      <c r="V14" s="32" t="n">
        <f>147267830584</f>
        <v>1.47267830584E11</v>
      </c>
      <c r="W14" s="32" t="n">
        <f>65604763144</f>
        <v>6.5604763144E10</v>
      </c>
      <c r="X14" s="36" t="n">
        <f>21</f>
        <v>21.0</v>
      </c>
    </row>
    <row r="15">
      <c r="A15" s="27" t="s">
        <v>42</v>
      </c>
      <c r="B15" s="27" t="s">
        <v>75</v>
      </c>
      <c r="C15" s="27" t="s">
        <v>76</v>
      </c>
      <c r="D15" s="27" t="s">
        <v>77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59960</f>
        <v>59960.0</v>
      </c>
      <c r="L15" s="34" t="s">
        <v>48</v>
      </c>
      <c r="M15" s="33" t="n">
        <f>60670</f>
        <v>60670.0</v>
      </c>
      <c r="N15" s="34" t="s">
        <v>48</v>
      </c>
      <c r="O15" s="33" t="n">
        <f>52670</f>
        <v>52670.0</v>
      </c>
      <c r="P15" s="34" t="s">
        <v>49</v>
      </c>
      <c r="Q15" s="33" t="n">
        <f>53480</f>
        <v>53480.0</v>
      </c>
      <c r="R15" s="34" t="s">
        <v>50</v>
      </c>
      <c r="S15" s="35" t="n">
        <f>56100.95</f>
        <v>56100.95</v>
      </c>
      <c r="T15" s="32" t="n">
        <f>14104988</f>
        <v>1.4104988E7</v>
      </c>
      <c r="U15" s="32" t="n">
        <f>2081909</f>
        <v>2081909.0</v>
      </c>
      <c r="V15" s="32" t="n">
        <f>790873984873</f>
        <v>7.90873984873E11</v>
      </c>
      <c r="W15" s="32" t="n">
        <f>117219662013</f>
        <v>1.17219662013E11</v>
      </c>
      <c r="X15" s="36" t="n">
        <f>21</f>
        <v>21.0</v>
      </c>
    </row>
    <row r="16">
      <c r="A16" s="27" t="s">
        <v>42</v>
      </c>
      <c r="B16" s="27" t="s">
        <v>78</v>
      </c>
      <c r="C16" s="27" t="s">
        <v>79</v>
      </c>
      <c r="D16" s="27" t="s">
        <v>80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11255</f>
        <v>11255.0</v>
      </c>
      <c r="L16" s="34" t="s">
        <v>48</v>
      </c>
      <c r="M16" s="33" t="n">
        <f>11590</f>
        <v>11590.0</v>
      </c>
      <c r="N16" s="34" t="s">
        <v>71</v>
      </c>
      <c r="O16" s="33" t="n">
        <f>10505</f>
        <v>10505.0</v>
      </c>
      <c r="P16" s="34" t="s">
        <v>57</v>
      </c>
      <c r="Q16" s="33" t="n">
        <f>10930</f>
        <v>10930.0</v>
      </c>
      <c r="R16" s="34" t="s">
        <v>50</v>
      </c>
      <c r="S16" s="35" t="n">
        <f>11225.95</f>
        <v>11225.95</v>
      </c>
      <c r="T16" s="32" t="n">
        <f>21381</f>
        <v>21381.0</v>
      </c>
      <c r="U16" s="32" t="str">
        <f>"－"</f>
        <v>－</v>
      </c>
      <c r="V16" s="32" t="n">
        <f>240698365</f>
        <v>2.40698365E8</v>
      </c>
      <c r="W16" s="32" t="str">
        <f>"－"</f>
        <v>－</v>
      </c>
      <c r="X16" s="36" t="n">
        <f>21</f>
        <v>21.0</v>
      </c>
    </row>
    <row r="17">
      <c r="A17" s="27" t="s">
        <v>42</v>
      </c>
      <c r="B17" s="27" t="s">
        <v>81</v>
      </c>
      <c r="C17" s="27" t="s">
        <v>82</v>
      </c>
      <c r="D17" s="27" t="s">
        <v>83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318</f>
        <v>318.0</v>
      </c>
      <c r="L17" s="34" t="s">
        <v>48</v>
      </c>
      <c r="M17" s="33" t="n">
        <f>322</f>
        <v>322.0</v>
      </c>
      <c r="N17" s="34" t="s">
        <v>64</v>
      </c>
      <c r="O17" s="33" t="n">
        <f>288.1</f>
        <v>288.1</v>
      </c>
      <c r="P17" s="34" t="s">
        <v>49</v>
      </c>
      <c r="Q17" s="33" t="n">
        <f>311</f>
        <v>311.0</v>
      </c>
      <c r="R17" s="34" t="s">
        <v>50</v>
      </c>
      <c r="S17" s="35" t="n">
        <f>306.1</f>
        <v>306.1</v>
      </c>
      <c r="T17" s="32" t="n">
        <f>1482530</f>
        <v>1482530.0</v>
      </c>
      <c r="U17" s="32" t="n">
        <f>29310</f>
        <v>29310.0</v>
      </c>
      <c r="V17" s="32" t="n">
        <f>451926412</f>
        <v>4.51926412E8</v>
      </c>
      <c r="W17" s="32" t="n">
        <f>8938783</f>
        <v>8938783.0</v>
      </c>
      <c r="X17" s="36" t="n">
        <f>21</f>
        <v>21.0</v>
      </c>
    </row>
    <row r="18">
      <c r="A18" s="27" t="s">
        <v>42</v>
      </c>
      <c r="B18" s="27" t="s">
        <v>84</v>
      </c>
      <c r="C18" s="27" t="s">
        <v>85</v>
      </c>
      <c r="D18" s="27" t="s">
        <v>86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1.0</v>
      </c>
      <c r="K18" s="33" t="n">
        <f>77320</f>
        <v>77320.0</v>
      </c>
      <c r="L18" s="34" t="s">
        <v>48</v>
      </c>
      <c r="M18" s="33" t="n">
        <f>77830</f>
        <v>77830.0</v>
      </c>
      <c r="N18" s="34" t="s">
        <v>64</v>
      </c>
      <c r="O18" s="33" t="n">
        <f>62270</f>
        <v>62270.0</v>
      </c>
      <c r="P18" s="34" t="s">
        <v>49</v>
      </c>
      <c r="Q18" s="33" t="n">
        <f>66830</f>
        <v>66830.0</v>
      </c>
      <c r="R18" s="34" t="s">
        <v>50</v>
      </c>
      <c r="S18" s="35" t="n">
        <f>71413.33</f>
        <v>71413.33</v>
      </c>
      <c r="T18" s="32" t="n">
        <f>797662</f>
        <v>797662.0</v>
      </c>
      <c r="U18" s="32" t="n">
        <f>9574</f>
        <v>9574.0</v>
      </c>
      <c r="V18" s="32" t="n">
        <f>55910182552</f>
        <v>5.5910182552E10</v>
      </c>
      <c r="W18" s="32" t="n">
        <f>623667022</f>
        <v>6.23667022E8</v>
      </c>
      <c r="X18" s="36" t="n">
        <f>21</f>
        <v>21.0</v>
      </c>
    </row>
    <row r="19">
      <c r="A19" s="27" t="s">
        <v>42</v>
      </c>
      <c r="B19" s="27" t="s">
        <v>87</v>
      </c>
      <c r="C19" s="27" t="s">
        <v>88</v>
      </c>
      <c r="D19" s="27" t="s">
        <v>89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1.0</v>
      </c>
      <c r="K19" s="33" t="n">
        <f>19975</f>
        <v>19975.0</v>
      </c>
      <c r="L19" s="34" t="s">
        <v>48</v>
      </c>
      <c r="M19" s="33" t="n">
        <f>20100</f>
        <v>20100.0</v>
      </c>
      <c r="N19" s="34" t="s">
        <v>64</v>
      </c>
      <c r="O19" s="33" t="n">
        <f>16180</f>
        <v>16180.0</v>
      </c>
      <c r="P19" s="34" t="s">
        <v>49</v>
      </c>
      <c r="Q19" s="33" t="n">
        <f>17255</f>
        <v>17255.0</v>
      </c>
      <c r="R19" s="34" t="s">
        <v>50</v>
      </c>
      <c r="S19" s="35" t="n">
        <f>18444.52</f>
        <v>18444.52</v>
      </c>
      <c r="T19" s="32" t="n">
        <f>2322382</f>
        <v>2322382.0</v>
      </c>
      <c r="U19" s="32" t="n">
        <f>114960</f>
        <v>114960.0</v>
      </c>
      <c r="V19" s="32" t="n">
        <f>42591907453</f>
        <v>4.2591907453E10</v>
      </c>
      <c r="W19" s="32" t="n">
        <f>1975421108</f>
        <v>1.975421108E9</v>
      </c>
      <c r="X19" s="36" t="n">
        <f>21</f>
        <v>21.0</v>
      </c>
    </row>
    <row r="20">
      <c r="A20" s="27" t="s">
        <v>42</v>
      </c>
      <c r="B20" s="27" t="s">
        <v>90</v>
      </c>
      <c r="C20" s="27" t="s">
        <v>91</v>
      </c>
      <c r="D20" s="27" t="s">
        <v>92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5965</f>
        <v>5965.0</v>
      </c>
      <c r="L20" s="34" t="s">
        <v>48</v>
      </c>
      <c r="M20" s="33" t="n">
        <f>6034</f>
        <v>6034.0</v>
      </c>
      <c r="N20" s="34" t="s">
        <v>48</v>
      </c>
      <c r="O20" s="33" t="n">
        <f>5240</f>
        <v>5240.0</v>
      </c>
      <c r="P20" s="34" t="s">
        <v>49</v>
      </c>
      <c r="Q20" s="33" t="n">
        <f>5331</f>
        <v>5331.0</v>
      </c>
      <c r="R20" s="34" t="s">
        <v>50</v>
      </c>
      <c r="S20" s="35" t="n">
        <f>5582.29</f>
        <v>5582.29</v>
      </c>
      <c r="T20" s="32" t="n">
        <f>30056588</f>
        <v>3.0056588E7</v>
      </c>
      <c r="U20" s="32" t="n">
        <f>6329673</f>
        <v>6329673.0</v>
      </c>
      <c r="V20" s="32" t="n">
        <f>166842999568</f>
        <v>1.66842999568E11</v>
      </c>
      <c r="W20" s="32" t="n">
        <f>35141334732</f>
        <v>3.5141334732E10</v>
      </c>
      <c r="X20" s="36" t="n">
        <f>21</f>
        <v>21.0</v>
      </c>
    </row>
    <row r="21">
      <c r="A21" s="27" t="s">
        <v>42</v>
      </c>
      <c r="B21" s="27" t="s">
        <v>93</v>
      </c>
      <c r="C21" s="27" t="s">
        <v>94</v>
      </c>
      <c r="D21" s="27" t="s">
        <v>95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60030</f>
        <v>60030.0</v>
      </c>
      <c r="L21" s="34" t="s">
        <v>48</v>
      </c>
      <c r="M21" s="33" t="n">
        <f>60740</f>
        <v>60740.0</v>
      </c>
      <c r="N21" s="34" t="s">
        <v>48</v>
      </c>
      <c r="O21" s="33" t="n">
        <f>52730</f>
        <v>52730.0</v>
      </c>
      <c r="P21" s="34" t="s">
        <v>49</v>
      </c>
      <c r="Q21" s="33" t="n">
        <f>53590</f>
        <v>53590.0</v>
      </c>
      <c r="R21" s="34" t="s">
        <v>50</v>
      </c>
      <c r="S21" s="35" t="n">
        <f>56180</f>
        <v>56180.0</v>
      </c>
      <c r="T21" s="32" t="n">
        <f>2736770</f>
        <v>2736770.0</v>
      </c>
      <c r="U21" s="32" t="n">
        <f>1464574</f>
        <v>1464574.0</v>
      </c>
      <c r="V21" s="32" t="n">
        <f>153942277451</f>
        <v>1.53942277451E11</v>
      </c>
      <c r="W21" s="32" t="n">
        <f>82376520121</f>
        <v>8.2376520121E10</v>
      </c>
      <c r="X21" s="36" t="n">
        <f>21</f>
        <v>21.0</v>
      </c>
    </row>
    <row r="22">
      <c r="A22" s="27" t="s">
        <v>42</v>
      </c>
      <c r="B22" s="27" t="s">
        <v>96</v>
      </c>
      <c r="C22" s="27" t="s">
        <v>97</v>
      </c>
      <c r="D22" s="27" t="s">
        <v>98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1060</f>
        <v>1060.0</v>
      </c>
      <c r="L22" s="34" t="s">
        <v>48</v>
      </c>
      <c r="M22" s="33" t="n">
        <f>1084</f>
        <v>1084.0</v>
      </c>
      <c r="N22" s="34" t="s">
        <v>99</v>
      </c>
      <c r="O22" s="33" t="n">
        <f>1057</f>
        <v>1057.0</v>
      </c>
      <c r="P22" s="34" t="s">
        <v>48</v>
      </c>
      <c r="Q22" s="33" t="n">
        <f>1075</f>
        <v>1075.0</v>
      </c>
      <c r="R22" s="34" t="s">
        <v>50</v>
      </c>
      <c r="S22" s="35" t="n">
        <f>1073.71</f>
        <v>1073.71</v>
      </c>
      <c r="T22" s="32" t="n">
        <f>14004612</f>
        <v>1.4004612E7</v>
      </c>
      <c r="U22" s="32" t="n">
        <f>10732819</f>
        <v>1.0732819E7</v>
      </c>
      <c r="V22" s="32" t="n">
        <f>15097537697</f>
        <v>1.5097537697E10</v>
      </c>
      <c r="W22" s="32" t="n">
        <f>11583153216</f>
        <v>1.1583153216E10</v>
      </c>
      <c r="X22" s="36" t="n">
        <f>21</f>
        <v>21.0</v>
      </c>
    </row>
    <row r="23">
      <c r="A23" s="27" t="s">
        <v>42</v>
      </c>
      <c r="B23" s="27" t="s">
        <v>100</v>
      </c>
      <c r="C23" s="27" t="s">
        <v>101</v>
      </c>
      <c r="D23" s="27" t="s">
        <v>102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2166</f>
        <v>2166.0</v>
      </c>
      <c r="L23" s="34" t="s">
        <v>48</v>
      </c>
      <c r="M23" s="33" t="n">
        <f>2220</f>
        <v>2220.0</v>
      </c>
      <c r="N23" s="34" t="s">
        <v>103</v>
      </c>
      <c r="O23" s="33" t="n">
        <f>2004</f>
        <v>2004.0</v>
      </c>
      <c r="P23" s="34" t="s">
        <v>50</v>
      </c>
      <c r="Q23" s="33" t="n">
        <f>2005</f>
        <v>2005.0</v>
      </c>
      <c r="R23" s="34" t="s">
        <v>50</v>
      </c>
      <c r="S23" s="35" t="n">
        <f>2108.43</f>
        <v>2108.43</v>
      </c>
      <c r="T23" s="32" t="n">
        <f>29767550</f>
        <v>2.976755E7</v>
      </c>
      <c r="U23" s="32" t="n">
        <f>10158720</f>
        <v>1.015872E7</v>
      </c>
      <c r="V23" s="32" t="n">
        <f>62893766425</f>
        <v>6.2893766425E10</v>
      </c>
      <c r="W23" s="32" t="n">
        <f>21675083795</f>
        <v>2.1675083795E10</v>
      </c>
      <c r="X23" s="36" t="n">
        <f>21</f>
        <v>21.0</v>
      </c>
    </row>
    <row r="24">
      <c r="A24" s="27" t="s">
        <v>42</v>
      </c>
      <c r="B24" s="27" t="s">
        <v>104</v>
      </c>
      <c r="C24" s="27" t="s">
        <v>105</v>
      </c>
      <c r="D24" s="27" t="s">
        <v>106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100.0</v>
      </c>
      <c r="K24" s="33" t="n">
        <f>2050</f>
        <v>2050.0</v>
      </c>
      <c r="L24" s="34" t="s">
        <v>48</v>
      </c>
      <c r="M24" s="33" t="n">
        <f>2066</f>
        <v>2066.0</v>
      </c>
      <c r="N24" s="34" t="s">
        <v>107</v>
      </c>
      <c r="O24" s="33" t="n">
        <f>1875.5</f>
        <v>1875.5</v>
      </c>
      <c r="P24" s="34" t="s">
        <v>50</v>
      </c>
      <c r="Q24" s="33" t="n">
        <f>1875.5</f>
        <v>1875.5</v>
      </c>
      <c r="R24" s="34" t="s">
        <v>50</v>
      </c>
      <c r="S24" s="35" t="n">
        <f>1974.21</f>
        <v>1974.21</v>
      </c>
      <c r="T24" s="32" t="n">
        <f>3730200</f>
        <v>3730200.0</v>
      </c>
      <c r="U24" s="32" t="n">
        <f>1246200</f>
        <v>1246200.0</v>
      </c>
      <c r="V24" s="32" t="n">
        <f>7390313708</f>
        <v>7.390313708E9</v>
      </c>
      <c r="W24" s="32" t="n">
        <f>2470426158</f>
        <v>2.470426158E9</v>
      </c>
      <c r="X24" s="36" t="n">
        <f>21</f>
        <v>21.0</v>
      </c>
    </row>
    <row r="25">
      <c r="A25" s="27" t="s">
        <v>42</v>
      </c>
      <c r="B25" s="27" t="s">
        <v>108</v>
      </c>
      <c r="C25" s="27" t="s">
        <v>109</v>
      </c>
      <c r="D25" s="27" t="s">
        <v>110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1.0</v>
      </c>
      <c r="K25" s="33" t="n">
        <f>59650</f>
        <v>59650.0</v>
      </c>
      <c r="L25" s="34" t="s">
        <v>48</v>
      </c>
      <c r="M25" s="33" t="n">
        <f>60310</f>
        <v>60310.0</v>
      </c>
      <c r="N25" s="34" t="s">
        <v>48</v>
      </c>
      <c r="O25" s="33" t="n">
        <f>52380</f>
        <v>52380.0</v>
      </c>
      <c r="P25" s="34" t="s">
        <v>49</v>
      </c>
      <c r="Q25" s="33" t="n">
        <f>53050</f>
        <v>53050.0</v>
      </c>
      <c r="R25" s="34" t="s">
        <v>50</v>
      </c>
      <c r="S25" s="35" t="n">
        <f>55760.48</f>
        <v>55760.48</v>
      </c>
      <c r="T25" s="32" t="n">
        <f>1761399</f>
        <v>1761399.0</v>
      </c>
      <c r="U25" s="32" t="n">
        <f>1113613</f>
        <v>1113613.0</v>
      </c>
      <c r="V25" s="32" t="n">
        <f>97945506146</f>
        <v>9.7945506146E10</v>
      </c>
      <c r="W25" s="32" t="n">
        <f>61924511966</f>
        <v>6.1924511966E10</v>
      </c>
      <c r="X25" s="36" t="n">
        <f>21</f>
        <v>21.0</v>
      </c>
    </row>
    <row r="26">
      <c r="A26" s="27" t="s">
        <v>42</v>
      </c>
      <c r="B26" s="27" t="s">
        <v>111</v>
      </c>
      <c r="C26" s="27" t="s">
        <v>112</v>
      </c>
      <c r="D26" s="27" t="s">
        <v>113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3989</f>
        <v>3989.0</v>
      </c>
      <c r="L26" s="34" t="s">
        <v>48</v>
      </c>
      <c r="M26" s="33" t="n">
        <f>4042</f>
        <v>4042.0</v>
      </c>
      <c r="N26" s="34" t="s">
        <v>48</v>
      </c>
      <c r="O26" s="33" t="n">
        <f>3572</f>
        <v>3572.0</v>
      </c>
      <c r="P26" s="34" t="s">
        <v>49</v>
      </c>
      <c r="Q26" s="33" t="n">
        <f>3659</f>
        <v>3659.0</v>
      </c>
      <c r="R26" s="34" t="s">
        <v>50</v>
      </c>
      <c r="S26" s="35" t="n">
        <f>3783.76</f>
        <v>3783.76</v>
      </c>
      <c r="T26" s="32" t="n">
        <f>13700531</f>
        <v>1.3700531E7</v>
      </c>
      <c r="U26" s="32" t="n">
        <f>9936173</f>
        <v>9936173.0</v>
      </c>
      <c r="V26" s="32" t="n">
        <f>52460089964</f>
        <v>5.2460089964E10</v>
      </c>
      <c r="W26" s="32" t="n">
        <f>38135138469</f>
        <v>3.8135138469E10</v>
      </c>
      <c r="X26" s="36" t="n">
        <f>21</f>
        <v>21.0</v>
      </c>
    </row>
    <row r="27">
      <c r="A27" s="27" t="s">
        <v>42</v>
      </c>
      <c r="B27" s="27" t="s">
        <v>114</v>
      </c>
      <c r="C27" s="27" t="s">
        <v>115</v>
      </c>
      <c r="D27" s="27" t="s">
        <v>116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1.0</v>
      </c>
      <c r="K27" s="33" t="n">
        <f>17950</f>
        <v>17950.0</v>
      </c>
      <c r="L27" s="34" t="s">
        <v>48</v>
      </c>
      <c r="M27" s="33" t="n">
        <f>18540</f>
        <v>18540.0</v>
      </c>
      <c r="N27" s="34" t="s">
        <v>57</v>
      </c>
      <c r="O27" s="33" t="n">
        <f>17465</f>
        <v>17465.0</v>
      </c>
      <c r="P27" s="34" t="s">
        <v>117</v>
      </c>
      <c r="Q27" s="33" t="n">
        <f>17610</f>
        <v>17610.0</v>
      </c>
      <c r="R27" s="34" t="s">
        <v>50</v>
      </c>
      <c r="S27" s="35" t="n">
        <f>17837</f>
        <v>17837.0</v>
      </c>
      <c r="T27" s="32" t="n">
        <f>752</f>
        <v>752.0</v>
      </c>
      <c r="U27" s="32" t="str">
        <f>"－"</f>
        <v>－</v>
      </c>
      <c r="V27" s="32" t="n">
        <f>13421880</f>
        <v>1.342188E7</v>
      </c>
      <c r="W27" s="32" t="str">
        <f>"－"</f>
        <v>－</v>
      </c>
      <c r="X27" s="36" t="n">
        <f>20</f>
        <v>20.0</v>
      </c>
    </row>
    <row r="28">
      <c r="A28" s="27" t="s">
        <v>42</v>
      </c>
      <c r="B28" s="27" t="s">
        <v>118</v>
      </c>
      <c r="C28" s="27" t="s">
        <v>119</v>
      </c>
      <c r="D28" s="27" t="s">
        <v>120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10.0</v>
      </c>
      <c r="K28" s="33" t="n">
        <f>131.8</f>
        <v>131.8</v>
      </c>
      <c r="L28" s="34" t="s">
        <v>48</v>
      </c>
      <c r="M28" s="33" t="n">
        <f>160.5</f>
        <v>160.5</v>
      </c>
      <c r="N28" s="34" t="s">
        <v>49</v>
      </c>
      <c r="O28" s="33" t="n">
        <f>128.7</f>
        <v>128.7</v>
      </c>
      <c r="P28" s="34" t="s">
        <v>48</v>
      </c>
      <c r="Q28" s="33" t="n">
        <f>151.9</f>
        <v>151.9</v>
      </c>
      <c r="R28" s="34" t="s">
        <v>50</v>
      </c>
      <c r="S28" s="35" t="n">
        <f>144.61</f>
        <v>144.61</v>
      </c>
      <c r="T28" s="32" t="n">
        <f>278404740</f>
        <v>2.7840474E8</v>
      </c>
      <c r="U28" s="32" t="n">
        <f>2279590</f>
        <v>2279590.0</v>
      </c>
      <c r="V28" s="32" t="n">
        <f>40515036986</f>
        <v>4.0515036986E10</v>
      </c>
      <c r="W28" s="32" t="n">
        <f>333329756</f>
        <v>3.33329756E8</v>
      </c>
      <c r="X28" s="36" t="n">
        <f>21</f>
        <v>21.0</v>
      </c>
    </row>
    <row r="29">
      <c r="A29" s="27" t="s">
        <v>42</v>
      </c>
      <c r="B29" s="27" t="s">
        <v>121</v>
      </c>
      <c r="C29" s="27" t="s">
        <v>122</v>
      </c>
      <c r="D29" s="27" t="s">
        <v>123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4324</f>
        <v>4324.0</v>
      </c>
      <c r="L29" s="34" t="s">
        <v>48</v>
      </c>
      <c r="M29" s="33" t="n">
        <f>5433</f>
        <v>5433.0</v>
      </c>
      <c r="N29" s="34" t="s">
        <v>49</v>
      </c>
      <c r="O29" s="33" t="n">
        <f>4226</f>
        <v>4226.0</v>
      </c>
      <c r="P29" s="34" t="s">
        <v>48</v>
      </c>
      <c r="Q29" s="33" t="n">
        <f>5246</f>
        <v>5246.0</v>
      </c>
      <c r="R29" s="34" t="s">
        <v>50</v>
      </c>
      <c r="S29" s="35" t="n">
        <f>4851.24</f>
        <v>4851.24</v>
      </c>
      <c r="T29" s="32" t="n">
        <f>183636084</f>
        <v>1.83636084E8</v>
      </c>
      <c r="U29" s="32" t="n">
        <f>2156944</f>
        <v>2156944.0</v>
      </c>
      <c r="V29" s="32" t="n">
        <f>897150274840</f>
        <v>8.9715027484E11</v>
      </c>
      <c r="W29" s="32" t="n">
        <f>10510983552</f>
        <v>1.0510983552E10</v>
      </c>
      <c r="X29" s="36" t="n">
        <f>21</f>
        <v>21.0</v>
      </c>
    </row>
    <row r="30">
      <c r="A30" s="27" t="s">
        <v>42</v>
      </c>
      <c r="B30" s="27" t="s">
        <v>124</v>
      </c>
      <c r="C30" s="27" t="s">
        <v>125</v>
      </c>
      <c r="D30" s="27" t="s">
        <v>126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1.0</v>
      </c>
      <c r="K30" s="33" t="n">
        <f>106300</f>
        <v>106300.0</v>
      </c>
      <c r="L30" s="34" t="s">
        <v>48</v>
      </c>
      <c r="M30" s="33" t="n">
        <f>108800</f>
        <v>108800.0</v>
      </c>
      <c r="N30" s="34" t="s">
        <v>48</v>
      </c>
      <c r="O30" s="33" t="n">
        <f>80900</f>
        <v>80900.0</v>
      </c>
      <c r="P30" s="34" t="s">
        <v>49</v>
      </c>
      <c r="Q30" s="33" t="n">
        <f>83700</f>
        <v>83700.0</v>
      </c>
      <c r="R30" s="34" t="s">
        <v>50</v>
      </c>
      <c r="S30" s="35" t="n">
        <f>92432.86</f>
        <v>92432.86</v>
      </c>
      <c r="T30" s="32" t="n">
        <f>402883</f>
        <v>402883.0</v>
      </c>
      <c r="U30" s="32" t="n">
        <f>4056</f>
        <v>4056.0</v>
      </c>
      <c r="V30" s="32" t="n">
        <f>36945608446</f>
        <v>3.6945608446E10</v>
      </c>
      <c r="W30" s="32" t="n">
        <f>373970396</f>
        <v>3.73970396E8</v>
      </c>
      <c r="X30" s="36" t="n">
        <f>21</f>
        <v>21.0</v>
      </c>
    </row>
    <row r="31">
      <c r="A31" s="27" t="s">
        <v>42</v>
      </c>
      <c r="B31" s="27" t="s">
        <v>127</v>
      </c>
      <c r="C31" s="27" t="s">
        <v>128</v>
      </c>
      <c r="D31" s="27" t="s">
        <v>129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10.0</v>
      </c>
      <c r="K31" s="33" t="n">
        <f>107.1</f>
        <v>107.1</v>
      </c>
      <c r="L31" s="34" t="s">
        <v>48</v>
      </c>
      <c r="M31" s="33" t="n">
        <f>133.6</f>
        <v>133.6</v>
      </c>
      <c r="N31" s="34" t="s">
        <v>49</v>
      </c>
      <c r="O31" s="33" t="n">
        <f>104</f>
        <v>104.0</v>
      </c>
      <c r="P31" s="34" t="s">
        <v>48</v>
      </c>
      <c r="Q31" s="33" t="n">
        <f>128.7</f>
        <v>128.7</v>
      </c>
      <c r="R31" s="34" t="s">
        <v>50</v>
      </c>
      <c r="S31" s="35" t="n">
        <f>119.25</f>
        <v>119.25</v>
      </c>
      <c r="T31" s="32" t="n">
        <f>3582572060</f>
        <v>3.58257206E9</v>
      </c>
      <c r="U31" s="32" t="n">
        <f>38740510</f>
        <v>3.874051E7</v>
      </c>
      <c r="V31" s="32" t="n">
        <f>430311077327</f>
        <v>4.30311077327E11</v>
      </c>
      <c r="W31" s="32" t="n">
        <f>4636171336</f>
        <v>4.636171336E9</v>
      </c>
      <c r="X31" s="36" t="n">
        <f>21</f>
        <v>21.0</v>
      </c>
    </row>
    <row r="32">
      <c r="A32" s="27" t="s">
        <v>42</v>
      </c>
      <c r="B32" s="27" t="s">
        <v>130</v>
      </c>
      <c r="C32" s="27" t="s">
        <v>131</v>
      </c>
      <c r="D32" s="27" t="s">
        <v>132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3561</f>
        <v>3561.0</v>
      </c>
      <c r="L32" s="34" t="s">
        <v>48</v>
      </c>
      <c r="M32" s="33" t="n">
        <f>3607</f>
        <v>3607.0</v>
      </c>
      <c r="N32" s="34" t="s">
        <v>48</v>
      </c>
      <c r="O32" s="33" t="n">
        <f>3192</f>
        <v>3192.0</v>
      </c>
      <c r="P32" s="34" t="s">
        <v>49</v>
      </c>
      <c r="Q32" s="33" t="n">
        <f>3278</f>
        <v>3278.0</v>
      </c>
      <c r="R32" s="34" t="s">
        <v>50</v>
      </c>
      <c r="S32" s="35" t="n">
        <f>3383</f>
        <v>3383.0</v>
      </c>
      <c r="T32" s="32" t="n">
        <f>2421932</f>
        <v>2421932.0</v>
      </c>
      <c r="U32" s="32" t="n">
        <f>1907715</f>
        <v>1907715.0</v>
      </c>
      <c r="V32" s="32" t="n">
        <f>8159818115</f>
        <v>8.159818115E9</v>
      </c>
      <c r="W32" s="32" t="n">
        <f>6422686183</f>
        <v>6.422686183E9</v>
      </c>
      <c r="X32" s="36" t="n">
        <f>21</f>
        <v>21.0</v>
      </c>
    </row>
    <row r="33">
      <c r="A33" s="27" t="s">
        <v>42</v>
      </c>
      <c r="B33" s="27" t="s">
        <v>133</v>
      </c>
      <c r="C33" s="27" t="s">
        <v>134</v>
      </c>
      <c r="D33" s="27" t="s">
        <v>135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85840</f>
        <v>85840.0</v>
      </c>
      <c r="L33" s="34" t="s">
        <v>48</v>
      </c>
      <c r="M33" s="33" t="n">
        <f>87840</f>
        <v>87840.0</v>
      </c>
      <c r="N33" s="34" t="s">
        <v>48</v>
      </c>
      <c r="O33" s="33" t="n">
        <f>65280</f>
        <v>65280.0</v>
      </c>
      <c r="P33" s="34" t="s">
        <v>49</v>
      </c>
      <c r="Q33" s="33" t="n">
        <f>67160</f>
        <v>67160.0</v>
      </c>
      <c r="R33" s="34" t="s">
        <v>50</v>
      </c>
      <c r="S33" s="35" t="n">
        <f>74564.76</f>
        <v>74564.76</v>
      </c>
      <c r="T33" s="32" t="n">
        <f>757868</f>
        <v>757868.0</v>
      </c>
      <c r="U33" s="32" t="n">
        <f>27972</f>
        <v>27972.0</v>
      </c>
      <c r="V33" s="32" t="n">
        <f>56801134422</f>
        <v>5.6801134422E10</v>
      </c>
      <c r="W33" s="32" t="n">
        <f>1998939042</f>
        <v>1.998939042E9</v>
      </c>
      <c r="X33" s="36" t="n">
        <f>21</f>
        <v>21.0</v>
      </c>
    </row>
    <row r="34">
      <c r="A34" s="27" t="s">
        <v>42</v>
      </c>
      <c r="B34" s="27" t="s">
        <v>136</v>
      </c>
      <c r="C34" s="27" t="s">
        <v>137</v>
      </c>
      <c r="D34" s="27" t="s">
        <v>138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109</f>
        <v>109.0</v>
      </c>
      <c r="L34" s="34" t="s">
        <v>48</v>
      </c>
      <c r="M34" s="33" t="n">
        <f>137</f>
        <v>137.0</v>
      </c>
      <c r="N34" s="34" t="s">
        <v>49</v>
      </c>
      <c r="O34" s="33" t="n">
        <f>106</f>
        <v>106.0</v>
      </c>
      <c r="P34" s="34" t="s">
        <v>48</v>
      </c>
      <c r="Q34" s="33" t="n">
        <f>131</f>
        <v>131.0</v>
      </c>
      <c r="R34" s="34" t="s">
        <v>50</v>
      </c>
      <c r="S34" s="35" t="n">
        <f>121.9</f>
        <v>121.9</v>
      </c>
      <c r="T34" s="32" t="n">
        <f>132547812</f>
        <v>1.32547812E8</v>
      </c>
      <c r="U34" s="32" t="n">
        <f>1334437</f>
        <v>1334437.0</v>
      </c>
      <c r="V34" s="32" t="n">
        <f>16091673440</f>
        <v>1.609167344E10</v>
      </c>
      <c r="W34" s="32" t="n">
        <f>163490345</f>
        <v>1.63490345E8</v>
      </c>
      <c r="X34" s="36" t="n">
        <f>21</f>
        <v>21.0</v>
      </c>
    </row>
    <row r="35">
      <c r="A35" s="27" t="s">
        <v>42</v>
      </c>
      <c r="B35" s="27" t="s">
        <v>139</v>
      </c>
      <c r="C35" s="27" t="s">
        <v>140</v>
      </c>
      <c r="D35" s="27" t="s">
        <v>141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69830</f>
        <v>69830.0</v>
      </c>
      <c r="L35" s="34" t="s">
        <v>48</v>
      </c>
      <c r="M35" s="33" t="n">
        <f>71340</f>
        <v>71340.0</v>
      </c>
      <c r="N35" s="34" t="s">
        <v>48</v>
      </c>
      <c r="O35" s="33" t="n">
        <f>55220</f>
        <v>55220.0</v>
      </c>
      <c r="P35" s="34" t="s">
        <v>49</v>
      </c>
      <c r="Q35" s="33" t="n">
        <f>58000</f>
        <v>58000.0</v>
      </c>
      <c r="R35" s="34" t="s">
        <v>50</v>
      </c>
      <c r="S35" s="35" t="n">
        <f>62264.29</f>
        <v>62264.29</v>
      </c>
      <c r="T35" s="32" t="n">
        <f>431024</f>
        <v>431024.0</v>
      </c>
      <c r="U35" s="32" t="n">
        <f>2845</f>
        <v>2845.0</v>
      </c>
      <c r="V35" s="32" t="n">
        <f>26993543784</f>
        <v>2.6993543784E10</v>
      </c>
      <c r="W35" s="32" t="n">
        <f>178822784</f>
        <v>1.78822784E8</v>
      </c>
      <c r="X35" s="36" t="n">
        <f>21</f>
        <v>21.0</v>
      </c>
    </row>
    <row r="36">
      <c r="A36" s="27" t="s">
        <v>42</v>
      </c>
      <c r="B36" s="27" t="s">
        <v>142</v>
      </c>
      <c r="C36" s="27" t="s">
        <v>143</v>
      </c>
      <c r="D36" s="27" t="s">
        <v>144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191</f>
        <v>191.0</v>
      </c>
      <c r="L36" s="34" t="s">
        <v>48</v>
      </c>
      <c r="M36" s="33" t="n">
        <f>233</f>
        <v>233.0</v>
      </c>
      <c r="N36" s="34" t="s">
        <v>49</v>
      </c>
      <c r="O36" s="33" t="n">
        <f>185</f>
        <v>185.0</v>
      </c>
      <c r="P36" s="34" t="s">
        <v>48</v>
      </c>
      <c r="Q36" s="33" t="n">
        <f>223</f>
        <v>223.0</v>
      </c>
      <c r="R36" s="34" t="s">
        <v>50</v>
      </c>
      <c r="S36" s="35" t="n">
        <f>210.14</f>
        <v>210.14</v>
      </c>
      <c r="T36" s="32" t="n">
        <f>18021287</f>
        <v>1.8021287E7</v>
      </c>
      <c r="U36" s="32" t="n">
        <f>2000</f>
        <v>2000.0</v>
      </c>
      <c r="V36" s="32" t="n">
        <f>3802670506</f>
        <v>3.802670506E9</v>
      </c>
      <c r="W36" s="32" t="n">
        <f>423000</f>
        <v>423000.0</v>
      </c>
      <c r="X36" s="36" t="n">
        <f>21</f>
        <v>21.0</v>
      </c>
    </row>
    <row r="37">
      <c r="A37" s="27" t="s">
        <v>42</v>
      </c>
      <c r="B37" s="27" t="s">
        <v>145</v>
      </c>
      <c r="C37" s="27" t="s">
        <v>146</v>
      </c>
      <c r="D37" s="27" t="s">
        <v>147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57960</f>
        <v>57960.0</v>
      </c>
      <c r="L37" s="34" t="s">
        <v>48</v>
      </c>
      <c r="M37" s="33" t="n">
        <f>58560</f>
        <v>58560.0</v>
      </c>
      <c r="N37" s="34" t="s">
        <v>48</v>
      </c>
      <c r="O37" s="33" t="n">
        <f>50890</f>
        <v>50890.0</v>
      </c>
      <c r="P37" s="34" t="s">
        <v>49</v>
      </c>
      <c r="Q37" s="33" t="n">
        <f>52160</f>
        <v>52160.0</v>
      </c>
      <c r="R37" s="34" t="s">
        <v>50</v>
      </c>
      <c r="S37" s="35" t="n">
        <f>54243.33</f>
        <v>54243.33</v>
      </c>
      <c r="T37" s="32" t="n">
        <f>388152</f>
        <v>388152.0</v>
      </c>
      <c r="U37" s="32" t="n">
        <f>209915</f>
        <v>209915.0</v>
      </c>
      <c r="V37" s="32" t="n">
        <f>21165172289</f>
        <v>2.1165172289E10</v>
      </c>
      <c r="W37" s="32" t="n">
        <f>11572260759</f>
        <v>1.1572260759E10</v>
      </c>
      <c r="X37" s="36" t="n">
        <f>21</f>
        <v>21.0</v>
      </c>
    </row>
    <row r="38">
      <c r="A38" s="27" t="s">
        <v>42</v>
      </c>
      <c r="B38" s="27" t="s">
        <v>148</v>
      </c>
      <c r="C38" s="27" t="s">
        <v>149</v>
      </c>
      <c r="D38" s="27" t="s">
        <v>150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58390</f>
        <v>58390.0</v>
      </c>
      <c r="L38" s="34" t="s">
        <v>48</v>
      </c>
      <c r="M38" s="33" t="n">
        <f>59020</f>
        <v>59020.0</v>
      </c>
      <c r="N38" s="34" t="s">
        <v>48</v>
      </c>
      <c r="O38" s="33" t="n">
        <f>51280</f>
        <v>51280.0</v>
      </c>
      <c r="P38" s="34" t="s">
        <v>49</v>
      </c>
      <c r="Q38" s="33" t="n">
        <f>52220</f>
        <v>52220.0</v>
      </c>
      <c r="R38" s="34" t="s">
        <v>50</v>
      </c>
      <c r="S38" s="35" t="n">
        <f>54546.67</f>
        <v>54546.67</v>
      </c>
      <c r="T38" s="32" t="n">
        <f>256041</f>
        <v>256041.0</v>
      </c>
      <c r="U38" s="32" t="n">
        <f>176399</f>
        <v>176399.0</v>
      </c>
      <c r="V38" s="32" t="n">
        <f>14138659516</f>
        <v>1.4138659516E10</v>
      </c>
      <c r="W38" s="32" t="n">
        <f>9828300786</f>
        <v>9.828300786E9</v>
      </c>
      <c r="X38" s="36" t="n">
        <f>21</f>
        <v>21.0</v>
      </c>
    </row>
    <row r="39">
      <c r="A39" s="27" t="s">
        <v>42</v>
      </c>
      <c r="B39" s="27" t="s">
        <v>151</v>
      </c>
      <c r="C39" s="27" t="s">
        <v>152</v>
      </c>
      <c r="D39" s="27" t="s">
        <v>153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10.0</v>
      </c>
      <c r="K39" s="33" t="n">
        <f>2075</f>
        <v>2075.0</v>
      </c>
      <c r="L39" s="34" t="s">
        <v>48</v>
      </c>
      <c r="M39" s="33" t="n">
        <f>2092.5</f>
        <v>2092.5</v>
      </c>
      <c r="N39" s="34" t="s">
        <v>48</v>
      </c>
      <c r="O39" s="33" t="n">
        <f>1897</f>
        <v>1897.0</v>
      </c>
      <c r="P39" s="34" t="s">
        <v>50</v>
      </c>
      <c r="Q39" s="33" t="n">
        <f>1902</f>
        <v>1902.0</v>
      </c>
      <c r="R39" s="34" t="s">
        <v>50</v>
      </c>
      <c r="S39" s="35" t="n">
        <f>1999.52</f>
        <v>1999.52</v>
      </c>
      <c r="T39" s="32" t="n">
        <f>25374370</f>
        <v>2.537437E7</v>
      </c>
      <c r="U39" s="32" t="n">
        <f>3080870</f>
        <v>3080870.0</v>
      </c>
      <c r="V39" s="32" t="n">
        <f>50749498611</f>
        <v>5.0749498611E10</v>
      </c>
      <c r="W39" s="32" t="n">
        <f>6101248161</f>
        <v>6.101248161E9</v>
      </c>
      <c r="X39" s="36" t="n">
        <f>21</f>
        <v>21.0</v>
      </c>
    </row>
    <row r="40">
      <c r="A40" s="27" t="s">
        <v>42</v>
      </c>
      <c r="B40" s="27" t="s">
        <v>154</v>
      </c>
      <c r="C40" s="27" t="s">
        <v>155</v>
      </c>
      <c r="D40" s="27" t="s">
        <v>156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3109</f>
        <v>3109.0</v>
      </c>
      <c r="L40" s="34" t="s">
        <v>48</v>
      </c>
      <c r="M40" s="33" t="n">
        <f>3246</f>
        <v>3246.0</v>
      </c>
      <c r="N40" s="34" t="s">
        <v>48</v>
      </c>
      <c r="O40" s="33" t="n">
        <f>2817</f>
        <v>2817.0</v>
      </c>
      <c r="P40" s="34" t="s">
        <v>49</v>
      </c>
      <c r="Q40" s="33" t="n">
        <f>2914</f>
        <v>2914.0</v>
      </c>
      <c r="R40" s="34" t="s">
        <v>50</v>
      </c>
      <c r="S40" s="35" t="n">
        <f>2952</f>
        <v>2952.0</v>
      </c>
      <c r="T40" s="32" t="n">
        <f>70995</f>
        <v>70995.0</v>
      </c>
      <c r="U40" s="32" t="n">
        <f>670</f>
        <v>670.0</v>
      </c>
      <c r="V40" s="32" t="n">
        <f>209120564</f>
        <v>2.09120564E8</v>
      </c>
      <c r="W40" s="32" t="n">
        <f>2021538</f>
        <v>2021538.0</v>
      </c>
      <c r="X40" s="36" t="n">
        <f>21</f>
        <v>21.0</v>
      </c>
    </row>
    <row r="41">
      <c r="A41" s="27" t="s">
        <v>42</v>
      </c>
      <c r="B41" s="27" t="s">
        <v>157</v>
      </c>
      <c r="C41" s="27" t="s">
        <v>158</v>
      </c>
      <c r="D41" s="27" t="s">
        <v>159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2062</f>
        <v>2062.0</v>
      </c>
      <c r="L41" s="34" t="s">
        <v>48</v>
      </c>
      <c r="M41" s="33" t="n">
        <f>2062</f>
        <v>2062.0</v>
      </c>
      <c r="N41" s="34" t="s">
        <v>48</v>
      </c>
      <c r="O41" s="33" t="n">
        <f>1936</f>
        <v>1936.0</v>
      </c>
      <c r="P41" s="34" t="s">
        <v>64</v>
      </c>
      <c r="Q41" s="33" t="n">
        <f>1973</f>
        <v>1973.0</v>
      </c>
      <c r="R41" s="34" t="s">
        <v>50</v>
      </c>
      <c r="S41" s="35" t="n">
        <f>1963</f>
        <v>1963.0</v>
      </c>
      <c r="T41" s="32" t="n">
        <f>1959580</f>
        <v>1959580.0</v>
      </c>
      <c r="U41" s="32" t="n">
        <f>1556824</f>
        <v>1556824.0</v>
      </c>
      <c r="V41" s="32" t="n">
        <f>3821517738</f>
        <v>3.821517738E9</v>
      </c>
      <c r="W41" s="32" t="n">
        <f>3023458385</f>
        <v>3.023458385E9</v>
      </c>
      <c r="X41" s="36" t="n">
        <f>21</f>
        <v>21.0</v>
      </c>
    </row>
    <row r="42">
      <c r="A42" s="27" t="s">
        <v>42</v>
      </c>
      <c r="B42" s="27" t="s">
        <v>160</v>
      </c>
      <c r="C42" s="27" t="s">
        <v>161</v>
      </c>
      <c r="D42" s="27" t="s">
        <v>162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1537</f>
        <v>1537.0</v>
      </c>
      <c r="L42" s="34" t="s">
        <v>48</v>
      </c>
      <c r="M42" s="33" t="n">
        <f>1725</f>
        <v>1725.0</v>
      </c>
      <c r="N42" s="34" t="s">
        <v>49</v>
      </c>
      <c r="O42" s="33" t="n">
        <f>1514</f>
        <v>1514.0</v>
      </c>
      <c r="P42" s="34" t="s">
        <v>48</v>
      </c>
      <c r="Q42" s="33" t="n">
        <f>1700</f>
        <v>1700.0</v>
      </c>
      <c r="R42" s="34" t="s">
        <v>50</v>
      </c>
      <c r="S42" s="35" t="n">
        <f>1627.9</f>
        <v>1627.9</v>
      </c>
      <c r="T42" s="32" t="n">
        <f>4873895</f>
        <v>4873895.0</v>
      </c>
      <c r="U42" s="32" t="n">
        <f>1210130</f>
        <v>1210130.0</v>
      </c>
      <c r="V42" s="32" t="n">
        <f>7908592935</f>
        <v>7.908592935E9</v>
      </c>
      <c r="W42" s="32" t="n">
        <f>1938917685</f>
        <v>1.938917685E9</v>
      </c>
      <c r="X42" s="36" t="n">
        <f>21</f>
        <v>21.0</v>
      </c>
    </row>
    <row r="43">
      <c r="A43" s="27" t="s">
        <v>42</v>
      </c>
      <c r="B43" s="27" t="s">
        <v>163</v>
      </c>
      <c r="C43" s="27" t="s">
        <v>164</v>
      </c>
      <c r="D43" s="27" t="s">
        <v>165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1943</f>
        <v>1943.0</v>
      </c>
      <c r="L43" s="34" t="s">
        <v>48</v>
      </c>
      <c r="M43" s="33" t="n">
        <f>2152</f>
        <v>2152.0</v>
      </c>
      <c r="N43" s="34" t="s">
        <v>49</v>
      </c>
      <c r="O43" s="33" t="n">
        <f>1919</f>
        <v>1919.0</v>
      </c>
      <c r="P43" s="34" t="s">
        <v>48</v>
      </c>
      <c r="Q43" s="33" t="n">
        <f>2101</f>
        <v>2101.0</v>
      </c>
      <c r="R43" s="34" t="s">
        <v>50</v>
      </c>
      <c r="S43" s="35" t="n">
        <f>2040</f>
        <v>2040.0</v>
      </c>
      <c r="T43" s="32" t="n">
        <f>1331250</f>
        <v>1331250.0</v>
      </c>
      <c r="U43" s="32" t="n">
        <f>839253</f>
        <v>839253.0</v>
      </c>
      <c r="V43" s="32" t="n">
        <f>2681004761</f>
        <v>2.681004761E9</v>
      </c>
      <c r="W43" s="32" t="n">
        <f>1673082897</f>
        <v>1.673082897E9</v>
      </c>
      <c r="X43" s="36" t="n">
        <f>21</f>
        <v>21.0</v>
      </c>
    </row>
    <row r="44">
      <c r="A44" s="27" t="s">
        <v>42</v>
      </c>
      <c r="B44" s="27" t="s">
        <v>166</v>
      </c>
      <c r="C44" s="27" t="s">
        <v>167</v>
      </c>
      <c r="D44" s="27" t="s">
        <v>168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66560</f>
        <v>66560.0</v>
      </c>
      <c r="L44" s="34" t="s">
        <v>48</v>
      </c>
      <c r="M44" s="33" t="n">
        <f>68150</f>
        <v>68150.0</v>
      </c>
      <c r="N44" s="34" t="s">
        <v>48</v>
      </c>
      <c r="O44" s="33" t="n">
        <f>50540</f>
        <v>50540.0</v>
      </c>
      <c r="P44" s="34" t="s">
        <v>49</v>
      </c>
      <c r="Q44" s="33" t="n">
        <f>52270</f>
        <v>52270.0</v>
      </c>
      <c r="R44" s="34" t="s">
        <v>50</v>
      </c>
      <c r="S44" s="35" t="n">
        <f>57805.24</f>
        <v>57805.24</v>
      </c>
      <c r="T44" s="32" t="n">
        <f>5761081</f>
        <v>5761081.0</v>
      </c>
      <c r="U44" s="32" t="n">
        <f>11878</f>
        <v>11878.0</v>
      </c>
      <c r="V44" s="32" t="n">
        <f>333364094499</f>
        <v>3.33364094499E11</v>
      </c>
      <c r="W44" s="32" t="n">
        <f>685840359</f>
        <v>6.85840359E8</v>
      </c>
      <c r="X44" s="36" t="n">
        <f>21</f>
        <v>21.0</v>
      </c>
    </row>
    <row r="45">
      <c r="A45" s="27" t="s">
        <v>42</v>
      </c>
      <c r="B45" s="27" t="s">
        <v>169</v>
      </c>
      <c r="C45" s="27" t="s">
        <v>170</v>
      </c>
      <c r="D45" s="27" t="s">
        <v>171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175</f>
        <v>175.0</v>
      </c>
      <c r="L45" s="34" t="s">
        <v>48</v>
      </c>
      <c r="M45" s="33" t="n">
        <f>220</f>
        <v>220.0</v>
      </c>
      <c r="N45" s="34" t="s">
        <v>49</v>
      </c>
      <c r="O45" s="33" t="n">
        <f>170</f>
        <v>170.0</v>
      </c>
      <c r="P45" s="34" t="s">
        <v>48</v>
      </c>
      <c r="Q45" s="33" t="n">
        <f>212</f>
        <v>212.0</v>
      </c>
      <c r="R45" s="34" t="s">
        <v>50</v>
      </c>
      <c r="S45" s="35" t="n">
        <f>195.95</f>
        <v>195.95</v>
      </c>
      <c r="T45" s="32" t="n">
        <f>345257836</f>
        <v>3.45257836E8</v>
      </c>
      <c r="U45" s="32" t="n">
        <f>5862957</f>
        <v>5862957.0</v>
      </c>
      <c r="V45" s="32" t="n">
        <f>67700063740</f>
        <v>6.770006374E10</v>
      </c>
      <c r="W45" s="32" t="n">
        <f>1144766130</f>
        <v>1.14476613E9</v>
      </c>
      <c r="X45" s="36" t="n">
        <f>21</f>
        <v>21.0</v>
      </c>
    </row>
    <row r="46">
      <c r="A46" s="27" t="s">
        <v>42</v>
      </c>
      <c r="B46" s="27" t="s">
        <v>172</v>
      </c>
      <c r="C46" s="27" t="s">
        <v>173</v>
      </c>
      <c r="D46" s="27" t="s">
        <v>174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244</f>
        <v>244.0</v>
      </c>
      <c r="L46" s="34" t="s">
        <v>48</v>
      </c>
      <c r="M46" s="33" t="n">
        <f>294</f>
        <v>294.0</v>
      </c>
      <c r="N46" s="34" t="s">
        <v>49</v>
      </c>
      <c r="O46" s="33" t="n">
        <f>237</f>
        <v>237.0</v>
      </c>
      <c r="P46" s="34" t="s">
        <v>48</v>
      </c>
      <c r="Q46" s="33" t="n">
        <f>282</f>
        <v>282.0</v>
      </c>
      <c r="R46" s="34" t="s">
        <v>50</v>
      </c>
      <c r="S46" s="35" t="n">
        <f>267.43</f>
        <v>267.43</v>
      </c>
      <c r="T46" s="32" t="n">
        <f>633425</f>
        <v>633425.0</v>
      </c>
      <c r="U46" s="32" t="n">
        <f>200</f>
        <v>200.0</v>
      </c>
      <c r="V46" s="32" t="n">
        <f>169757160</f>
        <v>1.6975716E8</v>
      </c>
      <c r="W46" s="32" t="n">
        <f>58200</f>
        <v>58200.0</v>
      </c>
      <c r="X46" s="36" t="n">
        <f>21</f>
        <v>21.0</v>
      </c>
    </row>
    <row r="47">
      <c r="A47" s="27" t="s">
        <v>42</v>
      </c>
      <c r="B47" s="27" t="s">
        <v>175</v>
      </c>
      <c r="C47" s="27" t="s">
        <v>176</v>
      </c>
      <c r="D47" s="27" t="s">
        <v>177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10.0</v>
      </c>
      <c r="K47" s="33" t="n">
        <f>232.3</f>
        <v>232.3</v>
      </c>
      <c r="L47" s="34" t="s">
        <v>48</v>
      </c>
      <c r="M47" s="33" t="n">
        <f>280.6</f>
        <v>280.6</v>
      </c>
      <c r="N47" s="34" t="s">
        <v>49</v>
      </c>
      <c r="O47" s="33" t="n">
        <f>226.4</f>
        <v>226.4</v>
      </c>
      <c r="P47" s="34" t="s">
        <v>48</v>
      </c>
      <c r="Q47" s="33" t="n">
        <f>265.6</f>
        <v>265.6</v>
      </c>
      <c r="R47" s="34" t="s">
        <v>50</v>
      </c>
      <c r="S47" s="35" t="n">
        <f>254.62</f>
        <v>254.62</v>
      </c>
      <c r="T47" s="32" t="n">
        <f>1015890</f>
        <v>1015890.0</v>
      </c>
      <c r="U47" s="32" t="n">
        <f>37900</f>
        <v>37900.0</v>
      </c>
      <c r="V47" s="32" t="n">
        <f>260056081</f>
        <v>2.60056081E8</v>
      </c>
      <c r="W47" s="32" t="n">
        <f>9830946</f>
        <v>9830946.0</v>
      </c>
      <c r="X47" s="36" t="n">
        <f>21</f>
        <v>21.0</v>
      </c>
    </row>
    <row r="48">
      <c r="A48" s="27" t="s">
        <v>42</v>
      </c>
      <c r="B48" s="27" t="s">
        <v>178</v>
      </c>
      <c r="C48" s="27" t="s">
        <v>179</v>
      </c>
      <c r="D48" s="27" t="s">
        <v>180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98</f>
        <v>98.0</v>
      </c>
      <c r="L48" s="34" t="s">
        <v>48</v>
      </c>
      <c r="M48" s="33" t="n">
        <f>116</f>
        <v>116.0</v>
      </c>
      <c r="N48" s="34" t="s">
        <v>181</v>
      </c>
      <c r="O48" s="33" t="n">
        <f>91</f>
        <v>91.0</v>
      </c>
      <c r="P48" s="34" t="s">
        <v>48</v>
      </c>
      <c r="Q48" s="33" t="n">
        <f>108</f>
        <v>108.0</v>
      </c>
      <c r="R48" s="34" t="s">
        <v>50</v>
      </c>
      <c r="S48" s="35" t="n">
        <f>104.67</f>
        <v>104.67</v>
      </c>
      <c r="T48" s="32" t="n">
        <f>1752079</f>
        <v>1752079.0</v>
      </c>
      <c r="U48" s="32" t="str">
        <f>"－"</f>
        <v>－</v>
      </c>
      <c r="V48" s="32" t="n">
        <f>186513418</f>
        <v>1.86513418E8</v>
      </c>
      <c r="W48" s="32" t="str">
        <f>"－"</f>
        <v>－</v>
      </c>
      <c r="X48" s="36" t="n">
        <f>21</f>
        <v>21.0</v>
      </c>
    </row>
    <row r="49">
      <c r="A49" s="27" t="s">
        <v>42</v>
      </c>
      <c r="B49" s="27" t="s">
        <v>182</v>
      </c>
      <c r="C49" s="27" t="s">
        <v>183</v>
      </c>
      <c r="D49" s="27" t="s">
        <v>184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10.0</v>
      </c>
      <c r="K49" s="33" t="n">
        <f>3916</f>
        <v>3916.0</v>
      </c>
      <c r="L49" s="34" t="s">
        <v>48</v>
      </c>
      <c r="M49" s="33" t="n">
        <f>3962</f>
        <v>3962.0</v>
      </c>
      <c r="N49" s="34" t="s">
        <v>48</v>
      </c>
      <c r="O49" s="33" t="n">
        <f>3509</f>
        <v>3509.0</v>
      </c>
      <c r="P49" s="34" t="s">
        <v>49</v>
      </c>
      <c r="Q49" s="33" t="n">
        <f>3604</f>
        <v>3604.0</v>
      </c>
      <c r="R49" s="34" t="s">
        <v>50</v>
      </c>
      <c r="S49" s="35" t="n">
        <f>3719.43</f>
        <v>3719.43</v>
      </c>
      <c r="T49" s="32" t="n">
        <f>5302060</f>
        <v>5302060.0</v>
      </c>
      <c r="U49" s="32" t="n">
        <f>4016090</f>
        <v>4016090.0</v>
      </c>
      <c r="V49" s="32" t="n">
        <f>19395673139</f>
        <v>1.9395673139E10</v>
      </c>
      <c r="W49" s="32" t="n">
        <f>14663755739</f>
        <v>1.4663755739E10</v>
      </c>
      <c r="X49" s="36" t="n">
        <f>21</f>
        <v>21.0</v>
      </c>
    </row>
    <row r="50">
      <c r="A50" s="27" t="s">
        <v>42</v>
      </c>
      <c r="B50" s="27" t="s">
        <v>185</v>
      </c>
      <c r="C50" s="27" t="s">
        <v>186</v>
      </c>
      <c r="D50" s="27" t="s">
        <v>187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35230</f>
        <v>35230.0</v>
      </c>
      <c r="L50" s="34" t="s">
        <v>48</v>
      </c>
      <c r="M50" s="33" t="n">
        <f>35650</f>
        <v>35650.0</v>
      </c>
      <c r="N50" s="34" t="s">
        <v>48</v>
      </c>
      <c r="O50" s="33" t="n">
        <f>31650</f>
        <v>31650.0</v>
      </c>
      <c r="P50" s="34" t="s">
        <v>49</v>
      </c>
      <c r="Q50" s="33" t="n">
        <f>32450</f>
        <v>32450.0</v>
      </c>
      <c r="R50" s="34" t="s">
        <v>50</v>
      </c>
      <c r="S50" s="35" t="n">
        <f>33382.38</f>
        <v>33382.38</v>
      </c>
      <c r="T50" s="32" t="n">
        <f>118422</f>
        <v>118422.0</v>
      </c>
      <c r="U50" s="32" t="n">
        <f>62001</f>
        <v>62001.0</v>
      </c>
      <c r="V50" s="32" t="n">
        <f>3908924240</f>
        <v>3.90892424E9</v>
      </c>
      <c r="W50" s="32" t="n">
        <f>2017097480</f>
        <v>2.01709748E9</v>
      </c>
      <c r="X50" s="36" t="n">
        <f>21</f>
        <v>21.0</v>
      </c>
    </row>
    <row r="51">
      <c r="A51" s="27" t="s">
        <v>42</v>
      </c>
      <c r="B51" s="27" t="s">
        <v>188</v>
      </c>
      <c r="C51" s="27" t="s">
        <v>189</v>
      </c>
      <c r="D51" s="27" t="s">
        <v>190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10.0</v>
      </c>
      <c r="K51" s="33" t="n">
        <f>394.6</f>
        <v>394.6</v>
      </c>
      <c r="L51" s="34" t="s">
        <v>48</v>
      </c>
      <c r="M51" s="33" t="n">
        <f>400</f>
        <v>400.0</v>
      </c>
      <c r="N51" s="34" t="s">
        <v>48</v>
      </c>
      <c r="O51" s="33" t="n">
        <f>353.3</f>
        <v>353.3</v>
      </c>
      <c r="P51" s="34" t="s">
        <v>49</v>
      </c>
      <c r="Q51" s="33" t="n">
        <f>361.4</f>
        <v>361.4</v>
      </c>
      <c r="R51" s="34" t="s">
        <v>50</v>
      </c>
      <c r="S51" s="35" t="n">
        <f>374.03</f>
        <v>374.03</v>
      </c>
      <c r="T51" s="32" t="n">
        <f>300705360</f>
        <v>3.0070536E8</v>
      </c>
      <c r="U51" s="32" t="n">
        <f>105337430</f>
        <v>1.0533743E8</v>
      </c>
      <c r="V51" s="32" t="n">
        <f>111669901787</f>
        <v>1.11669901787E11</v>
      </c>
      <c r="W51" s="32" t="n">
        <f>38896728539</f>
        <v>3.8896728539E10</v>
      </c>
      <c r="X51" s="36" t="n">
        <f>21</f>
        <v>21.0</v>
      </c>
    </row>
    <row r="52">
      <c r="A52" s="27" t="s">
        <v>42</v>
      </c>
      <c r="B52" s="27" t="s">
        <v>191</v>
      </c>
      <c r="C52" s="27" t="s">
        <v>192</v>
      </c>
      <c r="D52" s="27" t="s">
        <v>193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2075</f>
        <v>2075.0</v>
      </c>
      <c r="L52" s="34" t="s">
        <v>48</v>
      </c>
      <c r="M52" s="33" t="n">
        <f>2085</f>
        <v>2085.0</v>
      </c>
      <c r="N52" s="34" t="s">
        <v>48</v>
      </c>
      <c r="O52" s="33" t="n">
        <f>1922</f>
        <v>1922.0</v>
      </c>
      <c r="P52" s="34" t="s">
        <v>50</v>
      </c>
      <c r="Q52" s="33" t="n">
        <f>1922</f>
        <v>1922.0</v>
      </c>
      <c r="R52" s="34" t="s">
        <v>50</v>
      </c>
      <c r="S52" s="35" t="n">
        <f>2018.95</f>
        <v>2018.95</v>
      </c>
      <c r="T52" s="32" t="n">
        <f>12990559</f>
        <v>1.2990559E7</v>
      </c>
      <c r="U52" s="32" t="n">
        <f>8674069</f>
        <v>8674069.0</v>
      </c>
      <c r="V52" s="32" t="n">
        <f>26139809874</f>
        <v>2.6139809874E10</v>
      </c>
      <c r="W52" s="32" t="n">
        <f>17436203371</f>
        <v>1.7436203371E10</v>
      </c>
      <c r="X52" s="36" t="n">
        <f>21</f>
        <v>21.0</v>
      </c>
    </row>
    <row r="53">
      <c r="A53" s="27" t="s">
        <v>42</v>
      </c>
      <c r="B53" s="27" t="s">
        <v>194</v>
      </c>
      <c r="C53" s="27" t="s">
        <v>195</v>
      </c>
      <c r="D53" s="27" t="s">
        <v>196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3276</f>
        <v>3276.0</v>
      </c>
      <c r="L53" s="34" t="s">
        <v>48</v>
      </c>
      <c r="M53" s="33" t="n">
        <f>3296</f>
        <v>3296.0</v>
      </c>
      <c r="N53" s="34" t="s">
        <v>48</v>
      </c>
      <c r="O53" s="33" t="n">
        <f>3005</f>
        <v>3005.0</v>
      </c>
      <c r="P53" s="34" t="s">
        <v>49</v>
      </c>
      <c r="Q53" s="33" t="n">
        <f>3107</f>
        <v>3107.0</v>
      </c>
      <c r="R53" s="34" t="s">
        <v>50</v>
      </c>
      <c r="S53" s="35" t="n">
        <f>3143.62</f>
        <v>3143.62</v>
      </c>
      <c r="T53" s="32" t="n">
        <f>808378</f>
        <v>808378.0</v>
      </c>
      <c r="U53" s="32" t="n">
        <f>630040</f>
        <v>630040.0</v>
      </c>
      <c r="V53" s="32" t="n">
        <f>2577798751</f>
        <v>2.577798751E9</v>
      </c>
      <c r="W53" s="32" t="n">
        <f>2020285036</f>
        <v>2.020285036E9</v>
      </c>
      <c r="X53" s="36" t="n">
        <f>21</f>
        <v>21.0</v>
      </c>
    </row>
    <row r="54">
      <c r="A54" s="27" t="s">
        <v>42</v>
      </c>
      <c r="B54" s="27" t="s">
        <v>197</v>
      </c>
      <c r="C54" s="27" t="s">
        <v>198</v>
      </c>
      <c r="D54" s="27" t="s">
        <v>199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5200</f>
        <v>5200.0</v>
      </c>
      <c r="L54" s="34" t="s">
        <v>48</v>
      </c>
      <c r="M54" s="33" t="n">
        <f>5242</f>
        <v>5242.0</v>
      </c>
      <c r="N54" s="34" t="s">
        <v>48</v>
      </c>
      <c r="O54" s="33" t="n">
        <f>4662</f>
        <v>4662.0</v>
      </c>
      <c r="P54" s="34" t="s">
        <v>49</v>
      </c>
      <c r="Q54" s="33" t="n">
        <f>4891</f>
        <v>4891.0</v>
      </c>
      <c r="R54" s="34" t="s">
        <v>50</v>
      </c>
      <c r="S54" s="35" t="n">
        <f>4944.43</f>
        <v>4944.43</v>
      </c>
      <c r="T54" s="32" t="n">
        <f>3353075</f>
        <v>3353075.0</v>
      </c>
      <c r="U54" s="32" t="n">
        <f>1624779</f>
        <v>1624779.0</v>
      </c>
      <c r="V54" s="32" t="n">
        <f>16508434675</f>
        <v>1.6508434675E10</v>
      </c>
      <c r="W54" s="32" t="n">
        <f>8031829216</f>
        <v>8.031829216E9</v>
      </c>
      <c r="X54" s="36" t="n">
        <f>21</f>
        <v>21.0</v>
      </c>
    </row>
    <row r="55">
      <c r="A55" s="27" t="s">
        <v>42</v>
      </c>
      <c r="B55" s="27" t="s">
        <v>200</v>
      </c>
      <c r="C55" s="27" t="s">
        <v>201</v>
      </c>
      <c r="D55" s="27" t="s">
        <v>202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47190</f>
        <v>47190.0</v>
      </c>
      <c r="L55" s="34" t="s">
        <v>48</v>
      </c>
      <c r="M55" s="33" t="n">
        <f>47190</f>
        <v>47190.0</v>
      </c>
      <c r="N55" s="34" t="s">
        <v>48</v>
      </c>
      <c r="O55" s="33" t="n">
        <f>47180</f>
        <v>47180.0</v>
      </c>
      <c r="P55" s="34" t="s">
        <v>64</v>
      </c>
      <c r="Q55" s="33" t="n">
        <f>47180</f>
        <v>47180.0</v>
      </c>
      <c r="R55" s="34" t="s">
        <v>64</v>
      </c>
      <c r="S55" s="35" t="n">
        <f>47185</f>
        <v>47185.0</v>
      </c>
      <c r="T55" s="32" t="n">
        <f>4</f>
        <v>4.0</v>
      </c>
      <c r="U55" s="32" t="str">
        <f>"－"</f>
        <v>－</v>
      </c>
      <c r="V55" s="32" t="n">
        <f>188740</f>
        <v>188740.0</v>
      </c>
      <c r="W55" s="32" t="str">
        <f>"－"</f>
        <v>－</v>
      </c>
      <c r="X55" s="36" t="n">
        <f>2</f>
        <v>2.0</v>
      </c>
    </row>
    <row r="56">
      <c r="A56" s="27" t="s">
        <v>42</v>
      </c>
      <c r="B56" s="27" t="s">
        <v>203</v>
      </c>
      <c r="C56" s="27" t="s">
        <v>204</v>
      </c>
      <c r="D56" s="27" t="s">
        <v>205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38530</f>
        <v>38530.0</v>
      </c>
      <c r="L56" s="34" t="s">
        <v>64</v>
      </c>
      <c r="M56" s="33" t="n">
        <f>38530</f>
        <v>38530.0</v>
      </c>
      <c r="N56" s="34" t="s">
        <v>64</v>
      </c>
      <c r="O56" s="33" t="n">
        <f>33900</f>
        <v>33900.0</v>
      </c>
      <c r="P56" s="34" t="s">
        <v>181</v>
      </c>
      <c r="Q56" s="33" t="n">
        <f>34640</f>
        <v>34640.0</v>
      </c>
      <c r="R56" s="34" t="s">
        <v>50</v>
      </c>
      <c r="S56" s="35" t="n">
        <f>35716.43</f>
        <v>35716.43</v>
      </c>
      <c r="T56" s="32" t="n">
        <f>469</f>
        <v>469.0</v>
      </c>
      <c r="U56" s="32" t="str">
        <f>"－"</f>
        <v>－</v>
      </c>
      <c r="V56" s="32" t="n">
        <f>16688170</f>
        <v>1.668817E7</v>
      </c>
      <c r="W56" s="32" t="str">
        <f>"－"</f>
        <v>－</v>
      </c>
      <c r="X56" s="36" t="n">
        <f>14</f>
        <v>14.0</v>
      </c>
    </row>
    <row r="57">
      <c r="A57" s="27" t="s">
        <v>42</v>
      </c>
      <c r="B57" s="27" t="s">
        <v>206</v>
      </c>
      <c r="C57" s="27" t="s">
        <v>207</v>
      </c>
      <c r="D57" s="27" t="s">
        <v>208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3658</f>
        <v>3658.0</v>
      </c>
      <c r="L57" s="34" t="s">
        <v>48</v>
      </c>
      <c r="M57" s="33" t="n">
        <f>3658</f>
        <v>3658.0</v>
      </c>
      <c r="N57" s="34" t="s">
        <v>48</v>
      </c>
      <c r="O57" s="33" t="n">
        <f>3239</f>
        <v>3239.0</v>
      </c>
      <c r="P57" s="34" t="s">
        <v>57</v>
      </c>
      <c r="Q57" s="33" t="n">
        <f>3341</f>
        <v>3341.0</v>
      </c>
      <c r="R57" s="34" t="s">
        <v>50</v>
      </c>
      <c r="S57" s="35" t="n">
        <f>3378.53</f>
        <v>3378.53</v>
      </c>
      <c r="T57" s="32" t="n">
        <f>2498</f>
        <v>2498.0</v>
      </c>
      <c r="U57" s="32" t="n">
        <f>100</f>
        <v>100.0</v>
      </c>
      <c r="V57" s="32" t="n">
        <f>8408047</f>
        <v>8408047.0</v>
      </c>
      <c r="W57" s="32" t="n">
        <f>347000</f>
        <v>347000.0</v>
      </c>
      <c r="X57" s="36" t="n">
        <f>17</f>
        <v>17.0</v>
      </c>
    </row>
    <row r="58">
      <c r="A58" s="27" t="s">
        <v>42</v>
      </c>
      <c r="B58" s="27" t="s">
        <v>209</v>
      </c>
      <c r="C58" s="27" t="s">
        <v>210</v>
      </c>
      <c r="D58" s="27" t="s">
        <v>211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1654</f>
        <v>1654.0</v>
      </c>
      <c r="L58" s="34" t="s">
        <v>48</v>
      </c>
      <c r="M58" s="33" t="n">
        <f>1654</f>
        <v>1654.0</v>
      </c>
      <c r="N58" s="34" t="s">
        <v>48</v>
      </c>
      <c r="O58" s="33" t="n">
        <f>1593</f>
        <v>1593.0</v>
      </c>
      <c r="P58" s="34" t="s">
        <v>56</v>
      </c>
      <c r="Q58" s="33" t="n">
        <f>1606</f>
        <v>1606.0</v>
      </c>
      <c r="R58" s="34" t="s">
        <v>50</v>
      </c>
      <c r="S58" s="35" t="n">
        <f>1616.76</f>
        <v>1616.76</v>
      </c>
      <c r="T58" s="32" t="n">
        <f>6844129</f>
        <v>6844129.0</v>
      </c>
      <c r="U58" s="32" t="n">
        <f>4208860</f>
        <v>4208860.0</v>
      </c>
      <c r="V58" s="32" t="n">
        <f>11045433502</f>
        <v>1.1045433502E10</v>
      </c>
      <c r="W58" s="32" t="n">
        <f>6794099668</f>
        <v>6.794099668E9</v>
      </c>
      <c r="X58" s="36" t="n">
        <f>21</f>
        <v>21.0</v>
      </c>
    </row>
    <row r="59">
      <c r="A59" s="27" t="s">
        <v>42</v>
      </c>
      <c r="B59" s="27" t="s">
        <v>212</v>
      </c>
      <c r="C59" s="27" t="s">
        <v>213</v>
      </c>
      <c r="D59" s="27" t="s">
        <v>214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3520</f>
        <v>3520.0</v>
      </c>
      <c r="L59" s="34" t="s">
        <v>48</v>
      </c>
      <c r="M59" s="33" t="n">
        <f>3520</f>
        <v>3520.0</v>
      </c>
      <c r="N59" s="34" t="s">
        <v>48</v>
      </c>
      <c r="O59" s="33" t="n">
        <f>3190</f>
        <v>3190.0</v>
      </c>
      <c r="P59" s="34" t="s">
        <v>215</v>
      </c>
      <c r="Q59" s="33" t="n">
        <f>3190</f>
        <v>3190.0</v>
      </c>
      <c r="R59" s="34" t="s">
        <v>57</v>
      </c>
      <c r="S59" s="35" t="n">
        <f>3324.71</f>
        <v>3324.71</v>
      </c>
      <c r="T59" s="32" t="n">
        <f>394</f>
        <v>394.0</v>
      </c>
      <c r="U59" s="32" t="str">
        <f>"－"</f>
        <v>－</v>
      </c>
      <c r="V59" s="32" t="n">
        <f>1333404</f>
        <v>1333404.0</v>
      </c>
      <c r="W59" s="32" t="str">
        <f>"－"</f>
        <v>－</v>
      </c>
      <c r="X59" s="36" t="n">
        <f>14</f>
        <v>14.0</v>
      </c>
    </row>
    <row r="60">
      <c r="A60" s="27" t="s">
        <v>42</v>
      </c>
      <c r="B60" s="27" t="s">
        <v>216</v>
      </c>
      <c r="C60" s="27" t="s">
        <v>217</v>
      </c>
      <c r="D60" s="27" t="s">
        <v>218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10.0</v>
      </c>
      <c r="K60" s="33" t="n">
        <f>3542</f>
        <v>3542.0</v>
      </c>
      <c r="L60" s="34" t="s">
        <v>48</v>
      </c>
      <c r="M60" s="33" t="n">
        <f>3542</f>
        <v>3542.0</v>
      </c>
      <c r="N60" s="34" t="s">
        <v>48</v>
      </c>
      <c r="O60" s="33" t="n">
        <f>3198</f>
        <v>3198.0</v>
      </c>
      <c r="P60" s="34" t="s">
        <v>49</v>
      </c>
      <c r="Q60" s="33" t="n">
        <f>3292</f>
        <v>3292.0</v>
      </c>
      <c r="R60" s="34" t="s">
        <v>57</v>
      </c>
      <c r="S60" s="35" t="n">
        <f>3344.25</f>
        <v>3344.25</v>
      </c>
      <c r="T60" s="32" t="n">
        <f>9530</f>
        <v>9530.0</v>
      </c>
      <c r="U60" s="32" t="n">
        <f>10</f>
        <v>10.0</v>
      </c>
      <c r="V60" s="32" t="n">
        <f>31753555</f>
        <v>3.1753555E7</v>
      </c>
      <c r="W60" s="32" t="n">
        <f>34235</f>
        <v>34235.0</v>
      </c>
      <c r="X60" s="36" t="n">
        <f>20</f>
        <v>20.0</v>
      </c>
    </row>
    <row r="61">
      <c r="A61" s="27" t="s">
        <v>42</v>
      </c>
      <c r="B61" s="27" t="s">
        <v>219</v>
      </c>
      <c r="C61" s="27" t="s">
        <v>220</v>
      </c>
      <c r="D61" s="27" t="s">
        <v>221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60600</f>
        <v>60600.0</v>
      </c>
      <c r="L61" s="34" t="s">
        <v>48</v>
      </c>
      <c r="M61" s="33" t="n">
        <f>64120</f>
        <v>64120.0</v>
      </c>
      <c r="N61" s="34" t="s">
        <v>222</v>
      </c>
      <c r="O61" s="33" t="n">
        <f>47670</f>
        <v>47670.0</v>
      </c>
      <c r="P61" s="34" t="s">
        <v>50</v>
      </c>
      <c r="Q61" s="33" t="n">
        <f>47670</f>
        <v>47670.0</v>
      </c>
      <c r="R61" s="34" t="s">
        <v>50</v>
      </c>
      <c r="S61" s="35" t="n">
        <f>54349.29</f>
        <v>54349.29</v>
      </c>
      <c r="T61" s="32" t="n">
        <f>352</f>
        <v>352.0</v>
      </c>
      <c r="U61" s="32" t="str">
        <f>"－"</f>
        <v>－</v>
      </c>
      <c r="V61" s="32" t="n">
        <f>20704800</f>
        <v>2.07048E7</v>
      </c>
      <c r="W61" s="32" t="str">
        <f>"－"</f>
        <v>－</v>
      </c>
      <c r="X61" s="36" t="n">
        <f>14</f>
        <v>14.0</v>
      </c>
    </row>
    <row r="62">
      <c r="A62" s="27" t="s">
        <v>42</v>
      </c>
      <c r="B62" s="27" t="s">
        <v>223</v>
      </c>
      <c r="C62" s="27" t="s">
        <v>224</v>
      </c>
      <c r="D62" s="27" t="s">
        <v>225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24785</f>
        <v>24785.0</v>
      </c>
      <c r="L62" s="34" t="s">
        <v>48</v>
      </c>
      <c r="M62" s="33" t="n">
        <f>24830</f>
        <v>24830.0</v>
      </c>
      <c r="N62" s="34" t="s">
        <v>48</v>
      </c>
      <c r="O62" s="33" t="n">
        <f>24330</f>
        <v>24330.0</v>
      </c>
      <c r="P62" s="34" t="s">
        <v>117</v>
      </c>
      <c r="Q62" s="33" t="n">
        <f>24625</f>
        <v>24625.0</v>
      </c>
      <c r="R62" s="34" t="s">
        <v>50</v>
      </c>
      <c r="S62" s="35" t="n">
        <f>24614.29</f>
        <v>24614.29</v>
      </c>
      <c r="T62" s="32" t="n">
        <f>50720</f>
        <v>50720.0</v>
      </c>
      <c r="U62" s="32" t="n">
        <f>13504</f>
        <v>13504.0</v>
      </c>
      <c r="V62" s="32" t="n">
        <f>1250159774</f>
        <v>1.250159774E9</v>
      </c>
      <c r="W62" s="32" t="n">
        <f>332893309</f>
        <v>3.32893309E8</v>
      </c>
      <c r="X62" s="36" t="n">
        <f>21</f>
        <v>21.0</v>
      </c>
    </row>
    <row r="63">
      <c r="A63" s="27" t="s">
        <v>42</v>
      </c>
      <c r="B63" s="27" t="s">
        <v>226</v>
      </c>
      <c r="C63" s="27" t="s">
        <v>227</v>
      </c>
      <c r="D63" s="27" t="s">
        <v>228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12635</f>
        <v>12635.0</v>
      </c>
      <c r="L63" s="34" t="s">
        <v>48</v>
      </c>
      <c r="M63" s="33" t="n">
        <f>12655</f>
        <v>12655.0</v>
      </c>
      <c r="N63" s="34" t="s">
        <v>48</v>
      </c>
      <c r="O63" s="33" t="n">
        <f>12190</f>
        <v>12190.0</v>
      </c>
      <c r="P63" s="34" t="s">
        <v>56</v>
      </c>
      <c r="Q63" s="33" t="n">
        <f>12300</f>
        <v>12300.0</v>
      </c>
      <c r="R63" s="34" t="s">
        <v>50</v>
      </c>
      <c r="S63" s="35" t="n">
        <f>12397.62</f>
        <v>12397.62</v>
      </c>
      <c r="T63" s="32" t="n">
        <f>983422</f>
        <v>983422.0</v>
      </c>
      <c r="U63" s="32" t="n">
        <f>779253</f>
        <v>779253.0</v>
      </c>
      <c r="V63" s="32" t="n">
        <f>12092846081</f>
        <v>1.2092846081E10</v>
      </c>
      <c r="W63" s="32" t="n">
        <f>9560778391</f>
        <v>9.560778391E9</v>
      </c>
      <c r="X63" s="36" t="n">
        <f>21</f>
        <v>21.0</v>
      </c>
    </row>
    <row r="64">
      <c r="A64" s="27" t="s">
        <v>42</v>
      </c>
      <c r="B64" s="27" t="s">
        <v>229</v>
      </c>
      <c r="C64" s="27" t="s">
        <v>230</v>
      </c>
      <c r="D64" s="27" t="s">
        <v>231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2099</f>
        <v>2099.0</v>
      </c>
      <c r="L64" s="34" t="s">
        <v>48</v>
      </c>
      <c r="M64" s="33" t="n">
        <f>2108</f>
        <v>2108.0</v>
      </c>
      <c r="N64" s="34" t="s">
        <v>48</v>
      </c>
      <c r="O64" s="33" t="n">
        <f>1911</f>
        <v>1911.0</v>
      </c>
      <c r="P64" s="34" t="s">
        <v>50</v>
      </c>
      <c r="Q64" s="33" t="n">
        <f>1915</f>
        <v>1915.0</v>
      </c>
      <c r="R64" s="34" t="s">
        <v>50</v>
      </c>
      <c r="S64" s="35" t="n">
        <f>2007.86</f>
        <v>2007.86</v>
      </c>
      <c r="T64" s="32" t="n">
        <f>10270232</f>
        <v>1.0270232E7</v>
      </c>
      <c r="U64" s="32" t="n">
        <f>5756798</f>
        <v>5756798.0</v>
      </c>
      <c r="V64" s="32" t="n">
        <f>20638652480</f>
        <v>2.063865248E10</v>
      </c>
      <c r="W64" s="32" t="n">
        <f>11593536322</f>
        <v>1.1593536322E10</v>
      </c>
      <c r="X64" s="36" t="n">
        <f>21</f>
        <v>21.0</v>
      </c>
    </row>
    <row r="65">
      <c r="A65" s="27" t="s">
        <v>42</v>
      </c>
      <c r="B65" s="27" t="s">
        <v>232</v>
      </c>
      <c r="C65" s="27" t="s">
        <v>233</v>
      </c>
      <c r="D65" s="27" t="s">
        <v>234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3349</f>
        <v>3349.0</v>
      </c>
      <c r="L65" s="34" t="s">
        <v>48</v>
      </c>
      <c r="M65" s="33" t="n">
        <f>3371</f>
        <v>3371.0</v>
      </c>
      <c r="N65" s="34" t="s">
        <v>48</v>
      </c>
      <c r="O65" s="33" t="n">
        <f>2975</f>
        <v>2975.0</v>
      </c>
      <c r="P65" s="34" t="s">
        <v>49</v>
      </c>
      <c r="Q65" s="33" t="n">
        <f>3105</f>
        <v>3105.0</v>
      </c>
      <c r="R65" s="34" t="s">
        <v>50</v>
      </c>
      <c r="S65" s="35" t="n">
        <f>3142.81</f>
        <v>3142.81</v>
      </c>
      <c r="T65" s="32" t="n">
        <f>29407193</f>
        <v>2.9407193E7</v>
      </c>
      <c r="U65" s="32" t="n">
        <f>3171403</f>
        <v>3171403.0</v>
      </c>
      <c r="V65" s="32" t="n">
        <f>92142700843</f>
        <v>9.2142700843E10</v>
      </c>
      <c r="W65" s="32" t="n">
        <f>9934398885</f>
        <v>9.934398885E9</v>
      </c>
      <c r="X65" s="36" t="n">
        <f>21</f>
        <v>21.0</v>
      </c>
    </row>
    <row r="66">
      <c r="A66" s="27" t="s">
        <v>42</v>
      </c>
      <c r="B66" s="27" t="s">
        <v>235</v>
      </c>
      <c r="C66" s="27" t="s">
        <v>236</v>
      </c>
      <c r="D66" s="27" t="s">
        <v>237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8498</f>
        <v>8498.0</v>
      </c>
      <c r="L66" s="34" t="s">
        <v>48</v>
      </c>
      <c r="M66" s="33" t="n">
        <f>8850</f>
        <v>8850.0</v>
      </c>
      <c r="N66" s="34" t="s">
        <v>48</v>
      </c>
      <c r="O66" s="33" t="n">
        <f>7674</f>
        <v>7674.0</v>
      </c>
      <c r="P66" s="34" t="s">
        <v>238</v>
      </c>
      <c r="Q66" s="33" t="n">
        <f>7861</f>
        <v>7861.0</v>
      </c>
      <c r="R66" s="34" t="s">
        <v>50</v>
      </c>
      <c r="S66" s="35" t="n">
        <f>7835.42</f>
        <v>7835.42</v>
      </c>
      <c r="T66" s="32" t="n">
        <f>460</f>
        <v>460.0</v>
      </c>
      <c r="U66" s="32" t="str">
        <f>"－"</f>
        <v>－</v>
      </c>
      <c r="V66" s="32" t="n">
        <f>3709100</f>
        <v>3709100.0</v>
      </c>
      <c r="W66" s="32" t="str">
        <f>"－"</f>
        <v>－</v>
      </c>
      <c r="X66" s="36" t="n">
        <f>12</f>
        <v>12.0</v>
      </c>
    </row>
    <row r="67">
      <c r="A67" s="27" t="s">
        <v>42</v>
      </c>
      <c r="B67" s="27" t="s">
        <v>239</v>
      </c>
      <c r="C67" s="27" t="s">
        <v>240</v>
      </c>
      <c r="D67" s="27" t="s">
        <v>241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26880</f>
        <v>26880.0</v>
      </c>
      <c r="L67" s="34" t="s">
        <v>48</v>
      </c>
      <c r="M67" s="33" t="n">
        <f>26880</f>
        <v>26880.0</v>
      </c>
      <c r="N67" s="34" t="s">
        <v>48</v>
      </c>
      <c r="O67" s="33" t="n">
        <f>22900</f>
        <v>22900.0</v>
      </c>
      <c r="P67" s="34" t="s">
        <v>49</v>
      </c>
      <c r="Q67" s="33" t="n">
        <f>24135</f>
        <v>24135.0</v>
      </c>
      <c r="R67" s="34" t="s">
        <v>50</v>
      </c>
      <c r="S67" s="35" t="n">
        <f>24302.62</f>
        <v>24302.62</v>
      </c>
      <c r="T67" s="32" t="n">
        <f>3747</f>
        <v>3747.0</v>
      </c>
      <c r="U67" s="32" t="n">
        <f>145</f>
        <v>145.0</v>
      </c>
      <c r="V67" s="32" t="n">
        <f>91093410</f>
        <v>9.109341E7</v>
      </c>
      <c r="W67" s="32" t="n">
        <f>3399220</f>
        <v>3399220.0</v>
      </c>
      <c r="X67" s="36" t="n">
        <f>21</f>
        <v>21.0</v>
      </c>
    </row>
    <row r="68">
      <c r="A68" s="27" t="s">
        <v>42</v>
      </c>
      <c r="B68" s="27" t="s">
        <v>242</v>
      </c>
      <c r="C68" s="27" t="s">
        <v>243</v>
      </c>
      <c r="D68" s="27" t="s">
        <v>244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45100</f>
        <v>45100.0</v>
      </c>
      <c r="L68" s="34" t="s">
        <v>48</v>
      </c>
      <c r="M68" s="33" t="n">
        <f>45220</f>
        <v>45220.0</v>
      </c>
      <c r="N68" s="34" t="s">
        <v>48</v>
      </c>
      <c r="O68" s="33" t="n">
        <f>39590</f>
        <v>39590.0</v>
      </c>
      <c r="P68" s="34" t="s">
        <v>49</v>
      </c>
      <c r="Q68" s="33" t="n">
        <f>40890</f>
        <v>40890.0</v>
      </c>
      <c r="R68" s="34" t="s">
        <v>50</v>
      </c>
      <c r="S68" s="35" t="n">
        <f>42022.38</f>
        <v>42022.38</v>
      </c>
      <c r="T68" s="32" t="n">
        <f>138556</f>
        <v>138556.0</v>
      </c>
      <c r="U68" s="32" t="n">
        <f>60457</f>
        <v>60457.0</v>
      </c>
      <c r="V68" s="32" t="n">
        <f>5814120095</f>
        <v>5.814120095E9</v>
      </c>
      <c r="W68" s="32" t="n">
        <f>2504009495</f>
        <v>2.504009495E9</v>
      </c>
      <c r="X68" s="36" t="n">
        <f>21</f>
        <v>21.0</v>
      </c>
    </row>
    <row r="69">
      <c r="A69" s="27" t="s">
        <v>42</v>
      </c>
      <c r="B69" s="27" t="s">
        <v>245</v>
      </c>
      <c r="C69" s="27" t="s">
        <v>246</v>
      </c>
      <c r="D69" s="27" t="s">
        <v>247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12030</f>
        <v>12030.0</v>
      </c>
      <c r="L69" s="34" t="s">
        <v>48</v>
      </c>
      <c r="M69" s="33" t="n">
        <f>12080</f>
        <v>12080.0</v>
      </c>
      <c r="N69" s="34" t="s">
        <v>107</v>
      </c>
      <c r="O69" s="33" t="n">
        <f>11050</f>
        <v>11050.0</v>
      </c>
      <c r="P69" s="34" t="s">
        <v>49</v>
      </c>
      <c r="Q69" s="33" t="n">
        <f>11420</f>
        <v>11420.0</v>
      </c>
      <c r="R69" s="34" t="s">
        <v>50</v>
      </c>
      <c r="S69" s="35" t="n">
        <f>11588.81</f>
        <v>11588.81</v>
      </c>
      <c r="T69" s="32" t="n">
        <f>5735</f>
        <v>5735.0</v>
      </c>
      <c r="U69" s="32" t="n">
        <f>62</f>
        <v>62.0</v>
      </c>
      <c r="V69" s="32" t="n">
        <f>66806198</f>
        <v>6.6806198E7</v>
      </c>
      <c r="W69" s="32" t="n">
        <f>732983</f>
        <v>732983.0</v>
      </c>
      <c r="X69" s="36" t="n">
        <f>21</f>
        <v>21.0</v>
      </c>
    </row>
    <row r="70">
      <c r="A70" s="27" t="s">
        <v>42</v>
      </c>
      <c r="B70" s="27" t="s">
        <v>248</v>
      </c>
      <c r="C70" s="27" t="s">
        <v>249</v>
      </c>
      <c r="D70" s="27" t="s">
        <v>250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1744</f>
        <v>1744.0</v>
      </c>
      <c r="L70" s="34" t="s">
        <v>48</v>
      </c>
      <c r="M70" s="33" t="n">
        <f>1745</f>
        <v>1745.0</v>
      </c>
      <c r="N70" s="34" t="s">
        <v>48</v>
      </c>
      <c r="O70" s="33" t="n">
        <f>1678</f>
        <v>1678.0</v>
      </c>
      <c r="P70" s="34" t="s">
        <v>49</v>
      </c>
      <c r="Q70" s="33" t="n">
        <f>1695</f>
        <v>1695.0</v>
      </c>
      <c r="R70" s="34" t="s">
        <v>50</v>
      </c>
      <c r="S70" s="35" t="n">
        <f>1707.76</f>
        <v>1707.76</v>
      </c>
      <c r="T70" s="32" t="n">
        <f>2115155</f>
        <v>2115155.0</v>
      </c>
      <c r="U70" s="32" t="n">
        <f>1451000</f>
        <v>1451000.0</v>
      </c>
      <c r="V70" s="32" t="n">
        <f>3585771374</f>
        <v>3.585771374E9</v>
      </c>
      <c r="W70" s="32" t="n">
        <f>2453901240</f>
        <v>2.45390124E9</v>
      </c>
      <c r="X70" s="36" t="n">
        <f>21</f>
        <v>21.0</v>
      </c>
    </row>
    <row r="71">
      <c r="A71" s="27" t="s">
        <v>42</v>
      </c>
      <c r="B71" s="27" t="s">
        <v>251</v>
      </c>
      <c r="C71" s="27" t="s">
        <v>252</v>
      </c>
      <c r="D71" s="27" t="s">
        <v>253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1791</f>
        <v>1791.0</v>
      </c>
      <c r="L71" s="34" t="s">
        <v>48</v>
      </c>
      <c r="M71" s="33" t="n">
        <f>1791</f>
        <v>1791.0</v>
      </c>
      <c r="N71" s="34" t="s">
        <v>48</v>
      </c>
      <c r="O71" s="33" t="n">
        <f>1744</f>
        <v>1744.0</v>
      </c>
      <c r="P71" s="34" t="s">
        <v>57</v>
      </c>
      <c r="Q71" s="33" t="n">
        <f>1752</f>
        <v>1752.0</v>
      </c>
      <c r="R71" s="34" t="s">
        <v>50</v>
      </c>
      <c r="S71" s="35" t="n">
        <f>1768.71</f>
        <v>1768.71</v>
      </c>
      <c r="T71" s="32" t="n">
        <f>434099</f>
        <v>434099.0</v>
      </c>
      <c r="U71" s="32" t="n">
        <f>14</f>
        <v>14.0</v>
      </c>
      <c r="V71" s="32" t="n">
        <f>767636796</f>
        <v>7.67636796E8</v>
      </c>
      <c r="W71" s="32" t="n">
        <f>23212</f>
        <v>23212.0</v>
      </c>
      <c r="X71" s="36" t="n">
        <f>21</f>
        <v>21.0</v>
      </c>
    </row>
    <row r="72">
      <c r="A72" s="27" t="s">
        <v>42</v>
      </c>
      <c r="B72" s="27" t="s">
        <v>254</v>
      </c>
      <c r="C72" s="27" t="s">
        <v>255</v>
      </c>
      <c r="D72" s="27" t="s">
        <v>256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31480</f>
        <v>31480.0</v>
      </c>
      <c r="L72" s="34" t="s">
        <v>48</v>
      </c>
      <c r="M72" s="33" t="n">
        <f>31890</f>
        <v>31890.0</v>
      </c>
      <c r="N72" s="34" t="s">
        <v>48</v>
      </c>
      <c r="O72" s="33" t="n">
        <f>27910</f>
        <v>27910.0</v>
      </c>
      <c r="P72" s="34" t="s">
        <v>49</v>
      </c>
      <c r="Q72" s="33" t="n">
        <f>28785</f>
        <v>28785.0</v>
      </c>
      <c r="R72" s="34" t="s">
        <v>50</v>
      </c>
      <c r="S72" s="35" t="n">
        <f>29644.05</f>
        <v>29644.05</v>
      </c>
      <c r="T72" s="32" t="n">
        <f>3343</f>
        <v>3343.0</v>
      </c>
      <c r="U72" s="32" t="str">
        <f>"－"</f>
        <v>－</v>
      </c>
      <c r="V72" s="32" t="n">
        <f>99794490</f>
        <v>9.979449E7</v>
      </c>
      <c r="W72" s="32" t="str">
        <f>"－"</f>
        <v>－</v>
      </c>
      <c r="X72" s="36" t="n">
        <f>21</f>
        <v>21.0</v>
      </c>
    </row>
    <row r="73">
      <c r="A73" s="27" t="s">
        <v>42</v>
      </c>
      <c r="B73" s="27" t="s">
        <v>257</v>
      </c>
      <c r="C73" s="27" t="s">
        <v>258</v>
      </c>
      <c r="D73" s="27" t="s">
        <v>259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9425</f>
        <v>9425.0</v>
      </c>
      <c r="L73" s="34" t="s">
        <v>48</v>
      </c>
      <c r="M73" s="33" t="n">
        <f>9699</f>
        <v>9699.0</v>
      </c>
      <c r="N73" s="34" t="s">
        <v>50</v>
      </c>
      <c r="O73" s="33" t="n">
        <f>9221</f>
        <v>9221.0</v>
      </c>
      <c r="P73" s="34" t="s">
        <v>260</v>
      </c>
      <c r="Q73" s="33" t="n">
        <f>9699</f>
        <v>9699.0</v>
      </c>
      <c r="R73" s="34" t="s">
        <v>50</v>
      </c>
      <c r="S73" s="35" t="n">
        <f>9404.71</f>
        <v>9404.71</v>
      </c>
      <c r="T73" s="32" t="n">
        <f>2740</f>
        <v>2740.0</v>
      </c>
      <c r="U73" s="32" t="str">
        <f>"－"</f>
        <v>－</v>
      </c>
      <c r="V73" s="32" t="n">
        <f>25775423</f>
        <v>2.5775423E7</v>
      </c>
      <c r="W73" s="32" t="str">
        <f>"－"</f>
        <v>－</v>
      </c>
      <c r="X73" s="36" t="n">
        <f>21</f>
        <v>21.0</v>
      </c>
    </row>
    <row r="74">
      <c r="A74" s="27" t="s">
        <v>42</v>
      </c>
      <c r="B74" s="27" t="s">
        <v>261</v>
      </c>
      <c r="C74" s="27" t="s">
        <v>262</v>
      </c>
      <c r="D74" s="27" t="s">
        <v>263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25665</f>
        <v>25665.0</v>
      </c>
      <c r="L74" s="34" t="s">
        <v>48</v>
      </c>
      <c r="M74" s="33" t="n">
        <f>25780</f>
        <v>25780.0</v>
      </c>
      <c r="N74" s="34" t="s">
        <v>64</v>
      </c>
      <c r="O74" s="33" t="n">
        <f>20385</f>
        <v>20385.0</v>
      </c>
      <c r="P74" s="34" t="s">
        <v>49</v>
      </c>
      <c r="Q74" s="33" t="n">
        <f>21900</f>
        <v>21900.0</v>
      </c>
      <c r="R74" s="34" t="s">
        <v>50</v>
      </c>
      <c r="S74" s="35" t="n">
        <f>23437.86</f>
        <v>23437.86</v>
      </c>
      <c r="T74" s="32" t="n">
        <f>15424385</f>
        <v>1.5424385E7</v>
      </c>
      <c r="U74" s="32" t="n">
        <f>135859</f>
        <v>135859.0</v>
      </c>
      <c r="V74" s="32" t="n">
        <f>358092614423</f>
        <v>3.58092614423E11</v>
      </c>
      <c r="W74" s="32" t="n">
        <f>3017976078</f>
        <v>3.017976078E9</v>
      </c>
      <c r="X74" s="36" t="n">
        <f>21</f>
        <v>21.0</v>
      </c>
    </row>
    <row r="75">
      <c r="A75" s="27" t="s">
        <v>42</v>
      </c>
      <c r="B75" s="27" t="s">
        <v>264</v>
      </c>
      <c r="C75" s="27" t="s">
        <v>265</v>
      </c>
      <c r="D75" s="27" t="s">
        <v>266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11400</f>
        <v>11400.0</v>
      </c>
      <c r="L75" s="34" t="s">
        <v>48</v>
      </c>
      <c r="M75" s="33" t="n">
        <f>11405</f>
        <v>11405.0</v>
      </c>
      <c r="N75" s="34" t="s">
        <v>48</v>
      </c>
      <c r="O75" s="33" t="n">
        <f>8297</f>
        <v>8297.0</v>
      </c>
      <c r="P75" s="34" t="s">
        <v>49</v>
      </c>
      <c r="Q75" s="33" t="n">
        <f>8994</f>
        <v>8994.0</v>
      </c>
      <c r="R75" s="34" t="s">
        <v>50</v>
      </c>
      <c r="S75" s="35" t="n">
        <f>9694.52</f>
        <v>9694.52</v>
      </c>
      <c r="T75" s="32" t="n">
        <f>2040695</f>
        <v>2040695.0</v>
      </c>
      <c r="U75" s="32" t="n">
        <f>2077</f>
        <v>2077.0</v>
      </c>
      <c r="V75" s="32" t="n">
        <f>20046930296</f>
        <v>2.0046930296E10</v>
      </c>
      <c r="W75" s="32" t="n">
        <f>21062633</f>
        <v>2.1062633E7</v>
      </c>
      <c r="X75" s="36" t="n">
        <f>21</f>
        <v>21.0</v>
      </c>
    </row>
    <row r="76">
      <c r="A76" s="27" t="s">
        <v>42</v>
      </c>
      <c r="B76" s="27" t="s">
        <v>267</v>
      </c>
      <c r="C76" s="27" t="s">
        <v>268</v>
      </c>
      <c r="D76" s="27" t="s">
        <v>269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44050</f>
        <v>44050.0</v>
      </c>
      <c r="L76" s="34" t="s">
        <v>48</v>
      </c>
      <c r="M76" s="33" t="n">
        <f>44290</f>
        <v>44290.0</v>
      </c>
      <c r="N76" s="34" t="s">
        <v>48</v>
      </c>
      <c r="O76" s="33" t="n">
        <f>28180</f>
        <v>28180.0</v>
      </c>
      <c r="P76" s="34" t="s">
        <v>49</v>
      </c>
      <c r="Q76" s="33" t="n">
        <f>33290</f>
        <v>33290.0</v>
      </c>
      <c r="R76" s="34" t="s">
        <v>50</v>
      </c>
      <c r="S76" s="35" t="n">
        <f>35703.33</f>
        <v>35703.33</v>
      </c>
      <c r="T76" s="32" t="n">
        <f>4755052</f>
        <v>4755052.0</v>
      </c>
      <c r="U76" s="32" t="n">
        <f>19582</f>
        <v>19582.0</v>
      </c>
      <c r="V76" s="32" t="n">
        <f>172150951776</f>
        <v>1.72150951776E11</v>
      </c>
      <c r="W76" s="32" t="n">
        <f>674576576</f>
        <v>6.74576576E8</v>
      </c>
      <c r="X76" s="36" t="n">
        <f>21</f>
        <v>21.0</v>
      </c>
    </row>
    <row r="77">
      <c r="A77" s="27" t="s">
        <v>42</v>
      </c>
      <c r="B77" s="27" t="s">
        <v>270</v>
      </c>
      <c r="C77" s="27" t="s">
        <v>271</v>
      </c>
      <c r="D77" s="27" t="s">
        <v>272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81500</f>
        <v>81500.0</v>
      </c>
      <c r="L77" s="34" t="s">
        <v>48</v>
      </c>
      <c r="M77" s="33" t="n">
        <f>81580</f>
        <v>81580.0</v>
      </c>
      <c r="N77" s="34" t="s">
        <v>48</v>
      </c>
      <c r="O77" s="33" t="n">
        <f>60980</f>
        <v>60980.0</v>
      </c>
      <c r="P77" s="34" t="s">
        <v>49</v>
      </c>
      <c r="Q77" s="33" t="n">
        <f>66210</f>
        <v>66210.0</v>
      </c>
      <c r="R77" s="34" t="s">
        <v>50</v>
      </c>
      <c r="S77" s="35" t="n">
        <f>70796.67</f>
        <v>70796.67</v>
      </c>
      <c r="T77" s="32" t="n">
        <f>29834</f>
        <v>29834.0</v>
      </c>
      <c r="U77" s="32" t="n">
        <f>865</f>
        <v>865.0</v>
      </c>
      <c r="V77" s="32" t="n">
        <f>2117447942</f>
        <v>2.117447942E9</v>
      </c>
      <c r="W77" s="32" t="n">
        <f>62164372</f>
        <v>6.2164372E7</v>
      </c>
      <c r="X77" s="36" t="n">
        <f>21</f>
        <v>21.0</v>
      </c>
    </row>
    <row r="78">
      <c r="A78" s="27" t="s">
        <v>42</v>
      </c>
      <c r="B78" s="27" t="s">
        <v>273</v>
      </c>
      <c r="C78" s="27" t="s">
        <v>274</v>
      </c>
      <c r="D78" s="27" t="s">
        <v>275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39080</f>
        <v>39080.0</v>
      </c>
      <c r="L78" s="34" t="s">
        <v>48</v>
      </c>
      <c r="M78" s="33" t="n">
        <f>40120</f>
        <v>40120.0</v>
      </c>
      <c r="N78" s="34" t="s">
        <v>276</v>
      </c>
      <c r="O78" s="33" t="n">
        <f>36830</f>
        <v>36830.0</v>
      </c>
      <c r="P78" s="34" t="s">
        <v>50</v>
      </c>
      <c r="Q78" s="33" t="n">
        <f>37300</f>
        <v>37300.0</v>
      </c>
      <c r="R78" s="34" t="s">
        <v>50</v>
      </c>
      <c r="S78" s="35" t="n">
        <f>39084.29</f>
        <v>39084.29</v>
      </c>
      <c r="T78" s="32" t="n">
        <f>432519</f>
        <v>432519.0</v>
      </c>
      <c r="U78" s="32" t="n">
        <f>33730</f>
        <v>33730.0</v>
      </c>
      <c r="V78" s="32" t="n">
        <f>16780076679</f>
        <v>1.6780076679E10</v>
      </c>
      <c r="W78" s="32" t="n">
        <f>1267315149</f>
        <v>1.267315149E9</v>
      </c>
      <c r="X78" s="36" t="n">
        <f>21</f>
        <v>21.0</v>
      </c>
    </row>
    <row r="79">
      <c r="A79" s="27" t="s">
        <v>42</v>
      </c>
      <c r="B79" s="27" t="s">
        <v>277</v>
      </c>
      <c r="C79" s="27" t="s">
        <v>278</v>
      </c>
      <c r="D79" s="27" t="s">
        <v>279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73970</f>
        <v>73970.0</v>
      </c>
      <c r="L79" s="34" t="s">
        <v>48</v>
      </c>
      <c r="M79" s="33" t="n">
        <f>75000</f>
        <v>75000.0</v>
      </c>
      <c r="N79" s="34" t="s">
        <v>64</v>
      </c>
      <c r="O79" s="33" t="n">
        <f>70070</f>
        <v>70070.0</v>
      </c>
      <c r="P79" s="34" t="s">
        <v>57</v>
      </c>
      <c r="Q79" s="33" t="n">
        <f>71060</f>
        <v>71060.0</v>
      </c>
      <c r="R79" s="34" t="s">
        <v>50</v>
      </c>
      <c r="S79" s="35" t="n">
        <f>72719.05</f>
        <v>72719.05</v>
      </c>
      <c r="T79" s="32" t="n">
        <f>51928</f>
        <v>51928.0</v>
      </c>
      <c r="U79" s="32" t="n">
        <f>6123</f>
        <v>6123.0</v>
      </c>
      <c r="V79" s="32" t="n">
        <f>3796859461</f>
        <v>3.796859461E9</v>
      </c>
      <c r="W79" s="32" t="n">
        <f>440965541</f>
        <v>4.40965541E8</v>
      </c>
      <c r="X79" s="36" t="n">
        <f>21</f>
        <v>21.0</v>
      </c>
    </row>
    <row r="80">
      <c r="A80" s="27" t="s">
        <v>42</v>
      </c>
      <c r="B80" s="27" t="s">
        <v>280</v>
      </c>
      <c r="C80" s="27" t="s">
        <v>281</v>
      </c>
      <c r="D80" s="27" t="s">
        <v>282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11550</f>
        <v>11550.0</v>
      </c>
      <c r="L80" s="34" t="s">
        <v>48</v>
      </c>
      <c r="M80" s="33" t="n">
        <f>11730</f>
        <v>11730.0</v>
      </c>
      <c r="N80" s="34" t="s">
        <v>107</v>
      </c>
      <c r="O80" s="33" t="n">
        <f>10940</f>
        <v>10940.0</v>
      </c>
      <c r="P80" s="34" t="s">
        <v>50</v>
      </c>
      <c r="Q80" s="33" t="n">
        <f>11055</f>
        <v>11055.0</v>
      </c>
      <c r="R80" s="34" t="s">
        <v>50</v>
      </c>
      <c r="S80" s="35" t="n">
        <f>11455.95</f>
        <v>11455.95</v>
      </c>
      <c r="T80" s="32" t="n">
        <f>471529</f>
        <v>471529.0</v>
      </c>
      <c r="U80" s="32" t="n">
        <f>135887</f>
        <v>135887.0</v>
      </c>
      <c r="V80" s="32" t="n">
        <f>5383223794</f>
        <v>5.383223794E9</v>
      </c>
      <c r="W80" s="32" t="n">
        <f>1551536379</f>
        <v>1.551536379E9</v>
      </c>
      <c r="X80" s="36" t="n">
        <f>21</f>
        <v>21.0</v>
      </c>
    </row>
    <row r="81">
      <c r="A81" s="27" t="s">
        <v>42</v>
      </c>
      <c r="B81" s="27" t="s">
        <v>283</v>
      </c>
      <c r="C81" s="27" t="s">
        <v>284</v>
      </c>
      <c r="D81" s="27" t="s">
        <v>285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7289</f>
        <v>7289.0</v>
      </c>
      <c r="L81" s="34" t="s">
        <v>48</v>
      </c>
      <c r="M81" s="33" t="n">
        <f>7360</f>
        <v>7360.0</v>
      </c>
      <c r="N81" s="34" t="s">
        <v>64</v>
      </c>
      <c r="O81" s="33" t="n">
        <f>6868</f>
        <v>6868.0</v>
      </c>
      <c r="P81" s="34" t="s">
        <v>57</v>
      </c>
      <c r="Q81" s="33" t="n">
        <f>6929</f>
        <v>6929.0</v>
      </c>
      <c r="R81" s="34" t="s">
        <v>50</v>
      </c>
      <c r="S81" s="35" t="n">
        <f>7163.76</f>
        <v>7163.76</v>
      </c>
      <c r="T81" s="32" t="n">
        <f>162876</f>
        <v>162876.0</v>
      </c>
      <c r="U81" s="32" t="n">
        <f>24868</f>
        <v>24868.0</v>
      </c>
      <c r="V81" s="32" t="n">
        <f>1163448647</f>
        <v>1.163448647E9</v>
      </c>
      <c r="W81" s="32" t="n">
        <f>179668337</f>
        <v>1.79668337E8</v>
      </c>
      <c r="X81" s="36" t="n">
        <f>21</f>
        <v>21.0</v>
      </c>
    </row>
    <row r="82">
      <c r="A82" s="27" t="s">
        <v>42</v>
      </c>
      <c r="B82" s="27" t="s">
        <v>286</v>
      </c>
      <c r="C82" s="27" t="s">
        <v>287</v>
      </c>
      <c r="D82" s="27" t="s">
        <v>288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10.0</v>
      </c>
      <c r="K82" s="33" t="n">
        <f>6863</f>
        <v>6863.0</v>
      </c>
      <c r="L82" s="34" t="s">
        <v>48</v>
      </c>
      <c r="M82" s="33" t="n">
        <f>7144</f>
        <v>7144.0</v>
      </c>
      <c r="N82" s="34" t="s">
        <v>64</v>
      </c>
      <c r="O82" s="33" t="n">
        <f>6220</f>
        <v>6220.0</v>
      </c>
      <c r="P82" s="34" t="s">
        <v>49</v>
      </c>
      <c r="Q82" s="33" t="n">
        <f>6724</f>
        <v>6724.0</v>
      </c>
      <c r="R82" s="34" t="s">
        <v>50</v>
      </c>
      <c r="S82" s="35" t="n">
        <f>6799.05</f>
        <v>6799.05</v>
      </c>
      <c r="T82" s="32" t="n">
        <f>10570</f>
        <v>10570.0</v>
      </c>
      <c r="U82" s="32" t="n">
        <f>390</f>
        <v>390.0</v>
      </c>
      <c r="V82" s="32" t="n">
        <f>71550406</f>
        <v>7.1550406E7</v>
      </c>
      <c r="W82" s="32" t="n">
        <f>2641626</f>
        <v>2641626.0</v>
      </c>
      <c r="X82" s="36" t="n">
        <f>21</f>
        <v>21.0</v>
      </c>
    </row>
    <row r="83">
      <c r="A83" s="27" t="s">
        <v>42</v>
      </c>
      <c r="B83" s="27" t="s">
        <v>289</v>
      </c>
      <c r="C83" s="27" t="s">
        <v>290</v>
      </c>
      <c r="D83" s="27" t="s">
        <v>291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6107</f>
        <v>6107.0</v>
      </c>
      <c r="L83" s="34" t="s">
        <v>48</v>
      </c>
      <c r="M83" s="33" t="n">
        <f>6166</f>
        <v>6166.0</v>
      </c>
      <c r="N83" s="34" t="s">
        <v>64</v>
      </c>
      <c r="O83" s="33" t="n">
        <f>5716</f>
        <v>5716.0</v>
      </c>
      <c r="P83" s="34" t="s">
        <v>50</v>
      </c>
      <c r="Q83" s="33" t="n">
        <f>5769</f>
        <v>5769.0</v>
      </c>
      <c r="R83" s="34" t="s">
        <v>50</v>
      </c>
      <c r="S83" s="35" t="n">
        <f>5972.38</f>
        <v>5972.38</v>
      </c>
      <c r="T83" s="32" t="n">
        <f>65995</f>
        <v>65995.0</v>
      </c>
      <c r="U83" s="32" t="n">
        <f>1220</f>
        <v>1220.0</v>
      </c>
      <c r="V83" s="32" t="n">
        <f>392942096</f>
        <v>3.92942096E8</v>
      </c>
      <c r="W83" s="32" t="n">
        <f>7311436</f>
        <v>7311436.0</v>
      </c>
      <c r="X83" s="36" t="n">
        <f>21</f>
        <v>21.0</v>
      </c>
    </row>
    <row r="84">
      <c r="A84" s="27" t="s">
        <v>42</v>
      </c>
      <c r="B84" s="27" t="s">
        <v>292</v>
      </c>
      <c r="C84" s="27" t="s">
        <v>293</v>
      </c>
      <c r="D84" s="27" t="s">
        <v>294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2489</f>
        <v>2489.0</v>
      </c>
      <c r="L84" s="34" t="s">
        <v>48</v>
      </c>
      <c r="M84" s="33" t="n">
        <f>2506</f>
        <v>2506.0</v>
      </c>
      <c r="N84" s="34" t="s">
        <v>48</v>
      </c>
      <c r="O84" s="33" t="n">
        <f>2166</f>
        <v>2166.0</v>
      </c>
      <c r="P84" s="34" t="s">
        <v>57</v>
      </c>
      <c r="Q84" s="33" t="n">
        <f>2202</f>
        <v>2202.0</v>
      </c>
      <c r="R84" s="34" t="s">
        <v>50</v>
      </c>
      <c r="S84" s="35" t="n">
        <f>2322.19</f>
        <v>2322.19</v>
      </c>
      <c r="T84" s="32" t="n">
        <f>79153</f>
        <v>79153.0</v>
      </c>
      <c r="U84" s="32" t="n">
        <f>2660</f>
        <v>2660.0</v>
      </c>
      <c r="V84" s="32" t="n">
        <f>183573871</f>
        <v>1.83573871E8</v>
      </c>
      <c r="W84" s="32" t="n">
        <f>6080259</f>
        <v>6080259.0</v>
      </c>
      <c r="X84" s="36" t="n">
        <f>21</f>
        <v>21.0</v>
      </c>
    </row>
    <row r="85">
      <c r="A85" s="27" t="s">
        <v>42</v>
      </c>
      <c r="B85" s="27" t="s">
        <v>295</v>
      </c>
      <c r="C85" s="27" t="s">
        <v>296</v>
      </c>
      <c r="D85" s="27" t="s">
        <v>297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106400</f>
        <v>106400.0</v>
      </c>
      <c r="L85" s="34" t="s">
        <v>48</v>
      </c>
      <c r="M85" s="33" t="n">
        <f>107850</f>
        <v>107850.0</v>
      </c>
      <c r="N85" s="34" t="s">
        <v>64</v>
      </c>
      <c r="O85" s="33" t="n">
        <f>100600</f>
        <v>100600.0</v>
      </c>
      <c r="P85" s="34" t="s">
        <v>50</v>
      </c>
      <c r="Q85" s="33" t="n">
        <f>101650</f>
        <v>101650.0</v>
      </c>
      <c r="R85" s="34" t="s">
        <v>50</v>
      </c>
      <c r="S85" s="35" t="n">
        <f>105480.95</f>
        <v>105480.95</v>
      </c>
      <c r="T85" s="32" t="n">
        <f>51875</f>
        <v>51875.0</v>
      </c>
      <c r="U85" s="32" t="n">
        <f>242</f>
        <v>242.0</v>
      </c>
      <c r="V85" s="32" t="n">
        <f>5465308981</f>
        <v>5.465308981E9</v>
      </c>
      <c r="W85" s="32" t="n">
        <f>25439031</f>
        <v>2.5439031E7</v>
      </c>
      <c r="X85" s="36" t="n">
        <f>21</f>
        <v>21.0</v>
      </c>
    </row>
    <row r="86">
      <c r="A86" s="27" t="s">
        <v>42</v>
      </c>
      <c r="B86" s="27" t="s">
        <v>298</v>
      </c>
      <c r="C86" s="27" t="s">
        <v>299</v>
      </c>
      <c r="D86" s="27" t="s">
        <v>300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4760</f>
        <v>4760.0</v>
      </c>
      <c r="L86" s="34" t="s">
        <v>48</v>
      </c>
      <c r="M86" s="33" t="n">
        <f>4775</f>
        <v>4775.0</v>
      </c>
      <c r="N86" s="34" t="s">
        <v>48</v>
      </c>
      <c r="O86" s="33" t="n">
        <f>4100</f>
        <v>4100.0</v>
      </c>
      <c r="P86" s="34" t="s">
        <v>301</v>
      </c>
      <c r="Q86" s="33" t="n">
        <f>4270</f>
        <v>4270.0</v>
      </c>
      <c r="R86" s="34" t="s">
        <v>50</v>
      </c>
      <c r="S86" s="35" t="n">
        <f>4322.81</f>
        <v>4322.81</v>
      </c>
      <c r="T86" s="32" t="n">
        <f>42792</f>
        <v>42792.0</v>
      </c>
      <c r="U86" s="32" t="str">
        <f>"－"</f>
        <v>－</v>
      </c>
      <c r="V86" s="32" t="n">
        <f>188207721</f>
        <v>1.88207721E8</v>
      </c>
      <c r="W86" s="32" t="str">
        <f>"－"</f>
        <v>－</v>
      </c>
      <c r="X86" s="36" t="n">
        <f>21</f>
        <v>21.0</v>
      </c>
    </row>
    <row r="87">
      <c r="A87" s="27" t="s">
        <v>42</v>
      </c>
      <c r="B87" s="27" t="s">
        <v>302</v>
      </c>
      <c r="C87" s="27" t="s">
        <v>303</v>
      </c>
      <c r="D87" s="27" t="s">
        <v>304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7100</f>
        <v>7100.0</v>
      </c>
      <c r="L87" s="34" t="s">
        <v>48</v>
      </c>
      <c r="M87" s="33" t="n">
        <f>7168</f>
        <v>7168.0</v>
      </c>
      <c r="N87" s="34" t="s">
        <v>48</v>
      </c>
      <c r="O87" s="33" t="n">
        <f>6560</f>
        <v>6560.0</v>
      </c>
      <c r="P87" s="34" t="s">
        <v>181</v>
      </c>
      <c r="Q87" s="33" t="n">
        <f>6582</f>
        <v>6582.0</v>
      </c>
      <c r="R87" s="34" t="s">
        <v>50</v>
      </c>
      <c r="S87" s="35" t="n">
        <f>6807</f>
        <v>6807.0</v>
      </c>
      <c r="T87" s="32" t="n">
        <f>20863</f>
        <v>20863.0</v>
      </c>
      <c r="U87" s="32" t="str">
        <f>"－"</f>
        <v>－</v>
      </c>
      <c r="V87" s="32" t="n">
        <f>141803224</f>
        <v>1.41803224E8</v>
      </c>
      <c r="W87" s="32" t="str">
        <f>"－"</f>
        <v>－</v>
      </c>
      <c r="X87" s="36" t="n">
        <f>21</f>
        <v>21.0</v>
      </c>
    </row>
    <row r="88">
      <c r="A88" s="27" t="s">
        <v>42</v>
      </c>
      <c r="B88" s="27" t="s">
        <v>305</v>
      </c>
      <c r="C88" s="27" t="s">
        <v>306</v>
      </c>
      <c r="D88" s="27" t="s">
        <v>307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2369</f>
        <v>2369.0</v>
      </c>
      <c r="L88" s="34" t="s">
        <v>48</v>
      </c>
      <c r="M88" s="33" t="n">
        <f>2535</f>
        <v>2535.0</v>
      </c>
      <c r="N88" s="34" t="s">
        <v>276</v>
      </c>
      <c r="O88" s="33" t="n">
        <f>2232</f>
        <v>2232.0</v>
      </c>
      <c r="P88" s="34" t="s">
        <v>301</v>
      </c>
      <c r="Q88" s="33" t="n">
        <f>2251</f>
        <v>2251.0</v>
      </c>
      <c r="R88" s="34" t="s">
        <v>50</v>
      </c>
      <c r="S88" s="35" t="n">
        <f>2390.33</f>
        <v>2390.33</v>
      </c>
      <c r="T88" s="32" t="n">
        <f>681182</f>
        <v>681182.0</v>
      </c>
      <c r="U88" s="32" t="n">
        <f>600</f>
        <v>600.0</v>
      </c>
      <c r="V88" s="32" t="n">
        <f>1611064569</f>
        <v>1.611064569E9</v>
      </c>
      <c r="W88" s="32" t="n">
        <f>1430577</f>
        <v>1430577.0</v>
      </c>
      <c r="X88" s="36" t="n">
        <f>21</f>
        <v>21.0</v>
      </c>
    </row>
    <row r="89">
      <c r="A89" s="27" t="s">
        <v>42</v>
      </c>
      <c r="B89" s="27" t="s">
        <v>308</v>
      </c>
      <c r="C89" s="27" t="s">
        <v>309</v>
      </c>
      <c r="D89" s="27" t="s">
        <v>310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55000</f>
        <v>55000.0</v>
      </c>
      <c r="L89" s="34" t="s">
        <v>48</v>
      </c>
      <c r="M89" s="33" t="n">
        <f>55400</f>
        <v>55400.0</v>
      </c>
      <c r="N89" s="34" t="s">
        <v>64</v>
      </c>
      <c r="O89" s="33" t="n">
        <f>52390</f>
        <v>52390.0</v>
      </c>
      <c r="P89" s="34" t="s">
        <v>50</v>
      </c>
      <c r="Q89" s="33" t="n">
        <f>52390</f>
        <v>52390.0</v>
      </c>
      <c r="R89" s="34" t="s">
        <v>50</v>
      </c>
      <c r="S89" s="35" t="n">
        <f>53702.86</f>
        <v>53702.86</v>
      </c>
      <c r="T89" s="32" t="n">
        <f>19246</f>
        <v>19246.0</v>
      </c>
      <c r="U89" s="32" t="n">
        <f>286</f>
        <v>286.0</v>
      </c>
      <c r="V89" s="32" t="n">
        <f>1035224752</f>
        <v>1.035224752E9</v>
      </c>
      <c r="W89" s="32" t="n">
        <f>15118912</f>
        <v>1.5118912E7</v>
      </c>
      <c r="X89" s="36" t="n">
        <f>21</f>
        <v>21.0</v>
      </c>
    </row>
    <row r="90">
      <c r="A90" s="27" t="s">
        <v>42</v>
      </c>
      <c r="B90" s="27" t="s">
        <v>311</v>
      </c>
      <c r="C90" s="27" t="s">
        <v>312</v>
      </c>
      <c r="D90" s="27" t="s">
        <v>313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903</f>
        <v>903.0</v>
      </c>
      <c r="L90" s="34" t="s">
        <v>48</v>
      </c>
      <c r="M90" s="33" t="n">
        <f>924.9</f>
        <v>924.9</v>
      </c>
      <c r="N90" s="34" t="s">
        <v>48</v>
      </c>
      <c r="O90" s="33" t="n">
        <f>714.9</f>
        <v>714.9</v>
      </c>
      <c r="P90" s="34" t="s">
        <v>49</v>
      </c>
      <c r="Q90" s="33" t="n">
        <f>750</f>
        <v>750.0</v>
      </c>
      <c r="R90" s="34" t="s">
        <v>50</v>
      </c>
      <c r="S90" s="35" t="n">
        <f>805.28</f>
        <v>805.28</v>
      </c>
      <c r="T90" s="32" t="n">
        <f>159338730</f>
        <v>1.5933873E8</v>
      </c>
      <c r="U90" s="32" t="n">
        <f>696350</f>
        <v>696350.0</v>
      </c>
      <c r="V90" s="32" t="n">
        <f>128152672653</f>
        <v>1.28152672653E11</v>
      </c>
      <c r="W90" s="32" t="n">
        <f>539295576</f>
        <v>5.39295576E8</v>
      </c>
      <c r="X90" s="36" t="n">
        <f>21</f>
        <v>21.0</v>
      </c>
    </row>
    <row r="91">
      <c r="A91" s="27" t="s">
        <v>42</v>
      </c>
      <c r="B91" s="27" t="s">
        <v>314</v>
      </c>
      <c r="C91" s="27" t="s">
        <v>315</v>
      </c>
      <c r="D91" s="27" t="s">
        <v>316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10.0</v>
      </c>
      <c r="K91" s="33" t="n">
        <f>814</f>
        <v>814.0</v>
      </c>
      <c r="L91" s="34" t="s">
        <v>48</v>
      </c>
      <c r="M91" s="33" t="n">
        <f>900</f>
        <v>900.0</v>
      </c>
      <c r="N91" s="34" t="s">
        <v>49</v>
      </c>
      <c r="O91" s="33" t="n">
        <f>802.8</f>
        <v>802.8</v>
      </c>
      <c r="P91" s="34" t="s">
        <v>48</v>
      </c>
      <c r="Q91" s="33" t="n">
        <f>880</f>
        <v>880.0</v>
      </c>
      <c r="R91" s="34" t="s">
        <v>50</v>
      </c>
      <c r="S91" s="35" t="n">
        <f>853.64</f>
        <v>853.64</v>
      </c>
      <c r="T91" s="32" t="n">
        <f>11894690</f>
        <v>1.189469E7</v>
      </c>
      <c r="U91" s="32" t="n">
        <f>7602210</f>
        <v>7602210.0</v>
      </c>
      <c r="V91" s="32" t="n">
        <f>10059079861</f>
        <v>1.0059079861E10</v>
      </c>
      <c r="W91" s="32" t="n">
        <f>6397523591</f>
        <v>6.397523591E9</v>
      </c>
      <c r="X91" s="36" t="n">
        <f>21</f>
        <v>21.0</v>
      </c>
    </row>
    <row r="92">
      <c r="A92" s="27" t="s">
        <v>42</v>
      </c>
      <c r="B92" s="27" t="s">
        <v>317</v>
      </c>
      <c r="C92" s="27" t="s">
        <v>318</v>
      </c>
      <c r="D92" s="27" t="s">
        <v>319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55980</f>
        <v>55980.0</v>
      </c>
      <c r="L92" s="34" t="s">
        <v>48</v>
      </c>
      <c r="M92" s="33" t="n">
        <f>57310</f>
        <v>57310.0</v>
      </c>
      <c r="N92" s="34" t="s">
        <v>48</v>
      </c>
      <c r="O92" s="33" t="n">
        <f>42510</f>
        <v>42510.0</v>
      </c>
      <c r="P92" s="34" t="s">
        <v>49</v>
      </c>
      <c r="Q92" s="33" t="n">
        <f>43890</f>
        <v>43890.0</v>
      </c>
      <c r="R92" s="34" t="s">
        <v>50</v>
      </c>
      <c r="S92" s="35" t="n">
        <f>48578.1</f>
        <v>48578.1</v>
      </c>
      <c r="T92" s="32" t="n">
        <f>93898567</f>
        <v>9.3898567E7</v>
      </c>
      <c r="U92" s="32" t="n">
        <f>849851</f>
        <v>849851.0</v>
      </c>
      <c r="V92" s="32" t="n">
        <f>4556617813121</f>
        <v>4.556617813121E12</v>
      </c>
      <c r="W92" s="32" t="n">
        <f>41735280501</f>
        <v>4.1735280501E10</v>
      </c>
      <c r="X92" s="36" t="n">
        <f>21</f>
        <v>21.0</v>
      </c>
    </row>
    <row r="93">
      <c r="A93" s="27" t="s">
        <v>42</v>
      </c>
      <c r="B93" s="27" t="s">
        <v>320</v>
      </c>
      <c r="C93" s="27" t="s">
        <v>321</v>
      </c>
      <c r="D93" s="27" t="s">
        <v>322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361</f>
        <v>361.0</v>
      </c>
      <c r="L93" s="34" t="s">
        <v>48</v>
      </c>
      <c r="M93" s="33" t="n">
        <f>406</f>
        <v>406.0</v>
      </c>
      <c r="N93" s="34" t="s">
        <v>49</v>
      </c>
      <c r="O93" s="33" t="n">
        <f>356</f>
        <v>356.0</v>
      </c>
      <c r="P93" s="34" t="s">
        <v>48</v>
      </c>
      <c r="Q93" s="33" t="n">
        <f>398</f>
        <v>398.0</v>
      </c>
      <c r="R93" s="34" t="s">
        <v>50</v>
      </c>
      <c r="S93" s="35" t="n">
        <f>382.81</f>
        <v>382.81</v>
      </c>
      <c r="T93" s="32" t="n">
        <f>75645672</f>
        <v>7.5645672E7</v>
      </c>
      <c r="U93" s="32" t="n">
        <f>15013565</f>
        <v>1.5013565E7</v>
      </c>
      <c r="V93" s="32" t="n">
        <f>28959784729</f>
        <v>2.8959784729E10</v>
      </c>
      <c r="W93" s="32" t="n">
        <f>5681578214</f>
        <v>5.681578214E9</v>
      </c>
      <c r="X93" s="36" t="n">
        <f>21</f>
        <v>21.0</v>
      </c>
    </row>
    <row r="94">
      <c r="A94" s="27" t="s">
        <v>42</v>
      </c>
      <c r="B94" s="27" t="s">
        <v>323</v>
      </c>
      <c r="C94" s="27" t="s">
        <v>324</v>
      </c>
      <c r="D94" s="27" t="s">
        <v>325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10.0</v>
      </c>
      <c r="K94" s="33" t="n">
        <f>7439</f>
        <v>7439.0</v>
      </c>
      <c r="L94" s="34" t="s">
        <v>48</v>
      </c>
      <c r="M94" s="33" t="n">
        <f>7900</f>
        <v>7900.0</v>
      </c>
      <c r="N94" s="34" t="s">
        <v>71</v>
      </c>
      <c r="O94" s="33" t="n">
        <f>6711</f>
        <v>6711.0</v>
      </c>
      <c r="P94" s="34" t="s">
        <v>57</v>
      </c>
      <c r="Q94" s="33" t="n">
        <f>6853</f>
        <v>6853.0</v>
      </c>
      <c r="R94" s="34" t="s">
        <v>50</v>
      </c>
      <c r="S94" s="35" t="n">
        <f>7243.76</f>
        <v>7243.76</v>
      </c>
      <c r="T94" s="32" t="n">
        <f>160030</f>
        <v>160030.0</v>
      </c>
      <c r="U94" s="32" t="str">
        <f>"－"</f>
        <v>－</v>
      </c>
      <c r="V94" s="32" t="n">
        <f>1151156640</f>
        <v>1.15115664E9</v>
      </c>
      <c r="W94" s="32" t="str">
        <f>"－"</f>
        <v>－</v>
      </c>
      <c r="X94" s="36" t="n">
        <f>21</f>
        <v>21.0</v>
      </c>
    </row>
    <row r="95">
      <c r="A95" s="27" t="s">
        <v>42</v>
      </c>
      <c r="B95" s="27" t="s">
        <v>326</v>
      </c>
      <c r="C95" s="27" t="s">
        <v>327</v>
      </c>
      <c r="D95" s="27" t="s">
        <v>328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10.0</v>
      </c>
      <c r="K95" s="33" t="n">
        <f>8171</f>
        <v>8171.0</v>
      </c>
      <c r="L95" s="34" t="s">
        <v>48</v>
      </c>
      <c r="M95" s="33" t="n">
        <f>8725</f>
        <v>8725.0</v>
      </c>
      <c r="N95" s="34" t="s">
        <v>49</v>
      </c>
      <c r="O95" s="33" t="n">
        <f>8055</f>
        <v>8055.0</v>
      </c>
      <c r="P95" s="34" t="s">
        <v>48</v>
      </c>
      <c r="Q95" s="33" t="n">
        <f>8579</f>
        <v>8579.0</v>
      </c>
      <c r="R95" s="34" t="s">
        <v>50</v>
      </c>
      <c r="S95" s="35" t="n">
        <f>8383.71</f>
        <v>8383.71</v>
      </c>
      <c r="T95" s="32" t="n">
        <f>34340</f>
        <v>34340.0</v>
      </c>
      <c r="U95" s="32" t="str">
        <f>"－"</f>
        <v>－</v>
      </c>
      <c r="V95" s="32" t="n">
        <f>287521660</f>
        <v>2.8752166E8</v>
      </c>
      <c r="W95" s="32" t="str">
        <f>"－"</f>
        <v>－</v>
      </c>
      <c r="X95" s="36" t="n">
        <f>21</f>
        <v>21.0</v>
      </c>
    </row>
    <row r="96">
      <c r="A96" s="27" t="s">
        <v>42</v>
      </c>
      <c r="B96" s="27" t="s">
        <v>329</v>
      </c>
      <c r="C96" s="27" t="s">
        <v>330</v>
      </c>
      <c r="D96" s="27" t="s">
        <v>331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57210</f>
        <v>57210.0</v>
      </c>
      <c r="L96" s="34" t="s">
        <v>48</v>
      </c>
      <c r="M96" s="33" t="n">
        <f>57240</f>
        <v>57240.0</v>
      </c>
      <c r="N96" s="34" t="s">
        <v>48</v>
      </c>
      <c r="O96" s="33" t="n">
        <f>50500</f>
        <v>50500.0</v>
      </c>
      <c r="P96" s="34" t="s">
        <v>49</v>
      </c>
      <c r="Q96" s="33" t="n">
        <f>53110</f>
        <v>53110.0</v>
      </c>
      <c r="R96" s="34" t="s">
        <v>50</v>
      </c>
      <c r="S96" s="35" t="n">
        <f>53588.1</f>
        <v>53588.1</v>
      </c>
      <c r="T96" s="32" t="n">
        <f>310401</f>
        <v>310401.0</v>
      </c>
      <c r="U96" s="32" t="n">
        <f>108228</f>
        <v>108228.0</v>
      </c>
      <c r="V96" s="32" t="n">
        <f>16652671162</f>
        <v>1.6652671162E10</v>
      </c>
      <c r="W96" s="32" t="n">
        <f>5821931102</f>
        <v>5.821931102E9</v>
      </c>
      <c r="X96" s="36" t="n">
        <f>21</f>
        <v>21.0</v>
      </c>
    </row>
    <row r="97">
      <c r="A97" s="27" t="s">
        <v>42</v>
      </c>
      <c r="B97" s="27" t="s">
        <v>332</v>
      </c>
      <c r="C97" s="27" t="s">
        <v>333</v>
      </c>
      <c r="D97" s="27" t="s">
        <v>334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4605</f>
        <v>4605.0</v>
      </c>
      <c r="L97" s="34" t="s">
        <v>48</v>
      </c>
      <c r="M97" s="33" t="n">
        <f>4654</f>
        <v>4654.0</v>
      </c>
      <c r="N97" s="34" t="s">
        <v>48</v>
      </c>
      <c r="O97" s="33" t="n">
        <f>4045</f>
        <v>4045.0</v>
      </c>
      <c r="P97" s="34" t="s">
        <v>49</v>
      </c>
      <c r="Q97" s="33" t="n">
        <f>4098</f>
        <v>4098.0</v>
      </c>
      <c r="R97" s="34" t="s">
        <v>50</v>
      </c>
      <c r="S97" s="35" t="n">
        <f>4304.1</f>
        <v>4304.1</v>
      </c>
      <c r="T97" s="32" t="n">
        <f>527801</f>
        <v>527801.0</v>
      </c>
      <c r="U97" s="32" t="n">
        <f>245230</f>
        <v>245230.0</v>
      </c>
      <c r="V97" s="32" t="n">
        <f>2204973734</f>
        <v>2.204973734E9</v>
      </c>
      <c r="W97" s="32" t="n">
        <f>1002717280</f>
        <v>1.00271728E9</v>
      </c>
      <c r="X97" s="36" t="n">
        <f>21</f>
        <v>21.0</v>
      </c>
    </row>
    <row r="98">
      <c r="A98" s="27" t="s">
        <v>42</v>
      </c>
      <c r="B98" s="27" t="s">
        <v>335</v>
      </c>
      <c r="C98" s="27" t="s">
        <v>336</v>
      </c>
      <c r="D98" s="27" t="s">
        <v>337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603</f>
        <v>603.0</v>
      </c>
      <c r="L98" s="34" t="s">
        <v>48</v>
      </c>
      <c r="M98" s="33" t="n">
        <f>617.5</f>
        <v>617.5</v>
      </c>
      <c r="N98" s="34" t="s">
        <v>48</v>
      </c>
      <c r="O98" s="33" t="n">
        <f>458.2</f>
        <v>458.2</v>
      </c>
      <c r="P98" s="34" t="s">
        <v>49</v>
      </c>
      <c r="Q98" s="33" t="n">
        <f>472.9</f>
        <v>472.9</v>
      </c>
      <c r="R98" s="34" t="s">
        <v>50</v>
      </c>
      <c r="S98" s="35" t="n">
        <f>523.63</f>
        <v>523.63</v>
      </c>
      <c r="T98" s="32" t="n">
        <f>620050550</f>
        <v>6.2005055E8</v>
      </c>
      <c r="U98" s="32" t="n">
        <f>12340010</f>
        <v>1.234001E7</v>
      </c>
      <c r="V98" s="32" t="n">
        <f>323324723670</f>
        <v>3.2332472367E11</v>
      </c>
      <c r="W98" s="32" t="n">
        <f>6492629710</f>
        <v>6.49262971E9</v>
      </c>
      <c r="X98" s="36" t="n">
        <f>21</f>
        <v>21.0</v>
      </c>
    </row>
    <row r="99">
      <c r="A99" s="27" t="s">
        <v>42</v>
      </c>
      <c r="B99" s="27" t="s">
        <v>338</v>
      </c>
      <c r="C99" s="27" t="s">
        <v>339</v>
      </c>
      <c r="D99" s="27" t="s">
        <v>340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956.9</f>
        <v>956.9</v>
      </c>
      <c r="L99" s="34" t="s">
        <v>48</v>
      </c>
      <c r="M99" s="33" t="n">
        <f>1077</f>
        <v>1077.0</v>
      </c>
      <c r="N99" s="34" t="s">
        <v>49</v>
      </c>
      <c r="O99" s="33" t="n">
        <f>945.7</f>
        <v>945.7</v>
      </c>
      <c r="P99" s="34" t="s">
        <v>48</v>
      </c>
      <c r="Q99" s="33" t="n">
        <f>1060</f>
        <v>1060.0</v>
      </c>
      <c r="R99" s="34" t="s">
        <v>50</v>
      </c>
      <c r="S99" s="35" t="n">
        <f>1016.18</f>
        <v>1016.18</v>
      </c>
      <c r="T99" s="32" t="n">
        <f>16486440</f>
        <v>1.648644E7</v>
      </c>
      <c r="U99" s="32" t="n">
        <f>2963180</f>
        <v>2963180.0</v>
      </c>
      <c r="V99" s="32" t="n">
        <f>16760481601</f>
        <v>1.6760481601E10</v>
      </c>
      <c r="W99" s="32" t="n">
        <f>2977638078</f>
        <v>2.977638078E9</v>
      </c>
      <c r="X99" s="36" t="n">
        <f>21</f>
        <v>21.0</v>
      </c>
    </row>
    <row r="100">
      <c r="A100" s="27" t="s">
        <v>42</v>
      </c>
      <c r="B100" s="27" t="s">
        <v>341</v>
      </c>
      <c r="C100" s="27" t="s">
        <v>342</v>
      </c>
      <c r="D100" s="27" t="s">
        <v>343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10.0</v>
      </c>
      <c r="K100" s="33" t="n">
        <f>2600</f>
        <v>2600.0</v>
      </c>
      <c r="L100" s="34" t="s">
        <v>48</v>
      </c>
      <c r="M100" s="33" t="n">
        <f>2600</f>
        <v>2600.0</v>
      </c>
      <c r="N100" s="34" t="s">
        <v>48</v>
      </c>
      <c r="O100" s="33" t="n">
        <f>2302</f>
        <v>2302.0</v>
      </c>
      <c r="P100" s="34" t="s">
        <v>57</v>
      </c>
      <c r="Q100" s="33" t="n">
        <f>2396</f>
        <v>2396.0</v>
      </c>
      <c r="R100" s="34" t="s">
        <v>50</v>
      </c>
      <c r="S100" s="35" t="n">
        <f>2449.11</f>
        <v>2449.11</v>
      </c>
      <c r="T100" s="32" t="n">
        <f>3990</f>
        <v>3990.0</v>
      </c>
      <c r="U100" s="32" t="str">
        <f>"－"</f>
        <v>－</v>
      </c>
      <c r="V100" s="32" t="n">
        <f>9813575</f>
        <v>9813575.0</v>
      </c>
      <c r="W100" s="32" t="str">
        <f>"－"</f>
        <v>－</v>
      </c>
      <c r="X100" s="36" t="n">
        <f>19</f>
        <v>19.0</v>
      </c>
    </row>
    <row r="101">
      <c r="A101" s="27" t="s">
        <v>42</v>
      </c>
      <c r="B101" s="27" t="s">
        <v>344</v>
      </c>
      <c r="C101" s="27" t="s">
        <v>345</v>
      </c>
      <c r="D101" s="27" t="s">
        <v>346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1.0</v>
      </c>
      <c r="K101" s="33" t="n">
        <f>3050</f>
        <v>3050.0</v>
      </c>
      <c r="L101" s="34" t="s">
        <v>48</v>
      </c>
      <c r="M101" s="33" t="n">
        <f>3050</f>
        <v>3050.0</v>
      </c>
      <c r="N101" s="34" t="s">
        <v>48</v>
      </c>
      <c r="O101" s="33" t="n">
        <f>2679</f>
        <v>2679.0</v>
      </c>
      <c r="P101" s="34" t="s">
        <v>49</v>
      </c>
      <c r="Q101" s="33" t="n">
        <f>2730</f>
        <v>2730.0</v>
      </c>
      <c r="R101" s="34" t="s">
        <v>50</v>
      </c>
      <c r="S101" s="35" t="n">
        <f>2834.33</f>
        <v>2834.33</v>
      </c>
      <c r="T101" s="32" t="n">
        <f>7467</f>
        <v>7467.0</v>
      </c>
      <c r="U101" s="32" t="str">
        <f>"－"</f>
        <v>－</v>
      </c>
      <c r="V101" s="32" t="n">
        <f>21200660</f>
        <v>2.120066E7</v>
      </c>
      <c r="W101" s="32" t="str">
        <f>"－"</f>
        <v>－</v>
      </c>
      <c r="X101" s="36" t="n">
        <f>21</f>
        <v>21.0</v>
      </c>
    </row>
    <row r="102">
      <c r="A102" s="27" t="s">
        <v>42</v>
      </c>
      <c r="B102" s="27" t="s">
        <v>347</v>
      </c>
      <c r="C102" s="27" t="s">
        <v>348</v>
      </c>
      <c r="D102" s="27" t="s">
        <v>349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34970</f>
        <v>34970.0</v>
      </c>
      <c r="L102" s="34" t="s">
        <v>48</v>
      </c>
      <c r="M102" s="33" t="n">
        <f>35390</f>
        <v>35390.0</v>
      </c>
      <c r="N102" s="34" t="s">
        <v>48</v>
      </c>
      <c r="O102" s="33" t="n">
        <f>31380</f>
        <v>31380.0</v>
      </c>
      <c r="P102" s="34" t="s">
        <v>49</v>
      </c>
      <c r="Q102" s="33" t="n">
        <f>32180</f>
        <v>32180.0</v>
      </c>
      <c r="R102" s="34" t="s">
        <v>50</v>
      </c>
      <c r="S102" s="35" t="n">
        <f>33235.71</f>
        <v>33235.71</v>
      </c>
      <c r="T102" s="32" t="n">
        <f>185346</f>
        <v>185346.0</v>
      </c>
      <c r="U102" s="32" t="n">
        <f>79039</f>
        <v>79039.0</v>
      </c>
      <c r="V102" s="32" t="n">
        <f>6177958567</f>
        <v>6.177958567E9</v>
      </c>
      <c r="W102" s="32" t="n">
        <f>2626254107</f>
        <v>2.626254107E9</v>
      </c>
      <c r="X102" s="36" t="n">
        <f>21</f>
        <v>21.0</v>
      </c>
    </row>
    <row r="103">
      <c r="A103" s="27" t="s">
        <v>42</v>
      </c>
      <c r="B103" s="27" t="s">
        <v>350</v>
      </c>
      <c r="C103" s="27" t="s">
        <v>351</v>
      </c>
      <c r="D103" s="27" t="s">
        <v>352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3200</f>
        <v>3200.0</v>
      </c>
      <c r="L103" s="34" t="s">
        <v>48</v>
      </c>
      <c r="M103" s="33" t="n">
        <f>3242</f>
        <v>3242.0</v>
      </c>
      <c r="N103" s="34" t="s">
        <v>48</v>
      </c>
      <c r="O103" s="33" t="n">
        <f>2868</f>
        <v>2868.0</v>
      </c>
      <c r="P103" s="34" t="s">
        <v>49</v>
      </c>
      <c r="Q103" s="33" t="n">
        <f>2936</f>
        <v>2936.0</v>
      </c>
      <c r="R103" s="34" t="s">
        <v>50</v>
      </c>
      <c r="S103" s="35" t="n">
        <f>3033.67</f>
        <v>3033.67</v>
      </c>
      <c r="T103" s="32" t="n">
        <f>620804</f>
        <v>620804.0</v>
      </c>
      <c r="U103" s="32" t="n">
        <f>257954</f>
        <v>257954.0</v>
      </c>
      <c r="V103" s="32" t="n">
        <f>1869950286</f>
        <v>1.869950286E9</v>
      </c>
      <c r="W103" s="32" t="n">
        <f>778832472</f>
        <v>7.78832472E8</v>
      </c>
      <c r="X103" s="36" t="n">
        <f>21</f>
        <v>21.0</v>
      </c>
    </row>
    <row r="104">
      <c r="A104" s="27" t="s">
        <v>42</v>
      </c>
      <c r="B104" s="27" t="s">
        <v>353</v>
      </c>
      <c r="C104" s="27" t="s">
        <v>354</v>
      </c>
      <c r="D104" s="27" t="s">
        <v>355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35720</f>
        <v>35720.0</v>
      </c>
      <c r="L104" s="34" t="s">
        <v>48</v>
      </c>
      <c r="M104" s="33" t="n">
        <f>36310</f>
        <v>36310.0</v>
      </c>
      <c r="N104" s="34" t="s">
        <v>48</v>
      </c>
      <c r="O104" s="33" t="n">
        <f>32160</f>
        <v>32160.0</v>
      </c>
      <c r="P104" s="34" t="s">
        <v>49</v>
      </c>
      <c r="Q104" s="33" t="n">
        <f>32990</f>
        <v>32990.0</v>
      </c>
      <c r="R104" s="34" t="s">
        <v>50</v>
      </c>
      <c r="S104" s="35" t="n">
        <f>34074.76</f>
        <v>34074.76</v>
      </c>
      <c r="T104" s="32" t="n">
        <f>141780</f>
        <v>141780.0</v>
      </c>
      <c r="U104" s="32" t="n">
        <f>97771</f>
        <v>97771.0</v>
      </c>
      <c r="V104" s="32" t="n">
        <f>4808105888</f>
        <v>4.808105888E9</v>
      </c>
      <c r="W104" s="32" t="n">
        <f>3313492208</f>
        <v>3.313492208E9</v>
      </c>
      <c r="X104" s="36" t="n">
        <f>21</f>
        <v>21.0</v>
      </c>
    </row>
    <row r="105">
      <c r="A105" s="27" t="s">
        <v>42</v>
      </c>
      <c r="B105" s="27" t="s">
        <v>356</v>
      </c>
      <c r="C105" s="27" t="s">
        <v>357</v>
      </c>
      <c r="D105" s="27" t="s">
        <v>358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1.0</v>
      </c>
      <c r="K105" s="33" t="n">
        <f>2060</f>
        <v>2060.0</v>
      </c>
      <c r="L105" s="34" t="s">
        <v>48</v>
      </c>
      <c r="M105" s="33" t="n">
        <f>2074</f>
        <v>2074.0</v>
      </c>
      <c r="N105" s="34" t="s">
        <v>64</v>
      </c>
      <c r="O105" s="33" t="n">
        <f>1906</f>
        <v>1906.0</v>
      </c>
      <c r="P105" s="34" t="s">
        <v>50</v>
      </c>
      <c r="Q105" s="33" t="n">
        <f>1909</f>
        <v>1909.0</v>
      </c>
      <c r="R105" s="34" t="s">
        <v>50</v>
      </c>
      <c r="S105" s="35" t="n">
        <f>2001.57</f>
        <v>2001.57</v>
      </c>
      <c r="T105" s="32" t="n">
        <f>6040449</f>
        <v>6040449.0</v>
      </c>
      <c r="U105" s="32" t="n">
        <f>4512588</f>
        <v>4512588.0</v>
      </c>
      <c r="V105" s="32" t="n">
        <f>12093498524</f>
        <v>1.2093498524E10</v>
      </c>
      <c r="W105" s="32" t="n">
        <f>9036928311</f>
        <v>9.036928311E9</v>
      </c>
      <c r="X105" s="36" t="n">
        <f>21</f>
        <v>21.0</v>
      </c>
    </row>
    <row r="106">
      <c r="A106" s="27" t="s">
        <v>42</v>
      </c>
      <c r="B106" s="27" t="s">
        <v>359</v>
      </c>
      <c r="C106" s="27" t="s">
        <v>360</v>
      </c>
      <c r="D106" s="27" t="s">
        <v>361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2851</f>
        <v>2851.0</v>
      </c>
      <c r="L106" s="34" t="s">
        <v>64</v>
      </c>
      <c r="M106" s="33" t="n">
        <f>2901</f>
        <v>2901.0</v>
      </c>
      <c r="N106" s="34" t="s">
        <v>301</v>
      </c>
      <c r="O106" s="33" t="n">
        <f>2700</f>
        <v>2700.0</v>
      </c>
      <c r="P106" s="34" t="s">
        <v>49</v>
      </c>
      <c r="Q106" s="33" t="n">
        <f>2705</f>
        <v>2705.0</v>
      </c>
      <c r="R106" s="34" t="s">
        <v>57</v>
      </c>
      <c r="S106" s="35" t="n">
        <f>2753.8</f>
        <v>2753.8</v>
      </c>
      <c r="T106" s="32" t="n">
        <f>440</f>
        <v>440.0</v>
      </c>
      <c r="U106" s="32" t="str">
        <f>"－"</f>
        <v>－</v>
      </c>
      <c r="V106" s="32" t="n">
        <f>1220610</f>
        <v>1220610.0</v>
      </c>
      <c r="W106" s="32" t="str">
        <f>"－"</f>
        <v>－</v>
      </c>
      <c r="X106" s="36" t="n">
        <f>5</f>
        <v>5.0</v>
      </c>
    </row>
    <row r="107">
      <c r="A107" s="27" t="s">
        <v>42</v>
      </c>
      <c r="B107" s="27" t="s">
        <v>362</v>
      </c>
      <c r="C107" s="27" t="s">
        <v>363</v>
      </c>
      <c r="D107" s="27" t="s">
        <v>364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2089</f>
        <v>2089.0</v>
      </c>
      <c r="L107" s="34" t="s">
        <v>48</v>
      </c>
      <c r="M107" s="33" t="n">
        <f>2095</f>
        <v>2095.0</v>
      </c>
      <c r="N107" s="34" t="s">
        <v>48</v>
      </c>
      <c r="O107" s="33" t="n">
        <f>1899</f>
        <v>1899.0</v>
      </c>
      <c r="P107" s="34" t="s">
        <v>50</v>
      </c>
      <c r="Q107" s="33" t="n">
        <f>1912</f>
        <v>1912.0</v>
      </c>
      <c r="R107" s="34" t="s">
        <v>50</v>
      </c>
      <c r="S107" s="35" t="n">
        <f>2001.1</f>
        <v>2001.1</v>
      </c>
      <c r="T107" s="32" t="n">
        <f>4816632</f>
        <v>4816632.0</v>
      </c>
      <c r="U107" s="32" t="n">
        <f>1172362</f>
        <v>1172362.0</v>
      </c>
      <c r="V107" s="32" t="n">
        <f>9622908796</f>
        <v>9.622908796E9</v>
      </c>
      <c r="W107" s="32" t="n">
        <f>2341387521</f>
        <v>2.341387521E9</v>
      </c>
      <c r="X107" s="36" t="n">
        <f>21</f>
        <v>21.0</v>
      </c>
    </row>
    <row r="108">
      <c r="A108" s="27" t="s">
        <v>42</v>
      </c>
      <c r="B108" s="27" t="s">
        <v>365</v>
      </c>
      <c r="C108" s="27" t="s">
        <v>366</v>
      </c>
      <c r="D108" s="27" t="s">
        <v>367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35500</f>
        <v>35500.0</v>
      </c>
      <c r="L108" s="34" t="s">
        <v>48</v>
      </c>
      <c r="M108" s="33" t="n">
        <f>35900</f>
        <v>35900.0</v>
      </c>
      <c r="N108" s="34" t="s">
        <v>48</v>
      </c>
      <c r="O108" s="33" t="n">
        <f>31900</f>
        <v>31900.0</v>
      </c>
      <c r="P108" s="34" t="s">
        <v>49</v>
      </c>
      <c r="Q108" s="33" t="n">
        <f>32620</f>
        <v>32620.0</v>
      </c>
      <c r="R108" s="34" t="s">
        <v>50</v>
      </c>
      <c r="S108" s="35" t="n">
        <f>33721.43</f>
        <v>33721.43</v>
      </c>
      <c r="T108" s="32" t="n">
        <f>15352</f>
        <v>15352.0</v>
      </c>
      <c r="U108" s="32" t="n">
        <f>5954</f>
        <v>5954.0</v>
      </c>
      <c r="V108" s="32" t="n">
        <f>512560010</f>
        <v>5.1256001E8</v>
      </c>
      <c r="W108" s="32" t="n">
        <f>198180160</f>
        <v>1.9818016E8</v>
      </c>
      <c r="X108" s="36" t="n">
        <f>21</f>
        <v>21.0</v>
      </c>
    </row>
    <row r="109">
      <c r="A109" s="27" t="s">
        <v>42</v>
      </c>
      <c r="B109" s="27" t="s">
        <v>368</v>
      </c>
      <c r="C109" s="27" t="s">
        <v>369</v>
      </c>
      <c r="D109" s="27" t="s">
        <v>370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10.0</v>
      </c>
      <c r="K109" s="33" t="n">
        <f>692</f>
        <v>692.0</v>
      </c>
      <c r="L109" s="34" t="s">
        <v>48</v>
      </c>
      <c r="M109" s="33" t="n">
        <f>697.4</f>
        <v>697.4</v>
      </c>
      <c r="N109" s="34" t="s">
        <v>64</v>
      </c>
      <c r="O109" s="33" t="n">
        <f>619.2</f>
        <v>619.2</v>
      </c>
      <c r="P109" s="34" t="s">
        <v>49</v>
      </c>
      <c r="Q109" s="33" t="n">
        <f>630</f>
        <v>630.0</v>
      </c>
      <c r="R109" s="34" t="s">
        <v>50</v>
      </c>
      <c r="S109" s="35" t="n">
        <f>654.04</f>
        <v>654.04</v>
      </c>
      <c r="T109" s="32" t="n">
        <f>297910</f>
        <v>297910.0</v>
      </c>
      <c r="U109" s="32" t="n">
        <f>390</f>
        <v>390.0</v>
      </c>
      <c r="V109" s="32" t="n">
        <f>193842571</f>
        <v>1.93842571E8</v>
      </c>
      <c r="W109" s="32" t="n">
        <f>254613</f>
        <v>254613.0</v>
      </c>
      <c r="X109" s="36" t="n">
        <f>21</f>
        <v>21.0</v>
      </c>
    </row>
    <row r="110">
      <c r="A110" s="27" t="s">
        <v>42</v>
      </c>
      <c r="B110" s="27" t="s">
        <v>371</v>
      </c>
      <c r="C110" s="27" t="s">
        <v>372</v>
      </c>
      <c r="D110" s="27" t="s">
        <v>373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10.0</v>
      </c>
      <c r="K110" s="33" t="n">
        <f>614.1</f>
        <v>614.1</v>
      </c>
      <c r="L110" s="34" t="s">
        <v>48</v>
      </c>
      <c r="M110" s="33" t="n">
        <f>631.9</f>
        <v>631.9</v>
      </c>
      <c r="N110" s="34" t="s">
        <v>48</v>
      </c>
      <c r="O110" s="33" t="n">
        <f>544</f>
        <v>544.0</v>
      </c>
      <c r="P110" s="34" t="s">
        <v>49</v>
      </c>
      <c r="Q110" s="33" t="n">
        <f>573.5</f>
        <v>573.5</v>
      </c>
      <c r="R110" s="34" t="s">
        <v>50</v>
      </c>
      <c r="S110" s="35" t="n">
        <f>580.87</f>
        <v>580.87</v>
      </c>
      <c r="T110" s="32" t="n">
        <f>170826120</f>
        <v>1.7082612E8</v>
      </c>
      <c r="U110" s="32" t="n">
        <f>41848170</f>
        <v>4.184817E7</v>
      </c>
      <c r="V110" s="32" t="n">
        <f>100183163239</f>
        <v>1.00183163239E11</v>
      </c>
      <c r="W110" s="32" t="n">
        <f>24583004619</f>
        <v>2.4583004619E10</v>
      </c>
      <c r="X110" s="36" t="n">
        <f>21</f>
        <v>21.0</v>
      </c>
    </row>
    <row r="111">
      <c r="A111" s="27" t="s">
        <v>42</v>
      </c>
      <c r="B111" s="27" t="s">
        <v>374</v>
      </c>
      <c r="C111" s="27" t="s">
        <v>375</v>
      </c>
      <c r="D111" s="27" t="s">
        <v>376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46820</f>
        <v>46820.0</v>
      </c>
      <c r="L111" s="34" t="s">
        <v>48</v>
      </c>
      <c r="M111" s="33" t="n">
        <f>47000</f>
        <v>47000.0</v>
      </c>
      <c r="N111" s="34" t="s">
        <v>48</v>
      </c>
      <c r="O111" s="33" t="n">
        <f>42460</f>
        <v>42460.0</v>
      </c>
      <c r="P111" s="34" t="s">
        <v>49</v>
      </c>
      <c r="Q111" s="33" t="n">
        <f>44650</f>
        <v>44650.0</v>
      </c>
      <c r="R111" s="34" t="s">
        <v>50</v>
      </c>
      <c r="S111" s="35" t="n">
        <f>44417.62</f>
        <v>44417.62</v>
      </c>
      <c r="T111" s="32" t="n">
        <f>73762</f>
        <v>73762.0</v>
      </c>
      <c r="U111" s="32" t="n">
        <f>67166</f>
        <v>67166.0</v>
      </c>
      <c r="V111" s="32" t="n">
        <f>3248495418</f>
        <v>3.248495418E9</v>
      </c>
      <c r="W111" s="32" t="n">
        <f>2955428528</f>
        <v>2.955428528E9</v>
      </c>
      <c r="X111" s="36" t="n">
        <f>21</f>
        <v>21.0</v>
      </c>
    </row>
    <row r="112">
      <c r="A112" s="27" t="s">
        <v>42</v>
      </c>
      <c r="B112" s="27" t="s">
        <v>377</v>
      </c>
      <c r="C112" s="27" t="s">
        <v>378</v>
      </c>
      <c r="D112" s="27" t="s">
        <v>379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1.0</v>
      </c>
      <c r="K112" s="33" t="n">
        <f>41520</f>
        <v>41520.0</v>
      </c>
      <c r="L112" s="34" t="s">
        <v>48</v>
      </c>
      <c r="M112" s="33" t="n">
        <f>43900</f>
        <v>43900.0</v>
      </c>
      <c r="N112" s="34" t="s">
        <v>57</v>
      </c>
      <c r="O112" s="33" t="n">
        <f>35100</f>
        <v>35100.0</v>
      </c>
      <c r="P112" s="34" t="s">
        <v>301</v>
      </c>
      <c r="Q112" s="33" t="n">
        <f>40440</f>
        <v>40440.0</v>
      </c>
      <c r="R112" s="34" t="s">
        <v>50</v>
      </c>
      <c r="S112" s="35" t="n">
        <f>38705.71</f>
        <v>38705.71</v>
      </c>
      <c r="T112" s="32" t="n">
        <f>129921</f>
        <v>129921.0</v>
      </c>
      <c r="U112" s="32" t="n">
        <f>3160</f>
        <v>3160.0</v>
      </c>
      <c r="V112" s="32" t="n">
        <f>5018398076</f>
        <v>5.018398076E9</v>
      </c>
      <c r="W112" s="32" t="n">
        <f>119759046</f>
        <v>1.19759046E8</v>
      </c>
      <c r="X112" s="36" t="n">
        <f>21</f>
        <v>21.0</v>
      </c>
    </row>
    <row r="113">
      <c r="A113" s="27" t="s">
        <v>42</v>
      </c>
      <c r="B113" s="27" t="s">
        <v>380</v>
      </c>
      <c r="C113" s="27" t="s">
        <v>381</v>
      </c>
      <c r="D113" s="27" t="s">
        <v>382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51700</f>
        <v>51700.0</v>
      </c>
      <c r="L113" s="34" t="s">
        <v>48</v>
      </c>
      <c r="M113" s="33" t="n">
        <f>52780</f>
        <v>52780.0</v>
      </c>
      <c r="N113" s="34" t="s">
        <v>48</v>
      </c>
      <c r="O113" s="33" t="n">
        <f>44140</f>
        <v>44140.0</v>
      </c>
      <c r="P113" s="34" t="s">
        <v>49</v>
      </c>
      <c r="Q113" s="33" t="n">
        <f>45600</f>
        <v>45600.0</v>
      </c>
      <c r="R113" s="34" t="s">
        <v>50</v>
      </c>
      <c r="S113" s="35" t="n">
        <f>47637.14</f>
        <v>47637.14</v>
      </c>
      <c r="T113" s="32" t="n">
        <f>29117</f>
        <v>29117.0</v>
      </c>
      <c r="U113" s="32" t="n">
        <f>837</f>
        <v>837.0</v>
      </c>
      <c r="V113" s="32" t="n">
        <f>1411664117</f>
        <v>1.411664117E9</v>
      </c>
      <c r="W113" s="32" t="n">
        <f>40494347</f>
        <v>4.0494347E7</v>
      </c>
      <c r="X113" s="36" t="n">
        <f>21</f>
        <v>21.0</v>
      </c>
    </row>
    <row r="114">
      <c r="A114" s="27" t="s">
        <v>42</v>
      </c>
      <c r="B114" s="27" t="s">
        <v>383</v>
      </c>
      <c r="C114" s="27" t="s">
        <v>384</v>
      </c>
      <c r="D114" s="27" t="s">
        <v>385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36800</f>
        <v>36800.0</v>
      </c>
      <c r="L114" s="34" t="s">
        <v>48</v>
      </c>
      <c r="M114" s="33" t="n">
        <f>37600</f>
        <v>37600.0</v>
      </c>
      <c r="N114" s="34" t="s">
        <v>48</v>
      </c>
      <c r="O114" s="33" t="n">
        <f>32380</f>
        <v>32380.0</v>
      </c>
      <c r="P114" s="34" t="s">
        <v>49</v>
      </c>
      <c r="Q114" s="33" t="n">
        <f>33960</f>
        <v>33960.0</v>
      </c>
      <c r="R114" s="34" t="s">
        <v>50</v>
      </c>
      <c r="S114" s="35" t="n">
        <f>34714.76</f>
        <v>34714.76</v>
      </c>
      <c r="T114" s="32" t="n">
        <f>10997</f>
        <v>10997.0</v>
      </c>
      <c r="U114" s="32" t="n">
        <f>236</f>
        <v>236.0</v>
      </c>
      <c r="V114" s="32" t="n">
        <f>383805926</f>
        <v>3.83805926E8</v>
      </c>
      <c r="W114" s="32" t="n">
        <f>8163296</f>
        <v>8163296.0</v>
      </c>
      <c r="X114" s="36" t="n">
        <f>21</f>
        <v>21.0</v>
      </c>
    </row>
    <row r="115">
      <c r="A115" s="27" t="s">
        <v>42</v>
      </c>
      <c r="B115" s="27" t="s">
        <v>386</v>
      </c>
      <c r="C115" s="27" t="s">
        <v>387</v>
      </c>
      <c r="D115" s="27" t="s">
        <v>388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34070</f>
        <v>34070.0</v>
      </c>
      <c r="L115" s="34" t="s">
        <v>48</v>
      </c>
      <c r="M115" s="33" t="n">
        <f>34070</f>
        <v>34070.0</v>
      </c>
      <c r="N115" s="34" t="s">
        <v>48</v>
      </c>
      <c r="O115" s="33" t="n">
        <f>30430</f>
        <v>30430.0</v>
      </c>
      <c r="P115" s="34" t="s">
        <v>181</v>
      </c>
      <c r="Q115" s="33" t="n">
        <f>32620</f>
        <v>32620.0</v>
      </c>
      <c r="R115" s="34" t="s">
        <v>50</v>
      </c>
      <c r="S115" s="35" t="n">
        <f>32155.71</f>
        <v>32155.71</v>
      </c>
      <c r="T115" s="32" t="n">
        <f>21108</f>
        <v>21108.0</v>
      </c>
      <c r="U115" s="32" t="n">
        <f>6567</f>
        <v>6567.0</v>
      </c>
      <c r="V115" s="32" t="n">
        <f>679046623</f>
        <v>6.79046623E8</v>
      </c>
      <c r="W115" s="32" t="n">
        <f>212678733</f>
        <v>2.12678733E8</v>
      </c>
      <c r="X115" s="36" t="n">
        <f>21</f>
        <v>21.0</v>
      </c>
    </row>
    <row r="116">
      <c r="A116" s="27" t="s">
        <v>42</v>
      </c>
      <c r="B116" s="27" t="s">
        <v>389</v>
      </c>
      <c r="C116" s="27" t="s">
        <v>390</v>
      </c>
      <c r="D116" s="27" t="s">
        <v>391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39950</f>
        <v>39950.0</v>
      </c>
      <c r="L116" s="34" t="s">
        <v>48</v>
      </c>
      <c r="M116" s="33" t="n">
        <f>41910</f>
        <v>41910.0</v>
      </c>
      <c r="N116" s="34" t="s">
        <v>48</v>
      </c>
      <c r="O116" s="33" t="n">
        <f>33420</f>
        <v>33420.0</v>
      </c>
      <c r="P116" s="34" t="s">
        <v>49</v>
      </c>
      <c r="Q116" s="33" t="n">
        <f>34080</f>
        <v>34080.0</v>
      </c>
      <c r="R116" s="34" t="s">
        <v>50</v>
      </c>
      <c r="S116" s="35" t="n">
        <f>35907.62</f>
        <v>35907.62</v>
      </c>
      <c r="T116" s="32" t="n">
        <f>34703</f>
        <v>34703.0</v>
      </c>
      <c r="U116" s="32" t="n">
        <f>14216</f>
        <v>14216.0</v>
      </c>
      <c r="V116" s="32" t="n">
        <f>1250705753</f>
        <v>1.250705753E9</v>
      </c>
      <c r="W116" s="32" t="n">
        <f>506427793</f>
        <v>5.06427793E8</v>
      </c>
      <c r="X116" s="36" t="n">
        <f>21</f>
        <v>21.0</v>
      </c>
    </row>
    <row r="117">
      <c r="A117" s="27" t="s">
        <v>42</v>
      </c>
      <c r="B117" s="27" t="s">
        <v>392</v>
      </c>
      <c r="C117" s="27" t="s">
        <v>393</v>
      </c>
      <c r="D117" s="27" t="s">
        <v>394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66490</f>
        <v>66490.0</v>
      </c>
      <c r="L117" s="34" t="s">
        <v>48</v>
      </c>
      <c r="M117" s="33" t="n">
        <f>75960</f>
        <v>75960.0</v>
      </c>
      <c r="N117" s="34" t="s">
        <v>64</v>
      </c>
      <c r="O117" s="33" t="n">
        <f>55730</f>
        <v>55730.0</v>
      </c>
      <c r="P117" s="34" t="s">
        <v>181</v>
      </c>
      <c r="Q117" s="33" t="n">
        <f>57710</f>
        <v>57710.0</v>
      </c>
      <c r="R117" s="34" t="s">
        <v>50</v>
      </c>
      <c r="S117" s="35" t="n">
        <f>62303.33</f>
        <v>62303.33</v>
      </c>
      <c r="T117" s="32" t="n">
        <f>142256</f>
        <v>142256.0</v>
      </c>
      <c r="U117" s="32" t="n">
        <f>17521</f>
        <v>17521.0</v>
      </c>
      <c r="V117" s="32" t="n">
        <f>8914585662</f>
        <v>8.914585662E9</v>
      </c>
      <c r="W117" s="32" t="n">
        <f>1050273292</f>
        <v>1.050273292E9</v>
      </c>
      <c r="X117" s="36" t="n">
        <f>21</f>
        <v>21.0</v>
      </c>
    </row>
    <row r="118">
      <c r="A118" s="27" t="s">
        <v>42</v>
      </c>
      <c r="B118" s="27" t="s">
        <v>395</v>
      </c>
      <c r="C118" s="27" t="s">
        <v>396</v>
      </c>
      <c r="D118" s="27" t="s">
        <v>397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95440</f>
        <v>95440.0</v>
      </c>
      <c r="L118" s="34" t="s">
        <v>48</v>
      </c>
      <c r="M118" s="33" t="n">
        <f>97950</f>
        <v>97950.0</v>
      </c>
      <c r="N118" s="34" t="s">
        <v>48</v>
      </c>
      <c r="O118" s="33" t="n">
        <f>79720</f>
        <v>79720.0</v>
      </c>
      <c r="P118" s="34" t="s">
        <v>50</v>
      </c>
      <c r="Q118" s="33" t="n">
        <f>80220</f>
        <v>80220.0</v>
      </c>
      <c r="R118" s="34" t="s">
        <v>50</v>
      </c>
      <c r="S118" s="35" t="n">
        <f>87927.14</f>
        <v>87927.14</v>
      </c>
      <c r="T118" s="32" t="n">
        <f>19980</f>
        <v>19980.0</v>
      </c>
      <c r="U118" s="32" t="n">
        <f>119</f>
        <v>119.0</v>
      </c>
      <c r="V118" s="32" t="n">
        <f>1763927858</f>
        <v>1.763927858E9</v>
      </c>
      <c r="W118" s="32" t="n">
        <f>10723558</f>
        <v>1.0723558E7</v>
      </c>
      <c r="X118" s="36" t="n">
        <f>21</f>
        <v>21.0</v>
      </c>
    </row>
    <row r="119">
      <c r="A119" s="27" t="s">
        <v>42</v>
      </c>
      <c r="B119" s="27" t="s">
        <v>398</v>
      </c>
      <c r="C119" s="27" t="s">
        <v>399</v>
      </c>
      <c r="D119" s="27" t="s">
        <v>400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54600</f>
        <v>54600.0</v>
      </c>
      <c r="L119" s="34" t="s">
        <v>48</v>
      </c>
      <c r="M119" s="33" t="n">
        <f>54740</f>
        <v>54740.0</v>
      </c>
      <c r="N119" s="34" t="s">
        <v>48</v>
      </c>
      <c r="O119" s="33" t="n">
        <f>47180</f>
        <v>47180.0</v>
      </c>
      <c r="P119" s="34" t="s">
        <v>50</v>
      </c>
      <c r="Q119" s="33" t="n">
        <f>47600</f>
        <v>47600.0</v>
      </c>
      <c r="R119" s="34" t="s">
        <v>50</v>
      </c>
      <c r="S119" s="35" t="n">
        <f>50655.71</f>
        <v>50655.71</v>
      </c>
      <c r="T119" s="32" t="n">
        <f>13008</f>
        <v>13008.0</v>
      </c>
      <c r="U119" s="32" t="n">
        <f>166</f>
        <v>166.0</v>
      </c>
      <c r="V119" s="32" t="n">
        <f>658284156</f>
        <v>6.58284156E8</v>
      </c>
      <c r="W119" s="32" t="n">
        <f>8493486</f>
        <v>8493486.0</v>
      </c>
      <c r="X119" s="36" t="n">
        <f>21</f>
        <v>21.0</v>
      </c>
    </row>
    <row r="120">
      <c r="A120" s="27" t="s">
        <v>42</v>
      </c>
      <c r="B120" s="27" t="s">
        <v>401</v>
      </c>
      <c r="C120" s="27" t="s">
        <v>402</v>
      </c>
      <c r="D120" s="27" t="s">
        <v>403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39300</f>
        <v>39300.0</v>
      </c>
      <c r="L120" s="34" t="s">
        <v>48</v>
      </c>
      <c r="M120" s="33" t="n">
        <f>39410</f>
        <v>39410.0</v>
      </c>
      <c r="N120" s="34" t="s">
        <v>276</v>
      </c>
      <c r="O120" s="33" t="n">
        <f>37050</f>
        <v>37050.0</v>
      </c>
      <c r="P120" s="34" t="s">
        <v>49</v>
      </c>
      <c r="Q120" s="33" t="n">
        <f>37820</f>
        <v>37820.0</v>
      </c>
      <c r="R120" s="34" t="s">
        <v>50</v>
      </c>
      <c r="S120" s="35" t="n">
        <f>38200.48</f>
        <v>38200.48</v>
      </c>
      <c r="T120" s="32" t="n">
        <f>18901</f>
        <v>18901.0</v>
      </c>
      <c r="U120" s="32" t="n">
        <f>11252</f>
        <v>11252.0</v>
      </c>
      <c r="V120" s="32" t="n">
        <f>735799190</f>
        <v>7.3579919E8</v>
      </c>
      <c r="W120" s="32" t="n">
        <f>443651620</f>
        <v>4.4365162E8</v>
      </c>
      <c r="X120" s="36" t="n">
        <f>21</f>
        <v>21.0</v>
      </c>
    </row>
    <row r="121">
      <c r="A121" s="27" t="s">
        <v>42</v>
      </c>
      <c r="B121" s="27" t="s">
        <v>404</v>
      </c>
      <c r="C121" s="27" t="s">
        <v>405</v>
      </c>
      <c r="D121" s="27" t="s">
        <v>406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13080</f>
        <v>13080.0</v>
      </c>
      <c r="L121" s="34" t="s">
        <v>48</v>
      </c>
      <c r="M121" s="33" t="n">
        <f>13080</f>
        <v>13080.0</v>
      </c>
      <c r="N121" s="34" t="s">
        <v>48</v>
      </c>
      <c r="O121" s="33" t="n">
        <f>11700</f>
        <v>11700.0</v>
      </c>
      <c r="P121" s="34" t="s">
        <v>181</v>
      </c>
      <c r="Q121" s="33" t="n">
        <f>12675</f>
        <v>12675.0</v>
      </c>
      <c r="R121" s="34" t="s">
        <v>50</v>
      </c>
      <c r="S121" s="35" t="n">
        <f>12500.95</f>
        <v>12500.95</v>
      </c>
      <c r="T121" s="32" t="n">
        <f>156698</f>
        <v>156698.0</v>
      </c>
      <c r="U121" s="32" t="n">
        <f>70003</f>
        <v>70003.0</v>
      </c>
      <c r="V121" s="32" t="n">
        <f>1937347186</f>
        <v>1.937347186E9</v>
      </c>
      <c r="W121" s="32" t="n">
        <f>858505761</f>
        <v>8.58505761E8</v>
      </c>
      <c r="X121" s="36" t="n">
        <f>21</f>
        <v>21.0</v>
      </c>
    </row>
    <row r="122">
      <c r="A122" s="27" t="s">
        <v>42</v>
      </c>
      <c r="B122" s="27" t="s">
        <v>407</v>
      </c>
      <c r="C122" s="27" t="s">
        <v>408</v>
      </c>
      <c r="D122" s="27" t="s">
        <v>409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22350</f>
        <v>22350.0</v>
      </c>
      <c r="L122" s="34" t="s">
        <v>48</v>
      </c>
      <c r="M122" s="33" t="n">
        <f>22545</f>
        <v>22545.0</v>
      </c>
      <c r="N122" s="34" t="s">
        <v>48</v>
      </c>
      <c r="O122" s="33" t="n">
        <f>20625</f>
        <v>20625.0</v>
      </c>
      <c r="P122" s="34" t="s">
        <v>181</v>
      </c>
      <c r="Q122" s="33" t="n">
        <f>21615</f>
        <v>21615.0</v>
      </c>
      <c r="R122" s="34" t="s">
        <v>50</v>
      </c>
      <c r="S122" s="35" t="n">
        <f>21708.81</f>
        <v>21708.81</v>
      </c>
      <c r="T122" s="32" t="n">
        <f>137525</f>
        <v>137525.0</v>
      </c>
      <c r="U122" s="32" t="n">
        <f>124357</f>
        <v>124357.0</v>
      </c>
      <c r="V122" s="32" t="n">
        <f>2990181117</f>
        <v>2.990181117E9</v>
      </c>
      <c r="W122" s="32" t="n">
        <f>2703129252</f>
        <v>2.703129252E9</v>
      </c>
      <c r="X122" s="36" t="n">
        <f>21</f>
        <v>21.0</v>
      </c>
    </row>
    <row r="123">
      <c r="A123" s="27" t="s">
        <v>42</v>
      </c>
      <c r="B123" s="27" t="s">
        <v>410</v>
      </c>
      <c r="C123" s="27" t="s">
        <v>411</v>
      </c>
      <c r="D123" s="27" t="s">
        <v>412</v>
      </c>
      <c r="E123" s="28" t="s">
        <v>54</v>
      </c>
      <c r="F123" s="29" t="s">
        <v>55</v>
      </c>
      <c r="G123" s="30" t="s">
        <v>46</v>
      </c>
      <c r="H123" s="31"/>
      <c r="I123" s="31" t="s">
        <v>47</v>
      </c>
      <c r="J123" s="32" t="n">
        <v>10.0</v>
      </c>
      <c r="K123" s="33" t="n">
        <f>145000</f>
        <v>145000.0</v>
      </c>
      <c r="L123" s="34" t="s">
        <v>48</v>
      </c>
      <c r="M123" s="33" t="n">
        <f>147150</f>
        <v>147150.0</v>
      </c>
      <c r="N123" s="34" t="s">
        <v>238</v>
      </c>
      <c r="O123" s="33" t="n">
        <f>128000</f>
        <v>128000.0</v>
      </c>
      <c r="P123" s="34" t="s">
        <v>181</v>
      </c>
      <c r="Q123" s="33" t="n">
        <f>144300</f>
        <v>144300.0</v>
      </c>
      <c r="R123" s="34" t="s">
        <v>56</v>
      </c>
      <c r="S123" s="35" t="n">
        <f>138913.16</f>
        <v>138913.16</v>
      </c>
      <c r="T123" s="32" t="n">
        <f>78204</f>
        <v>78204.0</v>
      </c>
      <c r="U123" s="32" t="n">
        <f>9428</f>
        <v>9428.0</v>
      </c>
      <c r="V123" s="32" t="n">
        <f>10750504579</f>
        <v>1.0750504579E10</v>
      </c>
      <c r="W123" s="32" t="n">
        <f>1274816329</f>
        <v>1.274816329E9</v>
      </c>
      <c r="X123" s="36" t="n">
        <f>19</f>
        <v>19.0</v>
      </c>
    </row>
    <row r="124">
      <c r="A124" s="27" t="s">
        <v>42</v>
      </c>
      <c r="B124" s="27" t="s">
        <v>410</v>
      </c>
      <c r="C124" s="27" t="s">
        <v>411</v>
      </c>
      <c r="D124" s="27" t="s">
        <v>412</v>
      </c>
      <c r="E124" s="28" t="s">
        <v>54</v>
      </c>
      <c r="F124" s="29" t="s">
        <v>55</v>
      </c>
      <c r="G124" s="30" t="s">
        <v>46</v>
      </c>
      <c r="H124" s="31"/>
      <c r="I124" s="31" t="s">
        <v>47</v>
      </c>
      <c r="J124" s="32" t="n">
        <v>10.0</v>
      </c>
      <c r="K124" s="33" t="n">
        <f>283</f>
        <v>283.0</v>
      </c>
      <c r="L124" s="34" t="s">
        <v>57</v>
      </c>
      <c r="M124" s="33" t="n">
        <f>289.8</f>
        <v>289.8</v>
      </c>
      <c r="N124" s="34" t="s">
        <v>57</v>
      </c>
      <c r="O124" s="33" t="n">
        <f>264.1</f>
        <v>264.1</v>
      </c>
      <c r="P124" s="34" t="s">
        <v>57</v>
      </c>
      <c r="Q124" s="33" t="n">
        <f>274.9</f>
        <v>274.9</v>
      </c>
      <c r="R124" s="34" t="s">
        <v>50</v>
      </c>
      <c r="S124" s="35" t="n">
        <f>279.35</f>
        <v>279.35</v>
      </c>
      <c r="T124" s="32" t="n">
        <f>1324510</f>
        <v>1324510.0</v>
      </c>
      <c r="U124" s="32" t="n">
        <f>210</f>
        <v>210.0</v>
      </c>
      <c r="V124" s="32" t="n">
        <f>370395111</f>
        <v>3.70395111E8</v>
      </c>
      <c r="W124" s="32" t="n">
        <f>58613</f>
        <v>58613.0</v>
      </c>
      <c r="X124" s="36" t="n">
        <f>2</f>
        <v>2.0</v>
      </c>
    </row>
    <row r="125">
      <c r="A125" s="27" t="s">
        <v>42</v>
      </c>
      <c r="B125" s="27" t="s">
        <v>413</v>
      </c>
      <c r="C125" s="27" t="s">
        <v>414</v>
      </c>
      <c r="D125" s="27" t="s">
        <v>415</v>
      </c>
      <c r="E125" s="28" t="s">
        <v>46</v>
      </c>
      <c r="F125" s="29" t="s">
        <v>46</v>
      </c>
      <c r="G125" s="30" t="s">
        <v>46</v>
      </c>
      <c r="H125" s="31"/>
      <c r="I125" s="31" t="s">
        <v>416</v>
      </c>
      <c r="J125" s="32" t="n">
        <v>1.0</v>
      </c>
      <c r="K125" s="33" t="n">
        <f>15295</f>
        <v>15295.0</v>
      </c>
      <c r="L125" s="34" t="s">
        <v>48</v>
      </c>
      <c r="M125" s="33" t="n">
        <f>15485</f>
        <v>15485.0</v>
      </c>
      <c r="N125" s="34" t="s">
        <v>48</v>
      </c>
      <c r="O125" s="33" t="n">
        <f>12980</f>
        <v>12980.0</v>
      </c>
      <c r="P125" s="34" t="s">
        <v>50</v>
      </c>
      <c r="Q125" s="33" t="n">
        <f>13190</f>
        <v>13190.0</v>
      </c>
      <c r="R125" s="34" t="s">
        <v>50</v>
      </c>
      <c r="S125" s="35" t="n">
        <f>14013.1</f>
        <v>14013.1</v>
      </c>
      <c r="T125" s="32" t="n">
        <f>16466</f>
        <v>16466.0</v>
      </c>
      <c r="U125" s="32" t="str">
        <f>"－"</f>
        <v>－</v>
      </c>
      <c r="V125" s="32" t="n">
        <f>226686645</f>
        <v>2.26686645E8</v>
      </c>
      <c r="W125" s="32" t="str">
        <f>"－"</f>
        <v>－</v>
      </c>
      <c r="X125" s="36" t="n">
        <f>21</f>
        <v>21.0</v>
      </c>
    </row>
    <row r="126">
      <c r="A126" s="27" t="s">
        <v>42</v>
      </c>
      <c r="B126" s="27" t="s">
        <v>417</v>
      </c>
      <c r="C126" s="27" t="s">
        <v>418</v>
      </c>
      <c r="D126" s="27" t="s">
        <v>419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39410</f>
        <v>39410.0</v>
      </c>
      <c r="L126" s="34" t="s">
        <v>48</v>
      </c>
      <c r="M126" s="33" t="n">
        <f>39450</f>
        <v>39450.0</v>
      </c>
      <c r="N126" s="34" t="s">
        <v>48</v>
      </c>
      <c r="O126" s="33" t="n">
        <f>35300</f>
        <v>35300.0</v>
      </c>
      <c r="P126" s="34" t="s">
        <v>49</v>
      </c>
      <c r="Q126" s="33" t="n">
        <f>36740</f>
        <v>36740.0</v>
      </c>
      <c r="R126" s="34" t="s">
        <v>50</v>
      </c>
      <c r="S126" s="35" t="n">
        <f>37217.14</f>
        <v>37217.14</v>
      </c>
      <c r="T126" s="32" t="n">
        <f>10813</f>
        <v>10813.0</v>
      </c>
      <c r="U126" s="32" t="n">
        <f>4112</f>
        <v>4112.0</v>
      </c>
      <c r="V126" s="32" t="n">
        <f>399493020</f>
        <v>3.9949302E8</v>
      </c>
      <c r="W126" s="32" t="n">
        <f>150883870</f>
        <v>1.5088387E8</v>
      </c>
      <c r="X126" s="36" t="n">
        <f>21</f>
        <v>21.0</v>
      </c>
    </row>
    <row r="127">
      <c r="A127" s="27" t="s">
        <v>42</v>
      </c>
      <c r="B127" s="27" t="s">
        <v>420</v>
      </c>
      <c r="C127" s="27" t="s">
        <v>421</v>
      </c>
      <c r="D127" s="27" t="s">
        <v>422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33480</f>
        <v>33480.0</v>
      </c>
      <c r="L127" s="34" t="s">
        <v>48</v>
      </c>
      <c r="M127" s="33" t="n">
        <f>33480</f>
        <v>33480.0</v>
      </c>
      <c r="N127" s="34" t="s">
        <v>48</v>
      </c>
      <c r="O127" s="33" t="n">
        <f>29200</f>
        <v>29200.0</v>
      </c>
      <c r="P127" s="34" t="s">
        <v>49</v>
      </c>
      <c r="Q127" s="33" t="n">
        <f>30550</f>
        <v>30550.0</v>
      </c>
      <c r="R127" s="34" t="s">
        <v>50</v>
      </c>
      <c r="S127" s="35" t="n">
        <f>31049.52</f>
        <v>31049.52</v>
      </c>
      <c r="T127" s="32" t="n">
        <f>168934</f>
        <v>168934.0</v>
      </c>
      <c r="U127" s="32" t="n">
        <f>46883</f>
        <v>46883.0</v>
      </c>
      <c r="V127" s="32" t="n">
        <f>5280167241</f>
        <v>5.280167241E9</v>
      </c>
      <c r="W127" s="32" t="n">
        <f>1484961566</f>
        <v>1.484961566E9</v>
      </c>
      <c r="X127" s="36" t="n">
        <f>21</f>
        <v>21.0</v>
      </c>
    </row>
    <row r="128">
      <c r="A128" s="27" t="s">
        <v>42</v>
      </c>
      <c r="B128" s="27" t="s">
        <v>423</v>
      </c>
      <c r="C128" s="27" t="s">
        <v>424</v>
      </c>
      <c r="D128" s="27" t="s">
        <v>425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38870</f>
        <v>38870.0</v>
      </c>
      <c r="L128" s="34" t="s">
        <v>48</v>
      </c>
      <c r="M128" s="33" t="n">
        <f>38870</f>
        <v>38870.0</v>
      </c>
      <c r="N128" s="34" t="s">
        <v>48</v>
      </c>
      <c r="O128" s="33" t="n">
        <f>33980</f>
        <v>33980.0</v>
      </c>
      <c r="P128" s="34" t="s">
        <v>49</v>
      </c>
      <c r="Q128" s="33" t="n">
        <f>37450</f>
        <v>37450.0</v>
      </c>
      <c r="R128" s="34" t="s">
        <v>50</v>
      </c>
      <c r="S128" s="35" t="n">
        <f>36168.57</f>
        <v>36168.57</v>
      </c>
      <c r="T128" s="32" t="n">
        <f>42847</f>
        <v>42847.0</v>
      </c>
      <c r="U128" s="32" t="n">
        <f>5782</f>
        <v>5782.0</v>
      </c>
      <c r="V128" s="32" t="n">
        <f>1577525379</f>
        <v>1.577525379E9</v>
      </c>
      <c r="W128" s="32" t="n">
        <f>216254469</f>
        <v>2.16254469E8</v>
      </c>
      <c r="X128" s="36" t="n">
        <f>21</f>
        <v>21.0</v>
      </c>
    </row>
    <row r="129">
      <c r="A129" s="27" t="s">
        <v>42</v>
      </c>
      <c r="B129" s="27" t="s">
        <v>426</v>
      </c>
      <c r="C129" s="27" t="s">
        <v>427</v>
      </c>
      <c r="D129" s="27" t="s">
        <v>428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64030</f>
        <v>64030.0</v>
      </c>
      <c r="L129" s="34" t="s">
        <v>48</v>
      </c>
      <c r="M129" s="33" t="n">
        <f>65100</f>
        <v>65100.0</v>
      </c>
      <c r="N129" s="34" t="s">
        <v>48</v>
      </c>
      <c r="O129" s="33" t="n">
        <f>54160</f>
        <v>54160.0</v>
      </c>
      <c r="P129" s="34" t="s">
        <v>57</v>
      </c>
      <c r="Q129" s="33" t="n">
        <f>55390</f>
        <v>55390.0</v>
      </c>
      <c r="R129" s="34" t="s">
        <v>50</v>
      </c>
      <c r="S129" s="35" t="n">
        <f>58948.57</f>
        <v>58948.57</v>
      </c>
      <c r="T129" s="32" t="n">
        <f>18302</f>
        <v>18302.0</v>
      </c>
      <c r="U129" s="32" t="n">
        <f>8753</f>
        <v>8753.0</v>
      </c>
      <c r="V129" s="32" t="n">
        <f>1073269365</f>
        <v>1.073269365E9</v>
      </c>
      <c r="W129" s="32" t="n">
        <f>506626065</f>
        <v>5.06626065E8</v>
      </c>
      <c r="X129" s="36" t="n">
        <f>21</f>
        <v>21.0</v>
      </c>
    </row>
    <row r="130">
      <c r="A130" s="27" t="s">
        <v>42</v>
      </c>
      <c r="B130" s="27" t="s">
        <v>429</v>
      </c>
      <c r="C130" s="27" t="s">
        <v>430</v>
      </c>
      <c r="D130" s="27" t="s">
        <v>431</v>
      </c>
      <c r="E130" s="28" t="s">
        <v>46</v>
      </c>
      <c r="F130" s="29" t="s">
        <v>46</v>
      </c>
      <c r="G130" s="30" t="s">
        <v>46</v>
      </c>
      <c r="H130" s="31"/>
      <c r="I130" s="31" t="s">
        <v>416</v>
      </c>
      <c r="J130" s="32" t="n">
        <v>1.0</v>
      </c>
      <c r="K130" s="33" t="n">
        <f>15385</f>
        <v>15385.0</v>
      </c>
      <c r="L130" s="34" t="s">
        <v>48</v>
      </c>
      <c r="M130" s="33" t="n">
        <f>15885</f>
        <v>15885.0</v>
      </c>
      <c r="N130" s="34" t="s">
        <v>48</v>
      </c>
      <c r="O130" s="33" t="n">
        <f>13350</f>
        <v>13350.0</v>
      </c>
      <c r="P130" s="34" t="s">
        <v>50</v>
      </c>
      <c r="Q130" s="33" t="n">
        <f>13525</f>
        <v>13525.0</v>
      </c>
      <c r="R130" s="34" t="s">
        <v>50</v>
      </c>
      <c r="S130" s="35" t="n">
        <f>14594.76</f>
        <v>14594.76</v>
      </c>
      <c r="T130" s="32" t="n">
        <f>161037</f>
        <v>161037.0</v>
      </c>
      <c r="U130" s="32" t="str">
        <f>"－"</f>
        <v>－</v>
      </c>
      <c r="V130" s="32" t="n">
        <f>2308442140</f>
        <v>2.30844214E9</v>
      </c>
      <c r="W130" s="32" t="str">
        <f>"－"</f>
        <v>－</v>
      </c>
      <c r="X130" s="36" t="n">
        <f>21</f>
        <v>21.0</v>
      </c>
    </row>
    <row r="131">
      <c r="A131" s="27" t="s">
        <v>42</v>
      </c>
      <c r="B131" s="27" t="s">
        <v>432</v>
      </c>
      <c r="C131" s="27" t="s">
        <v>433</v>
      </c>
      <c r="D131" s="27" t="s">
        <v>434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3073</f>
        <v>3073.0</v>
      </c>
      <c r="L131" s="34" t="s">
        <v>48</v>
      </c>
      <c r="M131" s="33" t="n">
        <f>3105</f>
        <v>3105.0</v>
      </c>
      <c r="N131" s="34" t="s">
        <v>48</v>
      </c>
      <c r="O131" s="33" t="n">
        <f>2786</f>
        <v>2786.0</v>
      </c>
      <c r="P131" s="34" t="s">
        <v>49</v>
      </c>
      <c r="Q131" s="33" t="n">
        <f>2933</f>
        <v>2933.0</v>
      </c>
      <c r="R131" s="34" t="s">
        <v>50</v>
      </c>
      <c r="S131" s="35" t="n">
        <f>2943.86</f>
        <v>2943.86</v>
      </c>
      <c r="T131" s="32" t="n">
        <f>2844807</f>
        <v>2844807.0</v>
      </c>
      <c r="U131" s="32" t="n">
        <f>1764494</f>
        <v>1764494.0</v>
      </c>
      <c r="V131" s="32" t="n">
        <f>8401688750</f>
        <v>8.40168875E9</v>
      </c>
      <c r="W131" s="32" t="n">
        <f>5206716492</f>
        <v>5.206716492E9</v>
      </c>
      <c r="X131" s="36" t="n">
        <f>21</f>
        <v>21.0</v>
      </c>
    </row>
    <row r="132">
      <c r="A132" s="27" t="s">
        <v>42</v>
      </c>
      <c r="B132" s="27" t="s">
        <v>435</v>
      </c>
      <c r="C132" s="27" t="s">
        <v>436</v>
      </c>
      <c r="D132" s="27" t="s">
        <v>437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4700</f>
        <v>4700.0</v>
      </c>
      <c r="L132" s="34" t="s">
        <v>48</v>
      </c>
      <c r="M132" s="33" t="n">
        <f>4953</f>
        <v>4953.0</v>
      </c>
      <c r="N132" s="34" t="s">
        <v>301</v>
      </c>
      <c r="O132" s="33" t="n">
        <f>4044</f>
        <v>4044.0</v>
      </c>
      <c r="P132" s="34" t="s">
        <v>49</v>
      </c>
      <c r="Q132" s="33" t="n">
        <f>4152</f>
        <v>4152.0</v>
      </c>
      <c r="R132" s="34" t="s">
        <v>57</v>
      </c>
      <c r="S132" s="35" t="n">
        <f>4239.33</f>
        <v>4239.33</v>
      </c>
      <c r="T132" s="32" t="n">
        <f>3590</f>
        <v>3590.0</v>
      </c>
      <c r="U132" s="32" t="str">
        <f>"－"</f>
        <v>－</v>
      </c>
      <c r="V132" s="32" t="n">
        <f>15408040</f>
        <v>1.540804E7</v>
      </c>
      <c r="W132" s="32" t="str">
        <f>"－"</f>
        <v>－</v>
      </c>
      <c r="X132" s="36" t="n">
        <f>18</f>
        <v>18.0</v>
      </c>
    </row>
    <row r="133">
      <c r="A133" s="27" t="s">
        <v>42</v>
      </c>
      <c r="B133" s="27" t="s">
        <v>438</v>
      </c>
      <c r="C133" s="27" t="s">
        <v>439</v>
      </c>
      <c r="D133" s="27" t="s">
        <v>440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4721</f>
        <v>4721.0</v>
      </c>
      <c r="L133" s="34" t="s">
        <v>301</v>
      </c>
      <c r="M133" s="33" t="n">
        <f>4922</f>
        <v>4922.0</v>
      </c>
      <c r="N133" s="34" t="s">
        <v>107</v>
      </c>
      <c r="O133" s="33" t="n">
        <f>4379</f>
        <v>4379.0</v>
      </c>
      <c r="P133" s="34" t="s">
        <v>49</v>
      </c>
      <c r="Q133" s="33" t="n">
        <f>4528</f>
        <v>4528.0</v>
      </c>
      <c r="R133" s="34" t="s">
        <v>57</v>
      </c>
      <c r="S133" s="35" t="n">
        <f>4619.27</f>
        <v>4619.27</v>
      </c>
      <c r="T133" s="32" t="n">
        <f>9680</f>
        <v>9680.0</v>
      </c>
      <c r="U133" s="32" t="str">
        <f>"－"</f>
        <v>－</v>
      </c>
      <c r="V133" s="32" t="n">
        <f>44439810</f>
        <v>4.443981E7</v>
      </c>
      <c r="W133" s="32" t="str">
        <f>"－"</f>
        <v>－</v>
      </c>
      <c r="X133" s="36" t="n">
        <f>15</f>
        <v>15.0</v>
      </c>
    </row>
    <row r="134">
      <c r="A134" s="27" t="s">
        <v>42</v>
      </c>
      <c r="B134" s="27" t="s">
        <v>441</v>
      </c>
      <c r="C134" s="27" t="s">
        <v>442</v>
      </c>
      <c r="D134" s="27" t="s">
        <v>443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3140</f>
        <v>3140.0</v>
      </c>
      <c r="L134" s="34" t="s">
        <v>301</v>
      </c>
      <c r="M134" s="33" t="n">
        <f>3140</f>
        <v>3140.0</v>
      </c>
      <c r="N134" s="34" t="s">
        <v>301</v>
      </c>
      <c r="O134" s="33" t="n">
        <f>2932</f>
        <v>2932.0</v>
      </c>
      <c r="P134" s="34" t="s">
        <v>301</v>
      </c>
      <c r="Q134" s="33" t="n">
        <f>3005</f>
        <v>3005.0</v>
      </c>
      <c r="R134" s="34" t="s">
        <v>444</v>
      </c>
      <c r="S134" s="35" t="n">
        <f>3004.77</f>
        <v>3004.77</v>
      </c>
      <c r="T134" s="32" t="n">
        <f>86960</f>
        <v>86960.0</v>
      </c>
      <c r="U134" s="32" t="n">
        <f>75940</f>
        <v>75940.0</v>
      </c>
      <c r="V134" s="32" t="n">
        <f>260477873</f>
        <v>2.60477873E8</v>
      </c>
      <c r="W134" s="32" t="n">
        <f>227550838</f>
        <v>2.27550838E8</v>
      </c>
      <c r="X134" s="36" t="n">
        <f>11</f>
        <v>11.0</v>
      </c>
    </row>
    <row r="135">
      <c r="A135" s="27" t="s">
        <v>42</v>
      </c>
      <c r="B135" s="27" t="s">
        <v>445</v>
      </c>
      <c r="C135" s="27" t="s">
        <v>446</v>
      </c>
      <c r="D135" s="27" t="s">
        <v>447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10.0</v>
      </c>
      <c r="K135" s="33" t="n">
        <f>767.1</f>
        <v>767.1</v>
      </c>
      <c r="L135" s="34" t="s">
        <v>48</v>
      </c>
      <c r="M135" s="33" t="n">
        <f>778.1</f>
        <v>778.1</v>
      </c>
      <c r="N135" s="34" t="s">
        <v>64</v>
      </c>
      <c r="O135" s="33" t="n">
        <f>722.6</f>
        <v>722.6</v>
      </c>
      <c r="P135" s="34" t="s">
        <v>50</v>
      </c>
      <c r="Q135" s="33" t="n">
        <f>734.5</f>
        <v>734.5</v>
      </c>
      <c r="R135" s="34" t="s">
        <v>50</v>
      </c>
      <c r="S135" s="35" t="n">
        <f>761.08</f>
        <v>761.08</v>
      </c>
      <c r="T135" s="32" t="n">
        <f>44806590</f>
        <v>4.480659E7</v>
      </c>
      <c r="U135" s="32" t="n">
        <f>3082970</f>
        <v>3082970.0</v>
      </c>
      <c r="V135" s="32" t="n">
        <f>34136482199</f>
        <v>3.4136482199E10</v>
      </c>
      <c r="W135" s="32" t="n">
        <f>2347996887</f>
        <v>2.347996887E9</v>
      </c>
      <c r="X135" s="36" t="n">
        <f>21</f>
        <v>21.0</v>
      </c>
    </row>
    <row r="136">
      <c r="A136" s="27" t="s">
        <v>42</v>
      </c>
      <c r="B136" s="27" t="s">
        <v>448</v>
      </c>
      <c r="C136" s="27" t="s">
        <v>449</v>
      </c>
      <c r="D136" s="27" t="s">
        <v>450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10.0</v>
      </c>
      <c r="K136" s="33" t="n">
        <f>321.7</f>
        <v>321.7</v>
      </c>
      <c r="L136" s="34" t="s">
        <v>48</v>
      </c>
      <c r="M136" s="33" t="n">
        <f>322.4</f>
        <v>322.4</v>
      </c>
      <c r="N136" s="34" t="s">
        <v>48</v>
      </c>
      <c r="O136" s="33" t="n">
        <f>316.2</f>
        <v>316.2</v>
      </c>
      <c r="P136" s="34" t="s">
        <v>117</v>
      </c>
      <c r="Q136" s="33" t="n">
        <f>319.7</f>
        <v>319.7</v>
      </c>
      <c r="R136" s="34" t="s">
        <v>50</v>
      </c>
      <c r="S136" s="35" t="n">
        <f>319.79</f>
        <v>319.79</v>
      </c>
      <c r="T136" s="32" t="n">
        <f>7094480</f>
        <v>7094480.0</v>
      </c>
      <c r="U136" s="32" t="n">
        <f>3585620</f>
        <v>3585620.0</v>
      </c>
      <c r="V136" s="32" t="n">
        <f>2269997743</f>
        <v>2.269997743E9</v>
      </c>
      <c r="W136" s="32" t="n">
        <f>1147410527</f>
        <v>1.147410527E9</v>
      </c>
      <c r="X136" s="36" t="n">
        <f>21</f>
        <v>21.0</v>
      </c>
    </row>
    <row r="137">
      <c r="A137" s="27" t="s">
        <v>42</v>
      </c>
      <c r="B137" s="27" t="s">
        <v>451</v>
      </c>
      <c r="C137" s="27" t="s">
        <v>452</v>
      </c>
      <c r="D137" s="27" t="s">
        <v>453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6536</f>
        <v>6536.0</v>
      </c>
      <c r="L137" s="34" t="s">
        <v>48</v>
      </c>
      <c r="M137" s="33" t="n">
        <f>6592</f>
        <v>6592.0</v>
      </c>
      <c r="N137" s="34" t="s">
        <v>64</v>
      </c>
      <c r="O137" s="33" t="n">
        <f>6130</f>
        <v>6130.0</v>
      </c>
      <c r="P137" s="34" t="s">
        <v>50</v>
      </c>
      <c r="Q137" s="33" t="n">
        <f>6212</f>
        <v>6212.0</v>
      </c>
      <c r="R137" s="34" t="s">
        <v>50</v>
      </c>
      <c r="S137" s="35" t="n">
        <f>6415</f>
        <v>6415.0</v>
      </c>
      <c r="T137" s="32" t="n">
        <f>32896</f>
        <v>32896.0</v>
      </c>
      <c r="U137" s="32" t="n">
        <f>3200</f>
        <v>3200.0</v>
      </c>
      <c r="V137" s="32" t="n">
        <f>210925582</f>
        <v>2.10925582E8</v>
      </c>
      <c r="W137" s="32" t="n">
        <f>20754880</f>
        <v>2.075488E7</v>
      </c>
      <c r="X137" s="36" t="n">
        <f>21</f>
        <v>21.0</v>
      </c>
    </row>
    <row r="138">
      <c r="A138" s="27" t="s">
        <v>42</v>
      </c>
      <c r="B138" s="27" t="s">
        <v>454</v>
      </c>
      <c r="C138" s="27" t="s">
        <v>455</v>
      </c>
      <c r="D138" s="27" t="s">
        <v>456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4030</f>
        <v>4030.0</v>
      </c>
      <c r="L138" s="34" t="s">
        <v>48</v>
      </c>
      <c r="M138" s="33" t="n">
        <f>4034</f>
        <v>4034.0</v>
      </c>
      <c r="N138" s="34" t="s">
        <v>48</v>
      </c>
      <c r="O138" s="33" t="n">
        <f>3595</f>
        <v>3595.0</v>
      </c>
      <c r="P138" s="34" t="s">
        <v>57</v>
      </c>
      <c r="Q138" s="33" t="n">
        <f>3625</f>
        <v>3625.0</v>
      </c>
      <c r="R138" s="34" t="s">
        <v>50</v>
      </c>
      <c r="S138" s="35" t="n">
        <f>3779.57</f>
        <v>3779.57</v>
      </c>
      <c r="T138" s="32" t="n">
        <f>579537</f>
        <v>579537.0</v>
      </c>
      <c r="U138" s="32" t="n">
        <f>100488</f>
        <v>100488.0</v>
      </c>
      <c r="V138" s="32" t="n">
        <f>2190917425</f>
        <v>2.190917425E9</v>
      </c>
      <c r="W138" s="32" t="n">
        <f>377870309</f>
        <v>3.77870309E8</v>
      </c>
      <c r="X138" s="36" t="n">
        <f>21</f>
        <v>21.0</v>
      </c>
    </row>
    <row r="139">
      <c r="A139" s="27" t="s">
        <v>42</v>
      </c>
      <c r="B139" s="27" t="s">
        <v>457</v>
      </c>
      <c r="C139" s="27" t="s">
        <v>458</v>
      </c>
      <c r="D139" s="27" t="s">
        <v>459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3634</f>
        <v>3634.0</v>
      </c>
      <c r="L139" s="34" t="s">
        <v>48</v>
      </c>
      <c r="M139" s="33" t="n">
        <f>3700</f>
        <v>3700.0</v>
      </c>
      <c r="N139" s="34" t="s">
        <v>64</v>
      </c>
      <c r="O139" s="33" t="n">
        <f>3440</f>
        <v>3440.0</v>
      </c>
      <c r="P139" s="34" t="s">
        <v>57</v>
      </c>
      <c r="Q139" s="33" t="n">
        <f>3491</f>
        <v>3491.0</v>
      </c>
      <c r="R139" s="34" t="s">
        <v>50</v>
      </c>
      <c r="S139" s="35" t="n">
        <f>3577.05</f>
        <v>3577.05</v>
      </c>
      <c r="T139" s="32" t="n">
        <f>300607</f>
        <v>300607.0</v>
      </c>
      <c r="U139" s="32" t="n">
        <f>4259</f>
        <v>4259.0</v>
      </c>
      <c r="V139" s="32" t="n">
        <f>1068034863</f>
        <v>1.068034863E9</v>
      </c>
      <c r="W139" s="32" t="n">
        <f>15421413</f>
        <v>1.5421413E7</v>
      </c>
      <c r="X139" s="36" t="n">
        <f>21</f>
        <v>21.0</v>
      </c>
    </row>
    <row r="140">
      <c r="A140" s="27" t="s">
        <v>42</v>
      </c>
      <c r="B140" s="27" t="s">
        <v>460</v>
      </c>
      <c r="C140" s="27" t="s">
        <v>461</v>
      </c>
      <c r="D140" s="27" t="s">
        <v>462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11750</f>
        <v>11750.0</v>
      </c>
      <c r="L140" s="34" t="s">
        <v>48</v>
      </c>
      <c r="M140" s="33" t="n">
        <f>11840</f>
        <v>11840.0</v>
      </c>
      <c r="N140" s="34" t="s">
        <v>48</v>
      </c>
      <c r="O140" s="33" t="n">
        <f>10885</f>
        <v>10885.0</v>
      </c>
      <c r="P140" s="34" t="s">
        <v>50</v>
      </c>
      <c r="Q140" s="33" t="n">
        <f>10885</f>
        <v>10885.0</v>
      </c>
      <c r="R140" s="34" t="s">
        <v>50</v>
      </c>
      <c r="S140" s="35" t="n">
        <f>11462.14</f>
        <v>11462.14</v>
      </c>
      <c r="T140" s="32" t="n">
        <f>1009609</f>
        <v>1009609.0</v>
      </c>
      <c r="U140" s="32" t="n">
        <f>769961</f>
        <v>769961.0</v>
      </c>
      <c r="V140" s="32" t="n">
        <f>11466729343</f>
        <v>1.1466729343E10</v>
      </c>
      <c r="W140" s="32" t="n">
        <f>8747183103</f>
        <v>8.747183103E9</v>
      </c>
      <c r="X140" s="36" t="n">
        <f>21</f>
        <v>21.0</v>
      </c>
    </row>
    <row r="141">
      <c r="A141" s="27" t="s">
        <v>42</v>
      </c>
      <c r="B141" s="27" t="s">
        <v>463</v>
      </c>
      <c r="C141" s="27" t="s">
        <v>464</v>
      </c>
      <c r="D141" s="27" t="s">
        <v>465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3770</f>
        <v>3770.0</v>
      </c>
      <c r="L141" s="34" t="s">
        <v>48</v>
      </c>
      <c r="M141" s="33" t="n">
        <f>5470</f>
        <v>5470.0</v>
      </c>
      <c r="N141" s="34" t="s">
        <v>50</v>
      </c>
      <c r="O141" s="33" t="n">
        <f>3619</f>
        <v>3619.0</v>
      </c>
      <c r="P141" s="34" t="s">
        <v>48</v>
      </c>
      <c r="Q141" s="33" t="n">
        <f>5288</f>
        <v>5288.0</v>
      </c>
      <c r="R141" s="34" t="s">
        <v>50</v>
      </c>
      <c r="S141" s="35" t="n">
        <f>4716</f>
        <v>4716.0</v>
      </c>
      <c r="T141" s="32" t="n">
        <f>46577296</f>
        <v>4.6577296E7</v>
      </c>
      <c r="U141" s="32" t="n">
        <f>872719</f>
        <v>872719.0</v>
      </c>
      <c r="V141" s="32" t="n">
        <f>218807122021</f>
        <v>2.18807122021E11</v>
      </c>
      <c r="W141" s="32" t="n">
        <f>3956654925</f>
        <v>3.956654925E9</v>
      </c>
      <c r="X141" s="36" t="n">
        <f>21</f>
        <v>21.0</v>
      </c>
    </row>
    <row r="142">
      <c r="A142" s="27" t="s">
        <v>42</v>
      </c>
      <c r="B142" s="27" t="s">
        <v>466</v>
      </c>
      <c r="C142" s="27" t="s">
        <v>467</v>
      </c>
      <c r="D142" s="27" t="s">
        <v>468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78210</f>
        <v>78210.0</v>
      </c>
      <c r="L142" s="34" t="s">
        <v>48</v>
      </c>
      <c r="M142" s="33" t="n">
        <f>78670</f>
        <v>78670.0</v>
      </c>
      <c r="N142" s="34" t="s">
        <v>64</v>
      </c>
      <c r="O142" s="33" t="n">
        <f>63030</f>
        <v>63030.0</v>
      </c>
      <c r="P142" s="34" t="s">
        <v>49</v>
      </c>
      <c r="Q142" s="33" t="n">
        <f>67550</f>
        <v>67550.0</v>
      </c>
      <c r="R142" s="34" t="s">
        <v>50</v>
      </c>
      <c r="S142" s="35" t="n">
        <f>72161.43</f>
        <v>72161.43</v>
      </c>
      <c r="T142" s="32" t="n">
        <f>30200</f>
        <v>30200.0</v>
      </c>
      <c r="U142" s="32" t="str">
        <f>"－"</f>
        <v>－</v>
      </c>
      <c r="V142" s="32" t="n">
        <f>2147084590</f>
        <v>2.14708459E9</v>
      </c>
      <c r="W142" s="32" t="str">
        <f>"－"</f>
        <v>－</v>
      </c>
      <c r="X142" s="36" t="n">
        <f>21</f>
        <v>21.0</v>
      </c>
    </row>
    <row r="143">
      <c r="A143" s="27" t="s">
        <v>42</v>
      </c>
      <c r="B143" s="27" t="s">
        <v>469</v>
      </c>
      <c r="C143" s="27" t="s">
        <v>470</v>
      </c>
      <c r="D143" s="27" t="s">
        <v>471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10.0</v>
      </c>
      <c r="K143" s="33" t="n">
        <f>13640</f>
        <v>13640.0</v>
      </c>
      <c r="L143" s="34" t="s">
        <v>48</v>
      </c>
      <c r="M143" s="33" t="n">
        <f>13660</f>
        <v>13660.0</v>
      </c>
      <c r="N143" s="34" t="s">
        <v>48</v>
      </c>
      <c r="O143" s="33" t="n">
        <f>9035</f>
        <v>9035.0</v>
      </c>
      <c r="P143" s="34" t="s">
        <v>49</v>
      </c>
      <c r="Q143" s="33" t="n">
        <f>10485</f>
        <v>10485.0</v>
      </c>
      <c r="R143" s="34" t="s">
        <v>50</v>
      </c>
      <c r="S143" s="35" t="n">
        <f>11430.86</f>
        <v>11430.86</v>
      </c>
      <c r="T143" s="32" t="n">
        <f>480440</f>
        <v>480440.0</v>
      </c>
      <c r="U143" s="32" t="str">
        <f>"－"</f>
        <v>－</v>
      </c>
      <c r="V143" s="32" t="n">
        <f>5598634130</f>
        <v>5.59863413E9</v>
      </c>
      <c r="W143" s="32" t="str">
        <f>"－"</f>
        <v>－</v>
      </c>
      <c r="X143" s="36" t="n">
        <f>21</f>
        <v>21.0</v>
      </c>
    </row>
    <row r="144">
      <c r="A144" s="27" t="s">
        <v>42</v>
      </c>
      <c r="B144" s="27" t="s">
        <v>472</v>
      </c>
      <c r="C144" s="27" t="s">
        <v>473</v>
      </c>
      <c r="D144" s="27" t="s">
        <v>474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34430</f>
        <v>34430.0</v>
      </c>
      <c r="L144" s="34" t="s">
        <v>48</v>
      </c>
      <c r="M144" s="33" t="n">
        <f>34600</f>
        <v>34600.0</v>
      </c>
      <c r="N144" s="34" t="s">
        <v>48</v>
      </c>
      <c r="O144" s="33" t="n">
        <f>25315</f>
        <v>25315.0</v>
      </c>
      <c r="P144" s="34" t="s">
        <v>49</v>
      </c>
      <c r="Q144" s="33" t="n">
        <f>27775</f>
        <v>27775.0</v>
      </c>
      <c r="R144" s="34" t="s">
        <v>50</v>
      </c>
      <c r="S144" s="35" t="n">
        <f>29841.9</f>
        <v>29841.9</v>
      </c>
      <c r="T144" s="32" t="n">
        <f>67916</f>
        <v>67916.0</v>
      </c>
      <c r="U144" s="32" t="str">
        <f>"－"</f>
        <v>－</v>
      </c>
      <c r="V144" s="32" t="n">
        <f>2054684235</f>
        <v>2.054684235E9</v>
      </c>
      <c r="W144" s="32" t="str">
        <f>"－"</f>
        <v>－</v>
      </c>
      <c r="X144" s="36" t="n">
        <f>21</f>
        <v>21.0</v>
      </c>
    </row>
    <row r="145">
      <c r="A145" s="27" t="s">
        <v>42</v>
      </c>
      <c r="B145" s="27" t="s">
        <v>475</v>
      </c>
      <c r="C145" s="27" t="s">
        <v>476</v>
      </c>
      <c r="D145" s="27" t="s">
        <v>477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25855</f>
        <v>25855.0</v>
      </c>
      <c r="L145" s="34" t="s">
        <v>48</v>
      </c>
      <c r="M145" s="33" t="n">
        <f>26150</f>
        <v>26150.0</v>
      </c>
      <c r="N145" s="34" t="s">
        <v>48</v>
      </c>
      <c r="O145" s="33" t="n">
        <f>19470</f>
        <v>19470.0</v>
      </c>
      <c r="P145" s="34" t="s">
        <v>49</v>
      </c>
      <c r="Q145" s="33" t="n">
        <f>20845</f>
        <v>20845.0</v>
      </c>
      <c r="R145" s="34" t="s">
        <v>50</v>
      </c>
      <c r="S145" s="35" t="n">
        <f>22681.43</f>
        <v>22681.43</v>
      </c>
      <c r="T145" s="32" t="n">
        <f>18299</f>
        <v>18299.0</v>
      </c>
      <c r="U145" s="32" t="str">
        <f>"－"</f>
        <v>－</v>
      </c>
      <c r="V145" s="32" t="n">
        <f>420401905</f>
        <v>4.20401905E8</v>
      </c>
      <c r="W145" s="32" t="str">
        <f>"－"</f>
        <v>－</v>
      </c>
      <c r="X145" s="36" t="n">
        <f>21</f>
        <v>21.0</v>
      </c>
    </row>
    <row r="146">
      <c r="A146" s="27" t="s">
        <v>42</v>
      </c>
      <c r="B146" s="27" t="s">
        <v>478</v>
      </c>
      <c r="C146" s="27" t="s">
        <v>479</v>
      </c>
      <c r="D146" s="27" t="s">
        <v>480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55100</f>
        <v>55100.0</v>
      </c>
      <c r="L146" s="34" t="s">
        <v>48</v>
      </c>
      <c r="M146" s="33" t="n">
        <f>55200</f>
        <v>55200.0</v>
      </c>
      <c r="N146" s="34" t="s">
        <v>48</v>
      </c>
      <c r="O146" s="33" t="n">
        <f>42120</f>
        <v>42120.0</v>
      </c>
      <c r="P146" s="34" t="s">
        <v>117</v>
      </c>
      <c r="Q146" s="33" t="n">
        <f>46550</f>
        <v>46550.0</v>
      </c>
      <c r="R146" s="34" t="s">
        <v>50</v>
      </c>
      <c r="S146" s="35" t="n">
        <f>49582.86</f>
        <v>49582.86</v>
      </c>
      <c r="T146" s="32" t="n">
        <f>4720</f>
        <v>4720.0</v>
      </c>
      <c r="U146" s="32" t="str">
        <f>"－"</f>
        <v>－</v>
      </c>
      <c r="V146" s="32" t="n">
        <f>236107360</f>
        <v>2.3610736E8</v>
      </c>
      <c r="W146" s="32" t="str">
        <f>"－"</f>
        <v>－</v>
      </c>
      <c r="X146" s="36" t="n">
        <f>21</f>
        <v>21.0</v>
      </c>
    </row>
    <row r="147">
      <c r="A147" s="27" t="s">
        <v>42</v>
      </c>
      <c r="B147" s="27" t="s">
        <v>481</v>
      </c>
      <c r="C147" s="27" t="s">
        <v>482</v>
      </c>
      <c r="D147" s="27" t="s">
        <v>483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60890</f>
        <v>60890.0</v>
      </c>
      <c r="L147" s="34" t="s">
        <v>48</v>
      </c>
      <c r="M147" s="33" t="n">
        <f>61300</f>
        <v>61300.0</v>
      </c>
      <c r="N147" s="34" t="s">
        <v>64</v>
      </c>
      <c r="O147" s="33" t="n">
        <f>58300</f>
        <v>58300.0</v>
      </c>
      <c r="P147" s="34" t="s">
        <v>181</v>
      </c>
      <c r="Q147" s="33" t="n">
        <f>60120</f>
        <v>60120.0</v>
      </c>
      <c r="R147" s="34" t="s">
        <v>50</v>
      </c>
      <c r="S147" s="35" t="n">
        <f>60457</f>
        <v>60457.0</v>
      </c>
      <c r="T147" s="32" t="n">
        <f>2910</f>
        <v>2910.0</v>
      </c>
      <c r="U147" s="32" t="n">
        <f>180</f>
        <v>180.0</v>
      </c>
      <c r="V147" s="32" t="n">
        <f>175626515</f>
        <v>1.75626515E8</v>
      </c>
      <c r="W147" s="32" t="n">
        <f>10867315</f>
        <v>1.0867315E7</v>
      </c>
      <c r="X147" s="36" t="n">
        <f>20</f>
        <v>20.0</v>
      </c>
    </row>
    <row r="148">
      <c r="A148" s="27" t="s">
        <v>42</v>
      </c>
      <c r="B148" s="27" t="s">
        <v>484</v>
      </c>
      <c r="C148" s="27" t="s">
        <v>485</v>
      </c>
      <c r="D148" s="27" t="s">
        <v>486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10.0</v>
      </c>
      <c r="K148" s="33" t="n">
        <f>336.4</f>
        <v>336.4</v>
      </c>
      <c r="L148" s="34" t="s">
        <v>48</v>
      </c>
      <c r="M148" s="33" t="n">
        <f>338.8</f>
        <v>338.8</v>
      </c>
      <c r="N148" s="34" t="s">
        <v>48</v>
      </c>
      <c r="O148" s="33" t="n">
        <f>297</f>
        <v>297.0</v>
      </c>
      <c r="P148" s="34" t="s">
        <v>50</v>
      </c>
      <c r="Q148" s="33" t="n">
        <f>300.4</f>
        <v>300.4</v>
      </c>
      <c r="R148" s="34" t="s">
        <v>50</v>
      </c>
      <c r="S148" s="35" t="n">
        <f>317.06</f>
        <v>317.06</v>
      </c>
      <c r="T148" s="32" t="n">
        <f>26358760</f>
        <v>2.635876E7</v>
      </c>
      <c r="U148" s="32" t="n">
        <f>543380</f>
        <v>543380.0</v>
      </c>
      <c r="V148" s="32" t="n">
        <f>8349366866</f>
        <v>8.349366866E9</v>
      </c>
      <c r="W148" s="32" t="n">
        <f>172228524</f>
        <v>1.72228524E8</v>
      </c>
      <c r="X148" s="36" t="n">
        <f>21</f>
        <v>21.0</v>
      </c>
    </row>
    <row r="149">
      <c r="A149" s="27" t="s">
        <v>42</v>
      </c>
      <c r="B149" s="27" t="s">
        <v>487</v>
      </c>
      <c r="C149" s="27" t="s">
        <v>488</v>
      </c>
      <c r="D149" s="27" t="s">
        <v>489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10.0</v>
      </c>
      <c r="K149" s="33" t="n">
        <f>61020</f>
        <v>61020.0</v>
      </c>
      <c r="L149" s="34" t="s">
        <v>48</v>
      </c>
      <c r="M149" s="33" t="n">
        <f>61700</f>
        <v>61700.0</v>
      </c>
      <c r="N149" s="34" t="s">
        <v>64</v>
      </c>
      <c r="O149" s="33" t="n">
        <f>58550</f>
        <v>58550.0</v>
      </c>
      <c r="P149" s="34" t="s">
        <v>50</v>
      </c>
      <c r="Q149" s="33" t="n">
        <f>58550</f>
        <v>58550.0</v>
      </c>
      <c r="R149" s="34" t="s">
        <v>50</v>
      </c>
      <c r="S149" s="35" t="n">
        <f>60345</f>
        <v>60345.0</v>
      </c>
      <c r="T149" s="32" t="n">
        <f>630</f>
        <v>630.0</v>
      </c>
      <c r="U149" s="32" t="str">
        <f>"－"</f>
        <v>－</v>
      </c>
      <c r="V149" s="32" t="n">
        <f>38136800</f>
        <v>3.81368E7</v>
      </c>
      <c r="W149" s="32" t="str">
        <f>"－"</f>
        <v>－</v>
      </c>
      <c r="X149" s="36" t="n">
        <f>12</f>
        <v>12.0</v>
      </c>
    </row>
    <row r="150">
      <c r="A150" s="27" t="s">
        <v>42</v>
      </c>
      <c r="B150" s="27" t="s">
        <v>490</v>
      </c>
      <c r="C150" s="27" t="s">
        <v>491</v>
      </c>
      <c r="D150" s="27" t="s">
        <v>492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7432</f>
        <v>7432.0</v>
      </c>
      <c r="L150" s="34" t="s">
        <v>48</v>
      </c>
      <c r="M150" s="33" t="n">
        <f>7520</f>
        <v>7520.0</v>
      </c>
      <c r="N150" s="34" t="s">
        <v>64</v>
      </c>
      <c r="O150" s="33" t="n">
        <f>7002</f>
        <v>7002.0</v>
      </c>
      <c r="P150" s="34" t="s">
        <v>57</v>
      </c>
      <c r="Q150" s="33" t="n">
        <f>7084</f>
        <v>7084.0</v>
      </c>
      <c r="R150" s="34" t="s">
        <v>50</v>
      </c>
      <c r="S150" s="35" t="n">
        <f>7307.57</f>
        <v>7307.57</v>
      </c>
      <c r="T150" s="32" t="n">
        <f>43294</f>
        <v>43294.0</v>
      </c>
      <c r="U150" s="32" t="n">
        <f>597</f>
        <v>597.0</v>
      </c>
      <c r="V150" s="32" t="n">
        <f>316855505</f>
        <v>3.16855505E8</v>
      </c>
      <c r="W150" s="32" t="n">
        <f>4398912</f>
        <v>4398912.0</v>
      </c>
      <c r="X150" s="36" t="n">
        <f>21</f>
        <v>21.0</v>
      </c>
    </row>
    <row r="151">
      <c r="A151" s="27" t="s">
        <v>42</v>
      </c>
      <c r="B151" s="27" t="s">
        <v>493</v>
      </c>
      <c r="C151" s="27" t="s">
        <v>494</v>
      </c>
      <c r="D151" s="27" t="s">
        <v>495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3063</f>
        <v>3063.0</v>
      </c>
      <c r="L151" s="34" t="s">
        <v>48</v>
      </c>
      <c r="M151" s="33" t="n">
        <f>3104</f>
        <v>3104.0</v>
      </c>
      <c r="N151" s="34" t="s">
        <v>48</v>
      </c>
      <c r="O151" s="33" t="n">
        <f>2744</f>
        <v>2744.0</v>
      </c>
      <c r="P151" s="34" t="s">
        <v>50</v>
      </c>
      <c r="Q151" s="33" t="n">
        <f>2745</f>
        <v>2745.0</v>
      </c>
      <c r="R151" s="34" t="s">
        <v>50</v>
      </c>
      <c r="S151" s="35" t="n">
        <f>2900.71</f>
        <v>2900.71</v>
      </c>
      <c r="T151" s="32" t="n">
        <f>295449</f>
        <v>295449.0</v>
      </c>
      <c r="U151" s="32" t="n">
        <f>1590</f>
        <v>1590.0</v>
      </c>
      <c r="V151" s="32" t="n">
        <f>858910378</f>
        <v>8.58910378E8</v>
      </c>
      <c r="W151" s="32" t="n">
        <f>4507288</f>
        <v>4507288.0</v>
      </c>
      <c r="X151" s="36" t="n">
        <f>21</f>
        <v>21.0</v>
      </c>
    </row>
    <row r="152">
      <c r="A152" s="27" t="s">
        <v>42</v>
      </c>
      <c r="B152" s="27" t="s">
        <v>496</v>
      </c>
      <c r="C152" s="27" t="s">
        <v>497</v>
      </c>
      <c r="D152" s="27" t="s">
        <v>498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10.0</v>
      </c>
      <c r="K152" s="33" t="n">
        <f>2201</f>
        <v>2201.0</v>
      </c>
      <c r="L152" s="34" t="s">
        <v>48</v>
      </c>
      <c r="M152" s="33" t="n">
        <f>2850</f>
        <v>2850.0</v>
      </c>
      <c r="N152" s="34" t="s">
        <v>444</v>
      </c>
      <c r="O152" s="33" t="n">
        <f>2201</f>
        <v>2201.0</v>
      </c>
      <c r="P152" s="34" t="s">
        <v>48</v>
      </c>
      <c r="Q152" s="33" t="n">
        <f>2641</f>
        <v>2641.0</v>
      </c>
      <c r="R152" s="34" t="s">
        <v>50</v>
      </c>
      <c r="S152" s="35" t="n">
        <f>2494.55</f>
        <v>2494.55</v>
      </c>
      <c r="T152" s="32" t="n">
        <f>21590</f>
        <v>21590.0</v>
      </c>
      <c r="U152" s="32" t="str">
        <f>"－"</f>
        <v>－</v>
      </c>
      <c r="V152" s="32" t="n">
        <f>56232710</f>
        <v>5.623271E7</v>
      </c>
      <c r="W152" s="32" t="str">
        <f>"－"</f>
        <v>－</v>
      </c>
      <c r="X152" s="36" t="n">
        <f>21</f>
        <v>21.0</v>
      </c>
    </row>
    <row r="153">
      <c r="A153" s="27" t="s">
        <v>42</v>
      </c>
      <c r="B153" s="27" t="s">
        <v>499</v>
      </c>
      <c r="C153" s="27" t="s">
        <v>500</v>
      </c>
      <c r="D153" s="27" t="s">
        <v>501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607.2</f>
        <v>607.2</v>
      </c>
      <c r="L153" s="34" t="s">
        <v>48</v>
      </c>
      <c r="M153" s="33" t="n">
        <f>912.8</f>
        <v>912.8</v>
      </c>
      <c r="N153" s="34" t="s">
        <v>502</v>
      </c>
      <c r="O153" s="33" t="n">
        <f>575</f>
        <v>575.0</v>
      </c>
      <c r="P153" s="34" t="s">
        <v>48</v>
      </c>
      <c r="Q153" s="33" t="n">
        <f>829.1</f>
        <v>829.1</v>
      </c>
      <c r="R153" s="34" t="s">
        <v>50</v>
      </c>
      <c r="S153" s="35" t="n">
        <f>754.72</f>
        <v>754.72</v>
      </c>
      <c r="T153" s="32" t="n">
        <f>613330</f>
        <v>613330.0</v>
      </c>
      <c r="U153" s="32" t="str">
        <f>"－"</f>
        <v>－</v>
      </c>
      <c r="V153" s="32" t="n">
        <f>467021117</f>
        <v>4.67021117E8</v>
      </c>
      <c r="W153" s="32" t="str">
        <f>"－"</f>
        <v>－</v>
      </c>
      <c r="X153" s="36" t="n">
        <f>21</f>
        <v>21.0</v>
      </c>
    </row>
    <row r="154">
      <c r="A154" s="27" t="s">
        <v>42</v>
      </c>
      <c r="B154" s="27" t="s">
        <v>503</v>
      </c>
      <c r="C154" s="27" t="s">
        <v>504</v>
      </c>
      <c r="D154" s="27" t="s">
        <v>505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10.0</v>
      </c>
      <c r="K154" s="33" t="n">
        <f>2929.5</f>
        <v>2929.5</v>
      </c>
      <c r="L154" s="34" t="s">
        <v>48</v>
      </c>
      <c r="M154" s="33" t="n">
        <f>3040</f>
        <v>3040.0</v>
      </c>
      <c r="N154" s="34" t="s">
        <v>222</v>
      </c>
      <c r="O154" s="33" t="n">
        <f>2550</f>
        <v>2550.0</v>
      </c>
      <c r="P154" s="34" t="s">
        <v>181</v>
      </c>
      <c r="Q154" s="33" t="n">
        <f>2868.5</f>
        <v>2868.5</v>
      </c>
      <c r="R154" s="34" t="s">
        <v>50</v>
      </c>
      <c r="S154" s="35" t="n">
        <f>2865.62</f>
        <v>2865.62</v>
      </c>
      <c r="T154" s="32" t="n">
        <f>11010</f>
        <v>11010.0</v>
      </c>
      <c r="U154" s="32" t="str">
        <f>"－"</f>
        <v>－</v>
      </c>
      <c r="V154" s="32" t="n">
        <f>31610365</f>
        <v>3.1610365E7</v>
      </c>
      <c r="W154" s="32" t="str">
        <f>"－"</f>
        <v>－</v>
      </c>
      <c r="X154" s="36" t="n">
        <f>21</f>
        <v>21.0</v>
      </c>
    </row>
    <row r="155">
      <c r="A155" s="27" t="s">
        <v>42</v>
      </c>
      <c r="B155" s="27" t="s">
        <v>506</v>
      </c>
      <c r="C155" s="27" t="s">
        <v>507</v>
      </c>
      <c r="D155" s="27" t="s">
        <v>508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10.0</v>
      </c>
      <c r="K155" s="33" t="n">
        <f>940.9</f>
        <v>940.9</v>
      </c>
      <c r="L155" s="34" t="s">
        <v>48</v>
      </c>
      <c r="M155" s="33" t="n">
        <f>1110.5</f>
        <v>1110.5</v>
      </c>
      <c r="N155" s="34" t="s">
        <v>181</v>
      </c>
      <c r="O155" s="33" t="n">
        <f>932.2</f>
        <v>932.2</v>
      </c>
      <c r="P155" s="34" t="s">
        <v>107</v>
      </c>
      <c r="Q155" s="33" t="n">
        <f>996</f>
        <v>996.0</v>
      </c>
      <c r="R155" s="34" t="s">
        <v>50</v>
      </c>
      <c r="S155" s="35" t="n">
        <f>998.22</f>
        <v>998.22</v>
      </c>
      <c r="T155" s="32" t="n">
        <f>751330</f>
        <v>751330.0</v>
      </c>
      <c r="U155" s="32" t="str">
        <f>"－"</f>
        <v>－</v>
      </c>
      <c r="V155" s="32" t="n">
        <f>760627750</f>
        <v>7.6062775E8</v>
      </c>
      <c r="W155" s="32" t="str">
        <f>"－"</f>
        <v>－</v>
      </c>
      <c r="X155" s="36" t="n">
        <f>21</f>
        <v>21.0</v>
      </c>
    </row>
    <row r="156">
      <c r="A156" s="27" t="s">
        <v>42</v>
      </c>
      <c r="B156" s="27" t="s">
        <v>509</v>
      </c>
      <c r="C156" s="27" t="s">
        <v>510</v>
      </c>
      <c r="D156" s="27" t="s">
        <v>511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553.6</f>
        <v>553.6</v>
      </c>
      <c r="L156" s="34" t="s">
        <v>48</v>
      </c>
      <c r="M156" s="33" t="n">
        <f>639.9</f>
        <v>639.9</v>
      </c>
      <c r="N156" s="34" t="s">
        <v>181</v>
      </c>
      <c r="O156" s="33" t="n">
        <f>540</f>
        <v>540.0</v>
      </c>
      <c r="P156" s="34" t="s">
        <v>103</v>
      </c>
      <c r="Q156" s="33" t="n">
        <f>580</f>
        <v>580.0</v>
      </c>
      <c r="R156" s="34" t="s">
        <v>50</v>
      </c>
      <c r="S156" s="35" t="n">
        <f>573.97</f>
        <v>573.97</v>
      </c>
      <c r="T156" s="32" t="n">
        <f>2659850</f>
        <v>2659850.0</v>
      </c>
      <c r="U156" s="32" t="str">
        <f>"－"</f>
        <v>－</v>
      </c>
      <c r="V156" s="32" t="n">
        <f>1546269714</f>
        <v>1.546269714E9</v>
      </c>
      <c r="W156" s="32" t="str">
        <f>"－"</f>
        <v>－</v>
      </c>
      <c r="X156" s="36" t="n">
        <f>21</f>
        <v>21.0</v>
      </c>
    </row>
    <row r="157">
      <c r="A157" s="27" t="s">
        <v>42</v>
      </c>
      <c r="B157" s="27" t="s">
        <v>512</v>
      </c>
      <c r="C157" s="27" t="s">
        <v>513</v>
      </c>
      <c r="D157" s="27" t="s">
        <v>514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909</f>
        <v>909.0</v>
      </c>
      <c r="L157" s="34" t="s">
        <v>48</v>
      </c>
      <c r="M157" s="33" t="n">
        <f>1084</f>
        <v>1084.0</v>
      </c>
      <c r="N157" s="34" t="s">
        <v>181</v>
      </c>
      <c r="O157" s="33" t="n">
        <f>881</f>
        <v>881.0</v>
      </c>
      <c r="P157" s="34" t="s">
        <v>50</v>
      </c>
      <c r="Q157" s="33" t="n">
        <f>891</f>
        <v>891.0</v>
      </c>
      <c r="R157" s="34" t="s">
        <v>50</v>
      </c>
      <c r="S157" s="35" t="n">
        <f>952.48</f>
        <v>952.48</v>
      </c>
      <c r="T157" s="32" t="n">
        <f>6689804</f>
        <v>6689804.0</v>
      </c>
      <c r="U157" s="32" t="str">
        <f>"－"</f>
        <v>－</v>
      </c>
      <c r="V157" s="32" t="n">
        <f>6463686095</f>
        <v>6.463686095E9</v>
      </c>
      <c r="W157" s="32" t="str">
        <f>"－"</f>
        <v>－</v>
      </c>
      <c r="X157" s="36" t="n">
        <f>21</f>
        <v>21.0</v>
      </c>
    </row>
    <row r="158">
      <c r="A158" s="27" t="s">
        <v>42</v>
      </c>
      <c r="B158" s="27" t="s">
        <v>515</v>
      </c>
      <c r="C158" s="27" t="s">
        <v>516</v>
      </c>
      <c r="D158" s="27" t="s">
        <v>517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2004</f>
        <v>2004.0</v>
      </c>
      <c r="L158" s="34" t="s">
        <v>48</v>
      </c>
      <c r="M158" s="33" t="n">
        <f>2500</f>
        <v>2500.0</v>
      </c>
      <c r="N158" s="34" t="s">
        <v>64</v>
      </c>
      <c r="O158" s="33" t="n">
        <f>1723</f>
        <v>1723.0</v>
      </c>
      <c r="P158" s="34" t="s">
        <v>48</v>
      </c>
      <c r="Q158" s="33" t="n">
        <f>2467</f>
        <v>2467.0</v>
      </c>
      <c r="R158" s="34" t="s">
        <v>50</v>
      </c>
      <c r="S158" s="35" t="n">
        <f>2170.74</f>
        <v>2170.74</v>
      </c>
      <c r="T158" s="32" t="n">
        <f>1313890</f>
        <v>1313890.0</v>
      </c>
      <c r="U158" s="32" t="str">
        <f>"－"</f>
        <v>－</v>
      </c>
      <c r="V158" s="32" t="n">
        <f>2844381110</f>
        <v>2.84438111E9</v>
      </c>
      <c r="W158" s="32" t="str">
        <f>"－"</f>
        <v>－</v>
      </c>
      <c r="X158" s="36" t="n">
        <f>21</f>
        <v>21.0</v>
      </c>
    </row>
    <row r="159">
      <c r="A159" s="27" t="s">
        <v>42</v>
      </c>
      <c r="B159" s="27" t="s">
        <v>518</v>
      </c>
      <c r="C159" s="27" t="s">
        <v>519</v>
      </c>
      <c r="D159" s="27" t="s">
        <v>520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9608</f>
        <v>9608.0</v>
      </c>
      <c r="L159" s="34" t="s">
        <v>48</v>
      </c>
      <c r="M159" s="33" t="n">
        <f>13895</f>
        <v>13895.0</v>
      </c>
      <c r="N159" s="34" t="s">
        <v>50</v>
      </c>
      <c r="O159" s="33" t="n">
        <f>9254</f>
        <v>9254.0</v>
      </c>
      <c r="P159" s="34" t="s">
        <v>48</v>
      </c>
      <c r="Q159" s="33" t="n">
        <f>13350</f>
        <v>13350.0</v>
      </c>
      <c r="R159" s="34" t="s">
        <v>50</v>
      </c>
      <c r="S159" s="35" t="n">
        <f>11878.33</f>
        <v>11878.33</v>
      </c>
      <c r="T159" s="32" t="n">
        <f>105126</f>
        <v>105126.0</v>
      </c>
      <c r="U159" s="32" t="str">
        <f>"－"</f>
        <v>－</v>
      </c>
      <c r="V159" s="32" t="n">
        <f>1256211954</f>
        <v>1.256211954E9</v>
      </c>
      <c r="W159" s="32" t="str">
        <f>"－"</f>
        <v>－</v>
      </c>
      <c r="X159" s="36" t="n">
        <f>21</f>
        <v>21.0</v>
      </c>
    </row>
    <row r="160">
      <c r="A160" s="27" t="s">
        <v>42</v>
      </c>
      <c r="B160" s="27" t="s">
        <v>521</v>
      </c>
      <c r="C160" s="27" t="s">
        <v>522</v>
      </c>
      <c r="D160" s="27" t="s">
        <v>523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100.0</v>
      </c>
      <c r="K160" s="33" t="n">
        <f>648</f>
        <v>648.0</v>
      </c>
      <c r="L160" s="34" t="s">
        <v>48</v>
      </c>
      <c r="M160" s="33" t="n">
        <f>815</f>
        <v>815.0</v>
      </c>
      <c r="N160" s="34" t="s">
        <v>50</v>
      </c>
      <c r="O160" s="33" t="n">
        <f>632.3</f>
        <v>632.3</v>
      </c>
      <c r="P160" s="34" t="s">
        <v>49</v>
      </c>
      <c r="Q160" s="33" t="n">
        <f>733.1</f>
        <v>733.1</v>
      </c>
      <c r="R160" s="34" t="s">
        <v>50</v>
      </c>
      <c r="S160" s="35" t="n">
        <f>698.24</f>
        <v>698.24</v>
      </c>
      <c r="T160" s="32" t="n">
        <f>719900</f>
        <v>719900.0</v>
      </c>
      <c r="U160" s="32" t="str">
        <f>"－"</f>
        <v>－</v>
      </c>
      <c r="V160" s="32" t="n">
        <f>512034090</f>
        <v>5.1203409E8</v>
      </c>
      <c r="W160" s="32" t="str">
        <f>"－"</f>
        <v>－</v>
      </c>
      <c r="X160" s="36" t="n">
        <f>21</f>
        <v>21.0</v>
      </c>
    </row>
    <row r="161">
      <c r="A161" s="27" t="s">
        <v>42</v>
      </c>
      <c r="B161" s="27" t="s">
        <v>524</v>
      </c>
      <c r="C161" s="27" t="s">
        <v>525</v>
      </c>
      <c r="D161" s="27" t="s">
        <v>526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10.0</v>
      </c>
      <c r="K161" s="33" t="n">
        <f>8250</f>
        <v>8250.0</v>
      </c>
      <c r="L161" s="34" t="s">
        <v>48</v>
      </c>
      <c r="M161" s="33" t="n">
        <f>8261</f>
        <v>8261.0</v>
      </c>
      <c r="N161" s="34" t="s">
        <v>48</v>
      </c>
      <c r="O161" s="33" t="n">
        <f>7261</f>
        <v>7261.0</v>
      </c>
      <c r="P161" s="34" t="s">
        <v>49</v>
      </c>
      <c r="Q161" s="33" t="n">
        <f>7639</f>
        <v>7639.0</v>
      </c>
      <c r="R161" s="34" t="s">
        <v>50</v>
      </c>
      <c r="S161" s="35" t="n">
        <f>7860.57</f>
        <v>7860.57</v>
      </c>
      <c r="T161" s="32" t="n">
        <f>477730</f>
        <v>477730.0</v>
      </c>
      <c r="U161" s="32" t="str">
        <f>"－"</f>
        <v>－</v>
      </c>
      <c r="V161" s="32" t="n">
        <f>3747564670</f>
        <v>3.74756467E9</v>
      </c>
      <c r="W161" s="32" t="str">
        <f>"－"</f>
        <v>－</v>
      </c>
      <c r="X161" s="36" t="n">
        <f>21</f>
        <v>21.0</v>
      </c>
    </row>
    <row r="162">
      <c r="A162" s="27" t="s">
        <v>42</v>
      </c>
      <c r="B162" s="27" t="s">
        <v>527</v>
      </c>
      <c r="C162" s="27" t="s">
        <v>528</v>
      </c>
      <c r="D162" s="27" t="s">
        <v>529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10.0</v>
      </c>
      <c r="K162" s="33" t="n">
        <f>2435</f>
        <v>2435.0</v>
      </c>
      <c r="L162" s="34" t="s">
        <v>48</v>
      </c>
      <c r="M162" s="33" t="n">
        <f>2499.5</f>
        <v>2499.5</v>
      </c>
      <c r="N162" s="34" t="s">
        <v>181</v>
      </c>
      <c r="O162" s="33" t="n">
        <f>2153</f>
        <v>2153.0</v>
      </c>
      <c r="P162" s="34" t="s">
        <v>276</v>
      </c>
      <c r="Q162" s="33" t="n">
        <f>2398</f>
        <v>2398.0</v>
      </c>
      <c r="R162" s="34" t="s">
        <v>50</v>
      </c>
      <c r="S162" s="35" t="n">
        <f>2403.64</f>
        <v>2403.64</v>
      </c>
      <c r="T162" s="32" t="n">
        <f>36540</f>
        <v>36540.0</v>
      </c>
      <c r="U162" s="32" t="str">
        <f>"－"</f>
        <v>－</v>
      </c>
      <c r="V162" s="32" t="n">
        <f>87416205</f>
        <v>8.7416205E7</v>
      </c>
      <c r="W162" s="32" t="str">
        <f>"－"</f>
        <v>－</v>
      </c>
      <c r="X162" s="36" t="n">
        <f>21</f>
        <v>21.0</v>
      </c>
    </row>
    <row r="163">
      <c r="A163" s="27" t="s">
        <v>42</v>
      </c>
      <c r="B163" s="27" t="s">
        <v>530</v>
      </c>
      <c r="C163" s="27" t="s">
        <v>531</v>
      </c>
      <c r="D163" s="27" t="s">
        <v>532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1.0</v>
      </c>
      <c r="K163" s="33" t="n">
        <f>3080</f>
        <v>3080.0</v>
      </c>
      <c r="L163" s="34" t="s">
        <v>48</v>
      </c>
      <c r="M163" s="33" t="n">
        <f>3386</f>
        <v>3386.0</v>
      </c>
      <c r="N163" s="34" t="s">
        <v>181</v>
      </c>
      <c r="O163" s="33" t="n">
        <f>2954</f>
        <v>2954.0</v>
      </c>
      <c r="P163" s="34" t="s">
        <v>107</v>
      </c>
      <c r="Q163" s="33" t="n">
        <f>3243</f>
        <v>3243.0</v>
      </c>
      <c r="R163" s="34" t="s">
        <v>50</v>
      </c>
      <c r="S163" s="35" t="n">
        <f>3148</f>
        <v>3148.0</v>
      </c>
      <c r="T163" s="32" t="n">
        <f>1221883</f>
        <v>1221883.0</v>
      </c>
      <c r="U163" s="32" t="str">
        <f>"－"</f>
        <v>－</v>
      </c>
      <c r="V163" s="32" t="n">
        <f>3897393793</f>
        <v>3.897393793E9</v>
      </c>
      <c r="W163" s="32" t="str">
        <f>"－"</f>
        <v>－</v>
      </c>
      <c r="X163" s="36" t="n">
        <f>21</f>
        <v>21.0</v>
      </c>
    </row>
    <row r="164">
      <c r="A164" s="27" t="s">
        <v>42</v>
      </c>
      <c r="B164" s="27" t="s">
        <v>533</v>
      </c>
      <c r="C164" s="27" t="s">
        <v>534</v>
      </c>
      <c r="D164" s="27" t="s">
        <v>535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2961</f>
        <v>2961.0</v>
      </c>
      <c r="L164" s="34" t="s">
        <v>48</v>
      </c>
      <c r="M164" s="33" t="n">
        <f>3603</f>
        <v>3603.0</v>
      </c>
      <c r="N164" s="34" t="s">
        <v>502</v>
      </c>
      <c r="O164" s="33" t="n">
        <f>2900</f>
        <v>2900.0</v>
      </c>
      <c r="P164" s="34" t="s">
        <v>103</v>
      </c>
      <c r="Q164" s="33" t="n">
        <f>3079</f>
        <v>3079.0</v>
      </c>
      <c r="R164" s="34" t="s">
        <v>50</v>
      </c>
      <c r="S164" s="35" t="n">
        <f>3159.81</f>
        <v>3159.81</v>
      </c>
      <c r="T164" s="32" t="n">
        <f>963027</f>
        <v>963027.0</v>
      </c>
      <c r="U164" s="32" t="str">
        <f>"－"</f>
        <v>－</v>
      </c>
      <c r="V164" s="32" t="n">
        <f>3093956266</f>
        <v>3.093956266E9</v>
      </c>
      <c r="W164" s="32" t="str">
        <f>"－"</f>
        <v>－</v>
      </c>
      <c r="X164" s="36" t="n">
        <f>21</f>
        <v>21.0</v>
      </c>
    </row>
    <row r="165">
      <c r="A165" s="27" t="s">
        <v>42</v>
      </c>
      <c r="B165" s="27" t="s">
        <v>536</v>
      </c>
      <c r="C165" s="27" t="s">
        <v>537</v>
      </c>
      <c r="D165" s="27" t="s">
        <v>538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4473</f>
        <v>4473.0</v>
      </c>
      <c r="L165" s="34" t="s">
        <v>48</v>
      </c>
      <c r="M165" s="33" t="n">
        <f>5088</f>
        <v>5088.0</v>
      </c>
      <c r="N165" s="34" t="s">
        <v>181</v>
      </c>
      <c r="O165" s="33" t="n">
        <f>4357</f>
        <v>4357.0</v>
      </c>
      <c r="P165" s="34" t="s">
        <v>103</v>
      </c>
      <c r="Q165" s="33" t="n">
        <f>4509</f>
        <v>4509.0</v>
      </c>
      <c r="R165" s="34" t="s">
        <v>50</v>
      </c>
      <c r="S165" s="35" t="n">
        <f>4557.81</f>
        <v>4557.81</v>
      </c>
      <c r="T165" s="32" t="n">
        <f>64600</f>
        <v>64600.0</v>
      </c>
      <c r="U165" s="32" t="str">
        <f>"－"</f>
        <v>－</v>
      </c>
      <c r="V165" s="32" t="n">
        <f>298083250</f>
        <v>2.9808325E8</v>
      </c>
      <c r="W165" s="32" t="str">
        <f>"－"</f>
        <v>－</v>
      </c>
      <c r="X165" s="36" t="n">
        <f>21</f>
        <v>21.0</v>
      </c>
    </row>
    <row r="166">
      <c r="A166" s="27" t="s">
        <v>42</v>
      </c>
      <c r="B166" s="27" t="s">
        <v>539</v>
      </c>
      <c r="C166" s="27" t="s">
        <v>540</v>
      </c>
      <c r="D166" s="27" t="s">
        <v>541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4208</f>
        <v>4208.0</v>
      </c>
      <c r="L166" s="34" t="s">
        <v>48</v>
      </c>
      <c r="M166" s="33" t="n">
        <f>4253</f>
        <v>4253.0</v>
      </c>
      <c r="N166" s="34" t="s">
        <v>48</v>
      </c>
      <c r="O166" s="33" t="n">
        <f>3842</f>
        <v>3842.0</v>
      </c>
      <c r="P166" s="34" t="s">
        <v>49</v>
      </c>
      <c r="Q166" s="33" t="n">
        <f>4020</f>
        <v>4020.0</v>
      </c>
      <c r="R166" s="34" t="s">
        <v>50</v>
      </c>
      <c r="S166" s="35" t="n">
        <f>4032.38</f>
        <v>4032.38</v>
      </c>
      <c r="T166" s="32" t="n">
        <f>806899</f>
        <v>806899.0</v>
      </c>
      <c r="U166" s="32" t="n">
        <f>58113</f>
        <v>58113.0</v>
      </c>
      <c r="V166" s="32" t="n">
        <f>3250217483</f>
        <v>3.250217483E9</v>
      </c>
      <c r="W166" s="32" t="n">
        <f>232631680</f>
        <v>2.3263168E8</v>
      </c>
      <c r="X166" s="36" t="n">
        <f>21</f>
        <v>21.0</v>
      </c>
    </row>
    <row r="167">
      <c r="A167" s="27" t="s">
        <v>42</v>
      </c>
      <c r="B167" s="27" t="s">
        <v>542</v>
      </c>
      <c r="C167" s="27" t="s">
        <v>543</v>
      </c>
      <c r="D167" s="27" t="s">
        <v>544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10.0</v>
      </c>
      <c r="K167" s="33" t="n">
        <f>477.8</f>
        <v>477.8</v>
      </c>
      <c r="L167" s="34" t="s">
        <v>48</v>
      </c>
      <c r="M167" s="33" t="n">
        <f>639</f>
        <v>639.0</v>
      </c>
      <c r="N167" s="34" t="s">
        <v>49</v>
      </c>
      <c r="O167" s="33" t="n">
        <f>460</f>
        <v>460.0</v>
      </c>
      <c r="P167" s="34" t="s">
        <v>48</v>
      </c>
      <c r="Q167" s="33" t="n">
        <f>615</f>
        <v>615.0</v>
      </c>
      <c r="R167" s="34" t="s">
        <v>50</v>
      </c>
      <c r="S167" s="35" t="n">
        <f>568.7</f>
        <v>568.7</v>
      </c>
      <c r="T167" s="32" t="n">
        <f>89635300</f>
        <v>8.96353E7</v>
      </c>
      <c r="U167" s="32" t="n">
        <f>5572590</f>
        <v>5572590.0</v>
      </c>
      <c r="V167" s="32" t="n">
        <f>51063153827</f>
        <v>5.1063153827E10</v>
      </c>
      <c r="W167" s="32" t="n">
        <f>3048377827</f>
        <v>3.048377827E9</v>
      </c>
      <c r="X167" s="36" t="n">
        <f>21</f>
        <v>21.0</v>
      </c>
    </row>
    <row r="168">
      <c r="A168" s="27" t="s">
        <v>42</v>
      </c>
      <c r="B168" s="27" t="s">
        <v>545</v>
      </c>
      <c r="C168" s="27" t="s">
        <v>546</v>
      </c>
      <c r="D168" s="27" t="s">
        <v>547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1.0</v>
      </c>
      <c r="K168" s="33" t="n">
        <f>3015</f>
        <v>3015.0</v>
      </c>
      <c r="L168" s="34" t="s">
        <v>48</v>
      </c>
      <c r="M168" s="33" t="n">
        <f>3100</f>
        <v>3100.0</v>
      </c>
      <c r="N168" s="34" t="s">
        <v>64</v>
      </c>
      <c r="O168" s="33" t="n">
        <f>2664</f>
        <v>2664.0</v>
      </c>
      <c r="P168" s="34" t="s">
        <v>49</v>
      </c>
      <c r="Q168" s="33" t="n">
        <f>2752</f>
        <v>2752.0</v>
      </c>
      <c r="R168" s="34" t="s">
        <v>50</v>
      </c>
      <c r="S168" s="35" t="n">
        <f>2813.19</f>
        <v>2813.19</v>
      </c>
      <c r="T168" s="32" t="n">
        <f>32248</f>
        <v>32248.0</v>
      </c>
      <c r="U168" s="32" t="str">
        <f>"－"</f>
        <v>－</v>
      </c>
      <c r="V168" s="32" t="n">
        <f>91613703</f>
        <v>9.1613703E7</v>
      </c>
      <c r="W168" s="32" t="str">
        <f>"－"</f>
        <v>－</v>
      </c>
      <c r="X168" s="36" t="n">
        <f>21</f>
        <v>21.0</v>
      </c>
    </row>
    <row r="169">
      <c r="A169" s="27" t="s">
        <v>42</v>
      </c>
      <c r="B169" s="27" t="s">
        <v>548</v>
      </c>
      <c r="C169" s="27" t="s">
        <v>549</v>
      </c>
      <c r="D169" s="27" t="s">
        <v>550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1.0</v>
      </c>
      <c r="K169" s="33" t="n">
        <f>1419</f>
        <v>1419.0</v>
      </c>
      <c r="L169" s="34" t="s">
        <v>48</v>
      </c>
      <c r="M169" s="33" t="n">
        <f>1488</f>
        <v>1488.0</v>
      </c>
      <c r="N169" s="34" t="s">
        <v>276</v>
      </c>
      <c r="O169" s="33" t="n">
        <f>1357</f>
        <v>1357.0</v>
      </c>
      <c r="P169" s="34" t="s">
        <v>57</v>
      </c>
      <c r="Q169" s="33" t="n">
        <f>1369</f>
        <v>1369.0</v>
      </c>
      <c r="R169" s="34" t="s">
        <v>50</v>
      </c>
      <c r="S169" s="35" t="n">
        <f>1439.29</f>
        <v>1439.29</v>
      </c>
      <c r="T169" s="32" t="n">
        <f>1072737</f>
        <v>1072737.0</v>
      </c>
      <c r="U169" s="32" t="str">
        <f>"－"</f>
        <v>－</v>
      </c>
      <c r="V169" s="32" t="n">
        <f>1533954474</f>
        <v>1.533954474E9</v>
      </c>
      <c r="W169" s="32" t="str">
        <f>"－"</f>
        <v>－</v>
      </c>
      <c r="X169" s="36" t="n">
        <f>21</f>
        <v>21.0</v>
      </c>
    </row>
    <row r="170">
      <c r="A170" s="27" t="s">
        <v>42</v>
      </c>
      <c r="B170" s="27" t="s">
        <v>551</v>
      </c>
      <c r="C170" s="27" t="s">
        <v>552</v>
      </c>
      <c r="D170" s="27" t="s">
        <v>553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268.1</f>
        <v>268.1</v>
      </c>
      <c r="L170" s="34" t="s">
        <v>48</v>
      </c>
      <c r="M170" s="33" t="n">
        <f>269.8</f>
        <v>269.8</v>
      </c>
      <c r="N170" s="34" t="s">
        <v>48</v>
      </c>
      <c r="O170" s="33" t="n">
        <f>253.4</f>
        <v>253.4</v>
      </c>
      <c r="P170" s="34" t="s">
        <v>49</v>
      </c>
      <c r="Q170" s="33" t="n">
        <f>258</f>
        <v>258.0</v>
      </c>
      <c r="R170" s="34" t="s">
        <v>50</v>
      </c>
      <c r="S170" s="35" t="n">
        <f>259.8</f>
        <v>259.8</v>
      </c>
      <c r="T170" s="32" t="n">
        <f>5640930</f>
        <v>5640930.0</v>
      </c>
      <c r="U170" s="32" t="n">
        <f>50</f>
        <v>50.0</v>
      </c>
      <c r="V170" s="32" t="n">
        <f>1463974771</f>
        <v>1.463974771E9</v>
      </c>
      <c r="W170" s="32" t="n">
        <f>13050</f>
        <v>13050.0</v>
      </c>
      <c r="X170" s="36" t="n">
        <f>21</f>
        <v>21.0</v>
      </c>
    </row>
    <row r="171">
      <c r="A171" s="27" t="s">
        <v>42</v>
      </c>
      <c r="B171" s="27" t="s">
        <v>554</v>
      </c>
      <c r="C171" s="27" t="s">
        <v>555</v>
      </c>
      <c r="D171" s="27" t="s">
        <v>556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304.5</f>
        <v>304.5</v>
      </c>
      <c r="L171" s="34" t="s">
        <v>48</v>
      </c>
      <c r="M171" s="33" t="n">
        <f>306.7</f>
        <v>306.7</v>
      </c>
      <c r="N171" s="34" t="s">
        <v>48</v>
      </c>
      <c r="O171" s="33" t="n">
        <f>293.8</f>
        <v>293.8</v>
      </c>
      <c r="P171" s="34" t="s">
        <v>49</v>
      </c>
      <c r="Q171" s="33" t="n">
        <f>298.9</f>
        <v>298.9</v>
      </c>
      <c r="R171" s="34" t="s">
        <v>50</v>
      </c>
      <c r="S171" s="35" t="n">
        <f>299.59</f>
        <v>299.59</v>
      </c>
      <c r="T171" s="32" t="n">
        <f>8509550</f>
        <v>8509550.0</v>
      </c>
      <c r="U171" s="32" t="str">
        <f>"－"</f>
        <v>－</v>
      </c>
      <c r="V171" s="32" t="n">
        <f>2542370375</f>
        <v>2.542370375E9</v>
      </c>
      <c r="W171" s="32" t="str">
        <f>"－"</f>
        <v>－</v>
      </c>
      <c r="X171" s="36" t="n">
        <f>21</f>
        <v>21.0</v>
      </c>
    </row>
    <row r="172">
      <c r="A172" s="27" t="s">
        <v>42</v>
      </c>
      <c r="B172" s="27" t="s">
        <v>557</v>
      </c>
      <c r="C172" s="27" t="s">
        <v>558</v>
      </c>
      <c r="D172" s="27" t="s">
        <v>559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529.7</f>
        <v>529.7</v>
      </c>
      <c r="L172" s="34" t="s">
        <v>48</v>
      </c>
      <c r="M172" s="33" t="n">
        <f>537</f>
        <v>537.0</v>
      </c>
      <c r="N172" s="34" t="s">
        <v>502</v>
      </c>
      <c r="O172" s="33" t="n">
        <f>522.1</f>
        <v>522.1</v>
      </c>
      <c r="P172" s="34" t="s">
        <v>215</v>
      </c>
      <c r="Q172" s="33" t="n">
        <f>536.8</f>
        <v>536.8</v>
      </c>
      <c r="R172" s="34" t="s">
        <v>57</v>
      </c>
      <c r="S172" s="35" t="n">
        <f>533.11</f>
        <v>533.11</v>
      </c>
      <c r="T172" s="32" t="n">
        <f>5780</f>
        <v>5780.0</v>
      </c>
      <c r="U172" s="32" t="str">
        <f>"－"</f>
        <v>－</v>
      </c>
      <c r="V172" s="32" t="n">
        <f>3080719</f>
        <v>3080719.0</v>
      </c>
      <c r="W172" s="32" t="str">
        <f>"－"</f>
        <v>－</v>
      </c>
      <c r="X172" s="36" t="n">
        <f>15</f>
        <v>15.0</v>
      </c>
    </row>
    <row r="173">
      <c r="A173" s="27" t="s">
        <v>42</v>
      </c>
      <c r="B173" s="27" t="s">
        <v>560</v>
      </c>
      <c r="C173" s="27" t="s">
        <v>561</v>
      </c>
      <c r="D173" s="27" t="s">
        <v>562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10.0</v>
      </c>
      <c r="K173" s="33" t="n">
        <f>530.3</f>
        <v>530.3</v>
      </c>
      <c r="L173" s="34" t="s">
        <v>48</v>
      </c>
      <c r="M173" s="33" t="n">
        <f>530.3</f>
        <v>530.3</v>
      </c>
      <c r="N173" s="34" t="s">
        <v>48</v>
      </c>
      <c r="O173" s="33" t="n">
        <f>508.3</f>
        <v>508.3</v>
      </c>
      <c r="P173" s="34" t="s">
        <v>49</v>
      </c>
      <c r="Q173" s="33" t="n">
        <f>517.2</f>
        <v>517.2</v>
      </c>
      <c r="R173" s="34" t="s">
        <v>50</v>
      </c>
      <c r="S173" s="35" t="n">
        <f>517.97</f>
        <v>517.97</v>
      </c>
      <c r="T173" s="32" t="n">
        <f>79590</f>
        <v>79590.0</v>
      </c>
      <c r="U173" s="32" t="str">
        <f>"－"</f>
        <v>－</v>
      </c>
      <c r="V173" s="32" t="n">
        <f>41481608</f>
        <v>4.1481608E7</v>
      </c>
      <c r="W173" s="32" t="str">
        <f>"－"</f>
        <v>－</v>
      </c>
      <c r="X173" s="36" t="n">
        <f>20</f>
        <v>20.0</v>
      </c>
    </row>
    <row r="174">
      <c r="A174" s="27" t="s">
        <v>42</v>
      </c>
      <c r="B174" s="27" t="s">
        <v>563</v>
      </c>
      <c r="C174" s="27" t="s">
        <v>564</v>
      </c>
      <c r="D174" s="27" t="s">
        <v>565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10.0</v>
      </c>
      <c r="K174" s="33" t="n">
        <f>480.4</f>
        <v>480.4</v>
      </c>
      <c r="L174" s="34" t="s">
        <v>48</v>
      </c>
      <c r="M174" s="33" t="n">
        <f>480.4</f>
        <v>480.4</v>
      </c>
      <c r="N174" s="34" t="s">
        <v>48</v>
      </c>
      <c r="O174" s="33" t="n">
        <f>450.7</f>
        <v>450.7</v>
      </c>
      <c r="P174" s="34" t="s">
        <v>49</v>
      </c>
      <c r="Q174" s="33" t="n">
        <f>458</f>
        <v>458.0</v>
      </c>
      <c r="R174" s="34" t="s">
        <v>50</v>
      </c>
      <c r="S174" s="35" t="n">
        <f>461.58</f>
        <v>461.58</v>
      </c>
      <c r="T174" s="32" t="n">
        <f>2163250</f>
        <v>2163250.0</v>
      </c>
      <c r="U174" s="32" t="n">
        <f>2150010</f>
        <v>2150010.0</v>
      </c>
      <c r="V174" s="32" t="n">
        <f>997520205</f>
        <v>9.97520205E8</v>
      </c>
      <c r="W174" s="32" t="n">
        <f>991303610</f>
        <v>9.9130361E8</v>
      </c>
      <c r="X174" s="36" t="n">
        <f>17</f>
        <v>17.0</v>
      </c>
    </row>
    <row r="175">
      <c r="A175" s="27" t="s">
        <v>42</v>
      </c>
      <c r="B175" s="27" t="s">
        <v>566</v>
      </c>
      <c r="C175" s="27" t="s">
        <v>567</v>
      </c>
      <c r="D175" s="27" t="s">
        <v>568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1.0</v>
      </c>
      <c r="K175" s="33" t="n">
        <f>942</f>
        <v>942.0</v>
      </c>
      <c r="L175" s="34" t="s">
        <v>48</v>
      </c>
      <c r="M175" s="33" t="n">
        <f>949</f>
        <v>949.0</v>
      </c>
      <c r="N175" s="34" t="s">
        <v>48</v>
      </c>
      <c r="O175" s="33" t="n">
        <f>825</f>
        <v>825.0</v>
      </c>
      <c r="P175" s="34" t="s">
        <v>57</v>
      </c>
      <c r="Q175" s="33" t="n">
        <f>833</f>
        <v>833.0</v>
      </c>
      <c r="R175" s="34" t="s">
        <v>50</v>
      </c>
      <c r="S175" s="35" t="n">
        <f>882.9</f>
        <v>882.9</v>
      </c>
      <c r="T175" s="32" t="n">
        <f>499641</f>
        <v>499641.0</v>
      </c>
      <c r="U175" s="32" t="n">
        <f>176</f>
        <v>176.0</v>
      </c>
      <c r="V175" s="32" t="n">
        <f>444576732</f>
        <v>4.44576732E8</v>
      </c>
      <c r="W175" s="32" t="n">
        <f>163306</f>
        <v>163306.0</v>
      </c>
      <c r="X175" s="36" t="n">
        <f>21</f>
        <v>21.0</v>
      </c>
    </row>
    <row r="176">
      <c r="A176" s="27" t="s">
        <v>42</v>
      </c>
      <c r="B176" s="27" t="s">
        <v>569</v>
      </c>
      <c r="C176" s="27" t="s">
        <v>570</v>
      </c>
      <c r="D176" s="27" t="s">
        <v>571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1.0</v>
      </c>
      <c r="K176" s="33" t="n">
        <f>3231</f>
        <v>3231.0</v>
      </c>
      <c r="L176" s="34" t="s">
        <v>48</v>
      </c>
      <c r="M176" s="33" t="n">
        <f>3361</f>
        <v>3361.0</v>
      </c>
      <c r="N176" s="34" t="s">
        <v>64</v>
      </c>
      <c r="O176" s="33" t="n">
        <f>2793</f>
        <v>2793.0</v>
      </c>
      <c r="P176" s="34" t="s">
        <v>50</v>
      </c>
      <c r="Q176" s="33" t="n">
        <f>2838</f>
        <v>2838.0</v>
      </c>
      <c r="R176" s="34" t="s">
        <v>50</v>
      </c>
      <c r="S176" s="35" t="n">
        <f>3093.24</f>
        <v>3093.24</v>
      </c>
      <c r="T176" s="32" t="n">
        <f>15153982</f>
        <v>1.5153982E7</v>
      </c>
      <c r="U176" s="32" t="n">
        <f>344565</f>
        <v>344565.0</v>
      </c>
      <c r="V176" s="32" t="n">
        <f>46822334921</f>
        <v>4.6822334921E10</v>
      </c>
      <c r="W176" s="32" t="n">
        <f>1050422900</f>
        <v>1.0504229E9</v>
      </c>
      <c r="X176" s="36" t="n">
        <f>21</f>
        <v>21.0</v>
      </c>
    </row>
    <row r="177">
      <c r="A177" s="27" t="s">
        <v>42</v>
      </c>
      <c r="B177" s="27" t="s">
        <v>572</v>
      </c>
      <c r="C177" s="27" t="s">
        <v>573</v>
      </c>
      <c r="D177" s="27" t="s">
        <v>574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845.3</f>
        <v>845.3</v>
      </c>
      <c r="L177" s="34" t="s">
        <v>48</v>
      </c>
      <c r="M177" s="33" t="n">
        <f>850</f>
        <v>850.0</v>
      </c>
      <c r="N177" s="34" t="s">
        <v>64</v>
      </c>
      <c r="O177" s="33" t="n">
        <f>748.9</f>
        <v>748.9</v>
      </c>
      <c r="P177" s="34" t="s">
        <v>49</v>
      </c>
      <c r="Q177" s="33" t="n">
        <f>776.6</f>
        <v>776.6</v>
      </c>
      <c r="R177" s="34" t="s">
        <v>50</v>
      </c>
      <c r="S177" s="35" t="n">
        <f>790.4</f>
        <v>790.4</v>
      </c>
      <c r="T177" s="32" t="n">
        <f>757780</f>
        <v>757780.0</v>
      </c>
      <c r="U177" s="32" t="n">
        <f>4180</f>
        <v>4180.0</v>
      </c>
      <c r="V177" s="32" t="n">
        <f>595586892</f>
        <v>5.95586892E8</v>
      </c>
      <c r="W177" s="32" t="n">
        <f>3314659</f>
        <v>3314659.0</v>
      </c>
      <c r="X177" s="36" t="n">
        <f>21</f>
        <v>21.0</v>
      </c>
    </row>
    <row r="178">
      <c r="A178" s="27" t="s">
        <v>42</v>
      </c>
      <c r="B178" s="27" t="s">
        <v>575</v>
      </c>
      <c r="C178" s="27" t="s">
        <v>576</v>
      </c>
      <c r="D178" s="27" t="s">
        <v>577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233.8</f>
        <v>233.8</v>
      </c>
      <c r="L178" s="34" t="s">
        <v>48</v>
      </c>
      <c r="M178" s="33" t="n">
        <f>240.4</f>
        <v>240.4</v>
      </c>
      <c r="N178" s="34" t="s">
        <v>578</v>
      </c>
      <c r="O178" s="33" t="n">
        <f>233.4</f>
        <v>233.4</v>
      </c>
      <c r="P178" s="34" t="s">
        <v>48</v>
      </c>
      <c r="Q178" s="33" t="n">
        <f>239.2</f>
        <v>239.2</v>
      </c>
      <c r="R178" s="34" t="s">
        <v>50</v>
      </c>
      <c r="S178" s="35" t="n">
        <f>237.6</f>
        <v>237.6</v>
      </c>
      <c r="T178" s="32" t="n">
        <f>23429920</f>
        <v>2.342992E7</v>
      </c>
      <c r="U178" s="32" t="n">
        <f>16262300</f>
        <v>1.62623E7</v>
      </c>
      <c r="V178" s="32" t="n">
        <f>5532160100</f>
        <v>5.5321601E9</v>
      </c>
      <c r="W178" s="32" t="n">
        <f>3826232230</f>
        <v>3.82623223E9</v>
      </c>
      <c r="X178" s="36" t="n">
        <f>21</f>
        <v>21.0</v>
      </c>
    </row>
    <row r="179">
      <c r="A179" s="27" t="s">
        <v>42</v>
      </c>
      <c r="B179" s="27" t="s">
        <v>579</v>
      </c>
      <c r="C179" s="27" t="s">
        <v>580</v>
      </c>
      <c r="D179" s="27" t="s">
        <v>581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291.4</f>
        <v>291.4</v>
      </c>
      <c r="L179" s="34" t="s">
        <v>48</v>
      </c>
      <c r="M179" s="33" t="n">
        <f>297.6</f>
        <v>297.6</v>
      </c>
      <c r="N179" s="34" t="s">
        <v>48</v>
      </c>
      <c r="O179" s="33" t="n">
        <f>283.2</f>
        <v>283.2</v>
      </c>
      <c r="P179" s="34" t="s">
        <v>49</v>
      </c>
      <c r="Q179" s="33" t="n">
        <f>292.8</f>
        <v>292.8</v>
      </c>
      <c r="R179" s="34" t="s">
        <v>50</v>
      </c>
      <c r="S179" s="35" t="n">
        <f>289.8</f>
        <v>289.8</v>
      </c>
      <c r="T179" s="32" t="n">
        <f>18964310</f>
        <v>1.896431E7</v>
      </c>
      <c r="U179" s="32" t="n">
        <f>3843890</f>
        <v>3843890.0</v>
      </c>
      <c r="V179" s="32" t="n">
        <f>5497999390</f>
        <v>5.49799939E9</v>
      </c>
      <c r="W179" s="32" t="n">
        <f>1112983351</f>
        <v>1.112983351E9</v>
      </c>
      <c r="X179" s="36" t="n">
        <f>21</f>
        <v>21.0</v>
      </c>
    </row>
    <row r="180">
      <c r="A180" s="27" t="s">
        <v>42</v>
      </c>
      <c r="B180" s="27" t="s">
        <v>582</v>
      </c>
      <c r="C180" s="27" t="s">
        <v>583</v>
      </c>
      <c r="D180" s="27" t="s">
        <v>584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10.0</v>
      </c>
      <c r="K180" s="33" t="n">
        <f>292.1</f>
        <v>292.1</v>
      </c>
      <c r="L180" s="34" t="s">
        <v>48</v>
      </c>
      <c r="M180" s="33" t="n">
        <f>296.4</f>
        <v>296.4</v>
      </c>
      <c r="N180" s="34" t="s">
        <v>64</v>
      </c>
      <c r="O180" s="33" t="n">
        <f>278.7</f>
        <v>278.7</v>
      </c>
      <c r="P180" s="34" t="s">
        <v>57</v>
      </c>
      <c r="Q180" s="33" t="n">
        <f>283.9</f>
        <v>283.9</v>
      </c>
      <c r="R180" s="34" t="s">
        <v>50</v>
      </c>
      <c r="S180" s="35" t="n">
        <f>287.8</f>
        <v>287.8</v>
      </c>
      <c r="T180" s="32" t="n">
        <f>2446060</f>
        <v>2446060.0</v>
      </c>
      <c r="U180" s="32" t="n">
        <f>1710</f>
        <v>1710.0</v>
      </c>
      <c r="V180" s="32" t="n">
        <f>701764059</f>
        <v>7.01764059E8</v>
      </c>
      <c r="W180" s="32" t="n">
        <f>531282</f>
        <v>531282.0</v>
      </c>
      <c r="X180" s="36" t="n">
        <f>21</f>
        <v>21.0</v>
      </c>
    </row>
    <row r="181">
      <c r="A181" s="27" t="s">
        <v>42</v>
      </c>
      <c r="B181" s="27" t="s">
        <v>585</v>
      </c>
      <c r="C181" s="27" t="s">
        <v>586</v>
      </c>
      <c r="D181" s="27" t="s">
        <v>587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1.0</v>
      </c>
      <c r="K181" s="33" t="n">
        <f>2239</f>
        <v>2239.0</v>
      </c>
      <c r="L181" s="34" t="s">
        <v>48</v>
      </c>
      <c r="M181" s="33" t="n">
        <f>2239</f>
        <v>2239.0</v>
      </c>
      <c r="N181" s="34" t="s">
        <v>48</v>
      </c>
      <c r="O181" s="33" t="n">
        <f>2168</f>
        <v>2168.0</v>
      </c>
      <c r="P181" s="34" t="s">
        <v>117</v>
      </c>
      <c r="Q181" s="33" t="n">
        <f>2194</f>
        <v>2194.0</v>
      </c>
      <c r="R181" s="34" t="s">
        <v>50</v>
      </c>
      <c r="S181" s="35" t="n">
        <f>2194.62</f>
        <v>2194.62</v>
      </c>
      <c r="T181" s="32" t="n">
        <f>546530</f>
        <v>546530.0</v>
      </c>
      <c r="U181" s="32" t="n">
        <f>10</f>
        <v>10.0</v>
      </c>
      <c r="V181" s="32" t="n">
        <f>1197835228</f>
        <v>1.197835228E9</v>
      </c>
      <c r="W181" s="32" t="n">
        <f>21796</f>
        <v>21796.0</v>
      </c>
      <c r="X181" s="36" t="n">
        <f>21</f>
        <v>21.0</v>
      </c>
    </row>
    <row r="182">
      <c r="A182" s="27" t="s">
        <v>42</v>
      </c>
      <c r="B182" s="27" t="s">
        <v>588</v>
      </c>
      <c r="C182" s="27" t="s">
        <v>589</v>
      </c>
      <c r="D182" s="27" t="s">
        <v>590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1.0</v>
      </c>
      <c r="K182" s="33" t="n">
        <f>1868</f>
        <v>1868.0</v>
      </c>
      <c r="L182" s="34" t="s">
        <v>48</v>
      </c>
      <c r="M182" s="33" t="n">
        <f>1903</f>
        <v>1903.0</v>
      </c>
      <c r="N182" s="34" t="s">
        <v>103</v>
      </c>
      <c r="O182" s="33" t="n">
        <f>1805</f>
        <v>1805.0</v>
      </c>
      <c r="P182" s="34" t="s">
        <v>56</v>
      </c>
      <c r="Q182" s="33" t="n">
        <f>1822</f>
        <v>1822.0</v>
      </c>
      <c r="R182" s="34" t="s">
        <v>50</v>
      </c>
      <c r="S182" s="35" t="n">
        <f>1837</f>
        <v>1837.0</v>
      </c>
      <c r="T182" s="32" t="n">
        <f>4736965</f>
        <v>4736965.0</v>
      </c>
      <c r="U182" s="32" t="n">
        <f>53010</f>
        <v>53010.0</v>
      </c>
      <c r="V182" s="32" t="n">
        <f>8712178317</f>
        <v>8.712178317E9</v>
      </c>
      <c r="W182" s="32" t="n">
        <f>97024360</f>
        <v>9.702436E7</v>
      </c>
      <c r="X182" s="36" t="n">
        <f>21</f>
        <v>21.0</v>
      </c>
    </row>
    <row r="183">
      <c r="A183" s="27" t="s">
        <v>42</v>
      </c>
      <c r="B183" s="27" t="s">
        <v>591</v>
      </c>
      <c r="C183" s="27" t="s">
        <v>592</v>
      </c>
      <c r="D183" s="27" t="s">
        <v>593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1.0</v>
      </c>
      <c r="K183" s="33" t="n">
        <f>1415</f>
        <v>1415.0</v>
      </c>
      <c r="L183" s="34" t="s">
        <v>48</v>
      </c>
      <c r="M183" s="33" t="n">
        <f>1430</f>
        <v>1430.0</v>
      </c>
      <c r="N183" s="34" t="s">
        <v>48</v>
      </c>
      <c r="O183" s="33" t="n">
        <f>1280</f>
        <v>1280.0</v>
      </c>
      <c r="P183" s="34" t="s">
        <v>49</v>
      </c>
      <c r="Q183" s="33" t="n">
        <f>1323</f>
        <v>1323.0</v>
      </c>
      <c r="R183" s="34" t="s">
        <v>50</v>
      </c>
      <c r="S183" s="35" t="n">
        <f>1350.76</f>
        <v>1350.76</v>
      </c>
      <c r="T183" s="32" t="n">
        <f>1621034</f>
        <v>1621034.0</v>
      </c>
      <c r="U183" s="32" t="n">
        <f>359463</f>
        <v>359463.0</v>
      </c>
      <c r="V183" s="32" t="n">
        <f>2192261683</f>
        <v>2.192261683E9</v>
      </c>
      <c r="W183" s="32" t="n">
        <f>489683584</f>
        <v>4.89683584E8</v>
      </c>
      <c r="X183" s="36" t="n">
        <f>21</f>
        <v>21.0</v>
      </c>
    </row>
    <row r="184">
      <c r="A184" s="27" t="s">
        <v>42</v>
      </c>
      <c r="B184" s="27" t="s">
        <v>594</v>
      </c>
      <c r="C184" s="27" t="s">
        <v>595</v>
      </c>
      <c r="D184" s="27" t="s">
        <v>596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1.0</v>
      </c>
      <c r="K184" s="33" t="n">
        <f>1234</f>
        <v>1234.0</v>
      </c>
      <c r="L184" s="34" t="s">
        <v>48</v>
      </c>
      <c r="M184" s="33" t="n">
        <f>1257</f>
        <v>1257.0</v>
      </c>
      <c r="N184" s="34" t="s">
        <v>64</v>
      </c>
      <c r="O184" s="33" t="n">
        <f>1155</f>
        <v>1155.0</v>
      </c>
      <c r="P184" s="34" t="s">
        <v>57</v>
      </c>
      <c r="Q184" s="33" t="n">
        <f>1171</f>
        <v>1171.0</v>
      </c>
      <c r="R184" s="34" t="s">
        <v>50</v>
      </c>
      <c r="S184" s="35" t="n">
        <f>1208.24</f>
        <v>1208.24</v>
      </c>
      <c r="T184" s="32" t="n">
        <f>255776</f>
        <v>255776.0</v>
      </c>
      <c r="U184" s="32" t="str">
        <f>"－"</f>
        <v>－</v>
      </c>
      <c r="V184" s="32" t="n">
        <f>307356726</f>
        <v>3.07356726E8</v>
      </c>
      <c r="W184" s="32" t="str">
        <f>"－"</f>
        <v>－</v>
      </c>
      <c r="X184" s="36" t="n">
        <f>21</f>
        <v>21.0</v>
      </c>
    </row>
    <row r="185">
      <c r="A185" s="27" t="s">
        <v>42</v>
      </c>
      <c r="B185" s="27" t="s">
        <v>597</v>
      </c>
      <c r="C185" s="27" t="s">
        <v>598</v>
      </c>
      <c r="D185" s="27" t="s">
        <v>599</v>
      </c>
      <c r="E185" s="28" t="s">
        <v>46</v>
      </c>
      <c r="F185" s="29" t="s">
        <v>46</v>
      </c>
      <c r="G185" s="30" t="s">
        <v>46</v>
      </c>
      <c r="H185" s="31"/>
      <c r="I185" s="31" t="s">
        <v>47</v>
      </c>
      <c r="J185" s="32" t="n">
        <v>1.0</v>
      </c>
      <c r="K185" s="33" t="n">
        <f>1057</f>
        <v>1057.0</v>
      </c>
      <c r="L185" s="34" t="s">
        <v>48</v>
      </c>
      <c r="M185" s="33" t="n">
        <f>1057</f>
        <v>1057.0</v>
      </c>
      <c r="N185" s="34" t="s">
        <v>48</v>
      </c>
      <c r="O185" s="33" t="n">
        <f>1000</f>
        <v>1000.0</v>
      </c>
      <c r="P185" s="34" t="s">
        <v>49</v>
      </c>
      <c r="Q185" s="33" t="n">
        <f>1006</f>
        <v>1006.0</v>
      </c>
      <c r="R185" s="34" t="s">
        <v>50</v>
      </c>
      <c r="S185" s="35" t="n">
        <f>1031.76</f>
        <v>1031.76</v>
      </c>
      <c r="T185" s="32" t="n">
        <f>123157</f>
        <v>123157.0</v>
      </c>
      <c r="U185" s="32" t="str">
        <f>"－"</f>
        <v>－</v>
      </c>
      <c r="V185" s="32" t="n">
        <f>126429982</f>
        <v>1.26429982E8</v>
      </c>
      <c r="W185" s="32" t="str">
        <f>"－"</f>
        <v>－</v>
      </c>
      <c r="X185" s="36" t="n">
        <f>21</f>
        <v>21.0</v>
      </c>
    </row>
    <row r="186">
      <c r="A186" s="27" t="s">
        <v>42</v>
      </c>
      <c r="B186" s="27" t="s">
        <v>600</v>
      </c>
      <c r="C186" s="27" t="s">
        <v>601</v>
      </c>
      <c r="D186" s="27" t="s">
        <v>602</v>
      </c>
      <c r="E186" s="28" t="s">
        <v>46</v>
      </c>
      <c r="F186" s="29" t="s">
        <v>46</v>
      </c>
      <c r="G186" s="30" t="s">
        <v>46</v>
      </c>
      <c r="H186" s="31"/>
      <c r="I186" s="31" t="s">
        <v>47</v>
      </c>
      <c r="J186" s="32" t="n">
        <v>10.0</v>
      </c>
      <c r="K186" s="33" t="n">
        <f>190.9</f>
        <v>190.9</v>
      </c>
      <c r="L186" s="34" t="s">
        <v>48</v>
      </c>
      <c r="M186" s="33" t="n">
        <f>192.1</f>
        <v>192.1</v>
      </c>
      <c r="N186" s="34" t="s">
        <v>48</v>
      </c>
      <c r="O186" s="33" t="n">
        <f>168.5</f>
        <v>168.5</v>
      </c>
      <c r="P186" s="34" t="s">
        <v>50</v>
      </c>
      <c r="Q186" s="33" t="n">
        <f>170.7</f>
        <v>170.7</v>
      </c>
      <c r="R186" s="34" t="s">
        <v>50</v>
      </c>
      <c r="S186" s="35" t="n">
        <f>180.89</f>
        <v>180.89</v>
      </c>
      <c r="T186" s="32" t="n">
        <f>6581820</f>
        <v>6581820.0</v>
      </c>
      <c r="U186" s="32" t="n">
        <f>55200</f>
        <v>55200.0</v>
      </c>
      <c r="V186" s="32" t="n">
        <f>1185465096</f>
        <v>1.185465096E9</v>
      </c>
      <c r="W186" s="32" t="n">
        <f>10073722</f>
        <v>1.0073722E7</v>
      </c>
      <c r="X186" s="36" t="n">
        <f>21</f>
        <v>21.0</v>
      </c>
    </row>
    <row r="187">
      <c r="A187" s="27" t="s">
        <v>42</v>
      </c>
      <c r="B187" s="27" t="s">
        <v>603</v>
      </c>
      <c r="C187" s="27" t="s">
        <v>604</v>
      </c>
      <c r="D187" s="27" t="s">
        <v>605</v>
      </c>
      <c r="E187" s="28" t="s">
        <v>46</v>
      </c>
      <c r="F187" s="29" t="s">
        <v>46</v>
      </c>
      <c r="G187" s="30" t="s">
        <v>46</v>
      </c>
      <c r="H187" s="31"/>
      <c r="I187" s="31" t="s">
        <v>416</v>
      </c>
      <c r="J187" s="32" t="n">
        <v>1.0</v>
      </c>
      <c r="K187" s="33" t="n">
        <f>8585</f>
        <v>8585.0</v>
      </c>
      <c r="L187" s="34" t="s">
        <v>48</v>
      </c>
      <c r="M187" s="33" t="n">
        <f>8700</f>
        <v>8700.0</v>
      </c>
      <c r="N187" s="34" t="s">
        <v>48</v>
      </c>
      <c r="O187" s="33" t="n">
        <f>7457</f>
        <v>7457.0</v>
      </c>
      <c r="P187" s="34" t="s">
        <v>49</v>
      </c>
      <c r="Q187" s="33" t="n">
        <f>7751</f>
        <v>7751.0</v>
      </c>
      <c r="R187" s="34" t="s">
        <v>50</v>
      </c>
      <c r="S187" s="35" t="n">
        <f>8137.1</f>
        <v>8137.1</v>
      </c>
      <c r="T187" s="32" t="n">
        <f>26949</f>
        <v>26949.0</v>
      </c>
      <c r="U187" s="32" t="str">
        <f>"－"</f>
        <v>－</v>
      </c>
      <c r="V187" s="32" t="n">
        <f>213239832</f>
        <v>2.13239832E8</v>
      </c>
      <c r="W187" s="32" t="str">
        <f>"－"</f>
        <v>－</v>
      </c>
      <c r="X187" s="36" t="n">
        <f>21</f>
        <v>21.0</v>
      </c>
    </row>
    <row r="188">
      <c r="A188" s="27" t="s">
        <v>42</v>
      </c>
      <c r="B188" s="27" t="s">
        <v>606</v>
      </c>
      <c r="C188" s="27" t="s">
        <v>607</v>
      </c>
      <c r="D188" s="27" t="s">
        <v>608</v>
      </c>
      <c r="E188" s="28" t="s">
        <v>46</v>
      </c>
      <c r="F188" s="29" t="s">
        <v>46</v>
      </c>
      <c r="G188" s="30" t="s">
        <v>46</v>
      </c>
      <c r="H188" s="31"/>
      <c r="I188" s="31" t="s">
        <v>416</v>
      </c>
      <c r="J188" s="32" t="n">
        <v>1.0</v>
      </c>
      <c r="K188" s="33" t="n">
        <f>5851</f>
        <v>5851.0</v>
      </c>
      <c r="L188" s="34" t="s">
        <v>48</v>
      </c>
      <c r="M188" s="33" t="n">
        <f>6440</f>
        <v>6440.0</v>
      </c>
      <c r="N188" s="34" t="s">
        <v>57</v>
      </c>
      <c r="O188" s="33" t="n">
        <f>5826</f>
        <v>5826.0</v>
      </c>
      <c r="P188" s="34" t="s">
        <v>48</v>
      </c>
      <c r="Q188" s="33" t="n">
        <f>6355</f>
        <v>6355.0</v>
      </c>
      <c r="R188" s="34" t="s">
        <v>50</v>
      </c>
      <c r="S188" s="35" t="n">
        <f>6171.71</f>
        <v>6171.71</v>
      </c>
      <c r="T188" s="32" t="n">
        <f>10973</f>
        <v>10973.0</v>
      </c>
      <c r="U188" s="32" t="str">
        <f>"－"</f>
        <v>－</v>
      </c>
      <c r="V188" s="32" t="n">
        <f>67574789</f>
        <v>6.7574789E7</v>
      </c>
      <c r="W188" s="32" t="str">
        <f>"－"</f>
        <v>－</v>
      </c>
      <c r="X188" s="36" t="n">
        <f>21</f>
        <v>21.0</v>
      </c>
    </row>
    <row r="189">
      <c r="A189" s="27" t="s">
        <v>42</v>
      </c>
      <c r="B189" s="27" t="s">
        <v>609</v>
      </c>
      <c r="C189" s="27" t="s">
        <v>610</v>
      </c>
      <c r="D189" s="27" t="s">
        <v>611</v>
      </c>
      <c r="E189" s="28" t="s">
        <v>46</v>
      </c>
      <c r="F189" s="29" t="s">
        <v>46</v>
      </c>
      <c r="G189" s="30" t="s">
        <v>46</v>
      </c>
      <c r="H189" s="31"/>
      <c r="I189" s="31" t="s">
        <v>416</v>
      </c>
      <c r="J189" s="32" t="n">
        <v>1.0</v>
      </c>
      <c r="K189" s="33" t="n">
        <f>70120</f>
        <v>70120.0</v>
      </c>
      <c r="L189" s="34" t="s">
        <v>48</v>
      </c>
      <c r="M189" s="33" t="n">
        <f>73600</f>
        <v>73600.0</v>
      </c>
      <c r="N189" s="34" t="s">
        <v>48</v>
      </c>
      <c r="O189" s="33" t="n">
        <f>42500</f>
        <v>42500.0</v>
      </c>
      <c r="P189" s="34" t="s">
        <v>50</v>
      </c>
      <c r="Q189" s="33" t="n">
        <f>43310</f>
        <v>43310.0</v>
      </c>
      <c r="R189" s="34" t="s">
        <v>50</v>
      </c>
      <c r="S189" s="35" t="n">
        <f>54727.62</f>
        <v>54727.62</v>
      </c>
      <c r="T189" s="32" t="n">
        <f>91611</f>
        <v>91611.0</v>
      </c>
      <c r="U189" s="32" t="str">
        <f>"－"</f>
        <v>－</v>
      </c>
      <c r="V189" s="32" t="n">
        <f>5141288180</f>
        <v>5.14128818E9</v>
      </c>
      <c r="W189" s="32" t="str">
        <f>"－"</f>
        <v>－</v>
      </c>
      <c r="X189" s="36" t="n">
        <f>21</f>
        <v>21.0</v>
      </c>
    </row>
    <row r="190">
      <c r="A190" s="27" t="s">
        <v>42</v>
      </c>
      <c r="B190" s="27" t="s">
        <v>612</v>
      </c>
      <c r="C190" s="27" t="s">
        <v>613</v>
      </c>
      <c r="D190" s="27" t="s">
        <v>614</v>
      </c>
      <c r="E190" s="28" t="s">
        <v>46</v>
      </c>
      <c r="F190" s="29" t="s">
        <v>46</v>
      </c>
      <c r="G190" s="30" t="s">
        <v>46</v>
      </c>
      <c r="H190" s="31"/>
      <c r="I190" s="31" t="s">
        <v>416</v>
      </c>
      <c r="J190" s="32" t="n">
        <v>1.0</v>
      </c>
      <c r="K190" s="33" t="n">
        <f>2760</f>
        <v>2760.0</v>
      </c>
      <c r="L190" s="34" t="s">
        <v>48</v>
      </c>
      <c r="M190" s="33" t="n">
        <f>3390</f>
        <v>3390.0</v>
      </c>
      <c r="N190" s="34" t="s">
        <v>181</v>
      </c>
      <c r="O190" s="33" t="n">
        <f>2688</f>
        <v>2688.0</v>
      </c>
      <c r="P190" s="34" t="s">
        <v>238</v>
      </c>
      <c r="Q190" s="33" t="n">
        <f>3070</f>
        <v>3070.0</v>
      </c>
      <c r="R190" s="34" t="s">
        <v>50</v>
      </c>
      <c r="S190" s="35" t="n">
        <f>2920.52</f>
        <v>2920.52</v>
      </c>
      <c r="T190" s="32" t="n">
        <f>231806</f>
        <v>231806.0</v>
      </c>
      <c r="U190" s="32" t="str">
        <f>"－"</f>
        <v>－</v>
      </c>
      <c r="V190" s="32" t="n">
        <f>686248860</f>
        <v>6.8624886E8</v>
      </c>
      <c r="W190" s="32" t="str">
        <f>"－"</f>
        <v>－</v>
      </c>
      <c r="X190" s="36" t="n">
        <f>21</f>
        <v>21.0</v>
      </c>
    </row>
    <row r="191">
      <c r="A191" s="27" t="s">
        <v>42</v>
      </c>
      <c r="B191" s="27" t="s">
        <v>615</v>
      </c>
      <c r="C191" s="27" t="s">
        <v>616</v>
      </c>
      <c r="D191" s="27" t="s">
        <v>617</v>
      </c>
      <c r="E191" s="28" t="s">
        <v>46</v>
      </c>
      <c r="F191" s="29" t="s">
        <v>46</v>
      </c>
      <c r="G191" s="30" t="s">
        <v>46</v>
      </c>
      <c r="H191" s="31"/>
      <c r="I191" s="31" t="s">
        <v>416</v>
      </c>
      <c r="J191" s="32" t="n">
        <v>1.0</v>
      </c>
      <c r="K191" s="33" t="n">
        <f>263400</f>
        <v>263400.0</v>
      </c>
      <c r="L191" s="34" t="s">
        <v>48</v>
      </c>
      <c r="M191" s="33" t="n">
        <f>266750</f>
        <v>266750.0</v>
      </c>
      <c r="N191" s="34" t="s">
        <v>64</v>
      </c>
      <c r="O191" s="33" t="n">
        <f>164200</f>
        <v>164200.0</v>
      </c>
      <c r="P191" s="34" t="s">
        <v>117</v>
      </c>
      <c r="Q191" s="33" t="n">
        <f>191000</f>
        <v>191000.0</v>
      </c>
      <c r="R191" s="34" t="s">
        <v>50</v>
      </c>
      <c r="S191" s="35" t="n">
        <f>222792.86</f>
        <v>222792.86</v>
      </c>
      <c r="T191" s="32" t="n">
        <f>353260</f>
        <v>353260.0</v>
      </c>
      <c r="U191" s="32" t="n">
        <f>3000</f>
        <v>3000.0</v>
      </c>
      <c r="V191" s="32" t="n">
        <f>77215379000</f>
        <v>7.7215379E10</v>
      </c>
      <c r="W191" s="32" t="n">
        <f>571500000</f>
        <v>5.715E8</v>
      </c>
      <c r="X191" s="36" t="n">
        <f>21</f>
        <v>21.0</v>
      </c>
    </row>
    <row r="192">
      <c r="A192" s="27" t="s">
        <v>42</v>
      </c>
      <c r="B192" s="27" t="s">
        <v>618</v>
      </c>
      <c r="C192" s="27" t="s">
        <v>619</v>
      </c>
      <c r="D192" s="27" t="s">
        <v>620</v>
      </c>
      <c r="E192" s="28" t="s">
        <v>46</v>
      </c>
      <c r="F192" s="29" t="s">
        <v>46</v>
      </c>
      <c r="G192" s="30" t="s">
        <v>46</v>
      </c>
      <c r="H192" s="31"/>
      <c r="I192" s="31" t="s">
        <v>416</v>
      </c>
      <c r="J192" s="32" t="n">
        <v>1.0</v>
      </c>
      <c r="K192" s="33" t="n">
        <f>1096</f>
        <v>1096.0</v>
      </c>
      <c r="L192" s="34" t="s">
        <v>48</v>
      </c>
      <c r="M192" s="33" t="n">
        <f>1338</f>
        <v>1338.0</v>
      </c>
      <c r="N192" s="34" t="s">
        <v>49</v>
      </c>
      <c r="O192" s="33" t="n">
        <f>1060</f>
        <v>1060.0</v>
      </c>
      <c r="P192" s="34" t="s">
        <v>64</v>
      </c>
      <c r="Q192" s="33" t="n">
        <f>1214</f>
        <v>1214.0</v>
      </c>
      <c r="R192" s="34" t="s">
        <v>50</v>
      </c>
      <c r="S192" s="35" t="n">
        <f>1154.81</f>
        <v>1154.81</v>
      </c>
      <c r="T192" s="32" t="n">
        <f>396753</f>
        <v>396753.0</v>
      </c>
      <c r="U192" s="32" t="str">
        <f>"－"</f>
        <v>－</v>
      </c>
      <c r="V192" s="32" t="n">
        <f>473963317</f>
        <v>4.73963317E8</v>
      </c>
      <c r="W192" s="32" t="str">
        <f>"－"</f>
        <v>－</v>
      </c>
      <c r="X192" s="36" t="n">
        <f>21</f>
        <v>21.0</v>
      </c>
    </row>
    <row r="193">
      <c r="A193" s="27" t="s">
        <v>42</v>
      </c>
      <c r="B193" s="27" t="s">
        <v>621</v>
      </c>
      <c r="C193" s="27" t="s">
        <v>622</v>
      </c>
      <c r="D193" s="27" t="s">
        <v>623</v>
      </c>
      <c r="E193" s="28" t="s">
        <v>46</v>
      </c>
      <c r="F193" s="29" t="s">
        <v>46</v>
      </c>
      <c r="G193" s="30" t="s">
        <v>46</v>
      </c>
      <c r="H193" s="31"/>
      <c r="I193" s="31" t="s">
        <v>416</v>
      </c>
      <c r="J193" s="32" t="n">
        <v>1.0</v>
      </c>
      <c r="K193" s="33" t="n">
        <f>2104</f>
        <v>2104.0</v>
      </c>
      <c r="L193" s="34" t="s">
        <v>48</v>
      </c>
      <c r="M193" s="33" t="n">
        <f>3241</f>
        <v>3241.0</v>
      </c>
      <c r="N193" s="34" t="s">
        <v>49</v>
      </c>
      <c r="O193" s="33" t="n">
        <f>1950</f>
        <v>1950.0</v>
      </c>
      <c r="P193" s="34" t="s">
        <v>48</v>
      </c>
      <c r="Q193" s="33" t="n">
        <f>2803</f>
        <v>2803.0</v>
      </c>
      <c r="R193" s="34" t="s">
        <v>50</v>
      </c>
      <c r="S193" s="35" t="n">
        <f>2558.71</f>
        <v>2558.71</v>
      </c>
      <c r="T193" s="32" t="n">
        <f>31512108</f>
        <v>3.1512108E7</v>
      </c>
      <c r="U193" s="32" t="n">
        <f>1878</f>
        <v>1878.0</v>
      </c>
      <c r="V193" s="32" t="n">
        <f>80048570864</f>
        <v>8.0048570864E10</v>
      </c>
      <c r="W193" s="32" t="n">
        <f>4026386</f>
        <v>4026386.0</v>
      </c>
      <c r="X193" s="36" t="n">
        <f>21</f>
        <v>21.0</v>
      </c>
    </row>
    <row r="194">
      <c r="A194" s="27" t="s">
        <v>42</v>
      </c>
      <c r="B194" s="27" t="s">
        <v>624</v>
      </c>
      <c r="C194" s="27" t="s">
        <v>625</v>
      </c>
      <c r="D194" s="27" t="s">
        <v>626</v>
      </c>
      <c r="E194" s="28" t="s">
        <v>46</v>
      </c>
      <c r="F194" s="29" t="s">
        <v>46</v>
      </c>
      <c r="G194" s="30" t="s">
        <v>46</v>
      </c>
      <c r="H194" s="31"/>
      <c r="I194" s="31" t="s">
        <v>416</v>
      </c>
      <c r="J194" s="32" t="n">
        <v>1.0</v>
      </c>
      <c r="K194" s="33" t="n">
        <f>730</f>
        <v>730.0</v>
      </c>
      <c r="L194" s="34" t="s">
        <v>48</v>
      </c>
      <c r="M194" s="33" t="n">
        <f>780</f>
        <v>780.0</v>
      </c>
      <c r="N194" s="34" t="s">
        <v>48</v>
      </c>
      <c r="O194" s="33" t="n">
        <f>510</f>
        <v>510.0</v>
      </c>
      <c r="P194" s="34" t="s">
        <v>49</v>
      </c>
      <c r="Q194" s="33" t="n">
        <f>528</f>
        <v>528.0</v>
      </c>
      <c r="R194" s="34" t="s">
        <v>50</v>
      </c>
      <c r="S194" s="35" t="n">
        <f>603.81</f>
        <v>603.81</v>
      </c>
      <c r="T194" s="32" t="n">
        <f>18536739</f>
        <v>1.8536739E7</v>
      </c>
      <c r="U194" s="32" t="n">
        <f>1241</f>
        <v>1241.0</v>
      </c>
      <c r="V194" s="32" t="n">
        <f>10738394471</f>
        <v>1.0738394471E10</v>
      </c>
      <c r="W194" s="32" t="n">
        <f>691325</f>
        <v>691325.0</v>
      </c>
      <c r="X194" s="36" t="n">
        <f>21</f>
        <v>21.0</v>
      </c>
    </row>
    <row r="195">
      <c r="A195" s="27" t="s">
        <v>42</v>
      </c>
      <c r="B195" s="27" t="s">
        <v>627</v>
      </c>
      <c r="C195" s="27" t="s">
        <v>628</v>
      </c>
      <c r="D195" s="27" t="s">
        <v>629</v>
      </c>
      <c r="E195" s="28" t="s">
        <v>46</v>
      </c>
      <c r="F195" s="29" t="s">
        <v>46</v>
      </c>
      <c r="G195" s="30" t="s">
        <v>46</v>
      </c>
      <c r="H195" s="31"/>
      <c r="I195" s="31" t="s">
        <v>416</v>
      </c>
      <c r="J195" s="32" t="n">
        <v>1.0</v>
      </c>
      <c r="K195" s="33" t="n">
        <f>34510</f>
        <v>34510.0</v>
      </c>
      <c r="L195" s="34" t="s">
        <v>48</v>
      </c>
      <c r="M195" s="33" t="n">
        <f>35190</f>
        <v>35190.0</v>
      </c>
      <c r="N195" s="34" t="s">
        <v>64</v>
      </c>
      <c r="O195" s="33" t="n">
        <f>29080</f>
        <v>29080.0</v>
      </c>
      <c r="P195" s="34" t="s">
        <v>57</v>
      </c>
      <c r="Q195" s="33" t="n">
        <f>30110</f>
        <v>30110.0</v>
      </c>
      <c r="R195" s="34" t="s">
        <v>50</v>
      </c>
      <c r="S195" s="35" t="n">
        <f>32360.24</f>
        <v>32360.24</v>
      </c>
      <c r="T195" s="32" t="n">
        <f>22348</f>
        <v>22348.0</v>
      </c>
      <c r="U195" s="32" t="str">
        <f>"－"</f>
        <v>－</v>
      </c>
      <c r="V195" s="32" t="n">
        <f>726363460</f>
        <v>7.2636346E8</v>
      </c>
      <c r="W195" s="32" t="str">
        <f>"－"</f>
        <v>－</v>
      </c>
      <c r="X195" s="36" t="n">
        <f>21</f>
        <v>21.0</v>
      </c>
    </row>
    <row r="196">
      <c r="A196" s="27" t="s">
        <v>42</v>
      </c>
      <c r="B196" s="27" t="s">
        <v>630</v>
      </c>
      <c r="C196" s="27" t="s">
        <v>631</v>
      </c>
      <c r="D196" s="27" t="s">
        <v>632</v>
      </c>
      <c r="E196" s="28" t="s">
        <v>46</v>
      </c>
      <c r="F196" s="29" t="s">
        <v>46</v>
      </c>
      <c r="G196" s="30" t="s">
        <v>46</v>
      </c>
      <c r="H196" s="31"/>
      <c r="I196" s="31" t="s">
        <v>416</v>
      </c>
      <c r="J196" s="32" t="n">
        <v>1.0</v>
      </c>
      <c r="K196" s="33" t="n">
        <f>2112</f>
        <v>2112.0</v>
      </c>
      <c r="L196" s="34" t="s">
        <v>48</v>
      </c>
      <c r="M196" s="33" t="n">
        <f>2290</f>
        <v>2290.0</v>
      </c>
      <c r="N196" s="34" t="s">
        <v>57</v>
      </c>
      <c r="O196" s="33" t="n">
        <f>2091</f>
        <v>2091.0</v>
      </c>
      <c r="P196" s="34" t="s">
        <v>64</v>
      </c>
      <c r="Q196" s="33" t="n">
        <f>2252</f>
        <v>2252.0</v>
      </c>
      <c r="R196" s="34" t="s">
        <v>50</v>
      </c>
      <c r="S196" s="35" t="n">
        <f>2187.62</f>
        <v>2187.62</v>
      </c>
      <c r="T196" s="32" t="n">
        <f>224600</f>
        <v>224600.0</v>
      </c>
      <c r="U196" s="32" t="str">
        <f>"－"</f>
        <v>－</v>
      </c>
      <c r="V196" s="32" t="n">
        <f>491704803</f>
        <v>4.91704803E8</v>
      </c>
      <c r="W196" s="32" t="str">
        <f>"－"</f>
        <v>－</v>
      </c>
      <c r="X196" s="36" t="n">
        <f>21</f>
        <v>21.0</v>
      </c>
    </row>
    <row r="197">
      <c r="A197" s="27" t="s">
        <v>42</v>
      </c>
      <c r="B197" s="27" t="s">
        <v>633</v>
      </c>
      <c r="C197" s="27" t="s">
        <v>634</v>
      </c>
      <c r="D197" s="27" t="s">
        <v>635</v>
      </c>
      <c r="E197" s="28" t="s">
        <v>46</v>
      </c>
      <c r="F197" s="29" t="s">
        <v>46</v>
      </c>
      <c r="G197" s="30" t="s">
        <v>46</v>
      </c>
      <c r="H197" s="31"/>
      <c r="I197" s="31" t="s">
        <v>416</v>
      </c>
      <c r="J197" s="32" t="n">
        <v>1.0</v>
      </c>
      <c r="K197" s="33" t="n">
        <f>8000</f>
        <v>8000.0</v>
      </c>
      <c r="L197" s="34" t="s">
        <v>48</v>
      </c>
      <c r="M197" s="33" t="n">
        <f>8250</f>
        <v>8250.0</v>
      </c>
      <c r="N197" s="34" t="s">
        <v>276</v>
      </c>
      <c r="O197" s="33" t="n">
        <f>7360</f>
        <v>7360.0</v>
      </c>
      <c r="P197" s="34" t="s">
        <v>57</v>
      </c>
      <c r="Q197" s="33" t="n">
        <f>7370</f>
        <v>7370.0</v>
      </c>
      <c r="R197" s="34" t="s">
        <v>50</v>
      </c>
      <c r="S197" s="35" t="n">
        <f>7821</f>
        <v>7821.0</v>
      </c>
      <c r="T197" s="32" t="n">
        <f>17051</f>
        <v>17051.0</v>
      </c>
      <c r="U197" s="32" t="str">
        <f>"－"</f>
        <v>－</v>
      </c>
      <c r="V197" s="32" t="n">
        <f>134988880</f>
        <v>1.3498888E8</v>
      </c>
      <c r="W197" s="32" t="str">
        <f>"－"</f>
        <v>－</v>
      </c>
      <c r="X197" s="36" t="n">
        <f>21</f>
        <v>21.0</v>
      </c>
    </row>
    <row r="198">
      <c r="A198" s="27" t="s">
        <v>42</v>
      </c>
      <c r="B198" s="27" t="s">
        <v>636</v>
      </c>
      <c r="C198" s="27" t="s">
        <v>637</v>
      </c>
      <c r="D198" s="27" t="s">
        <v>638</v>
      </c>
      <c r="E198" s="28" t="s">
        <v>46</v>
      </c>
      <c r="F198" s="29" t="s">
        <v>46</v>
      </c>
      <c r="G198" s="30" t="s">
        <v>46</v>
      </c>
      <c r="H198" s="31"/>
      <c r="I198" s="31" t="s">
        <v>416</v>
      </c>
      <c r="J198" s="32" t="n">
        <v>1.0</v>
      </c>
      <c r="K198" s="33" t="n">
        <f>27550</f>
        <v>27550.0</v>
      </c>
      <c r="L198" s="34" t="s">
        <v>48</v>
      </c>
      <c r="M198" s="33" t="n">
        <f>28925</f>
        <v>28925.0</v>
      </c>
      <c r="N198" s="34" t="s">
        <v>48</v>
      </c>
      <c r="O198" s="33" t="n">
        <f>26505</f>
        <v>26505.0</v>
      </c>
      <c r="P198" s="34" t="s">
        <v>103</v>
      </c>
      <c r="Q198" s="33" t="n">
        <f>26935</f>
        <v>26935.0</v>
      </c>
      <c r="R198" s="34" t="s">
        <v>50</v>
      </c>
      <c r="S198" s="35" t="n">
        <f>27300.95</f>
        <v>27300.95</v>
      </c>
      <c r="T198" s="32" t="n">
        <f>1011</f>
        <v>1011.0</v>
      </c>
      <c r="U198" s="32" t="str">
        <f>"－"</f>
        <v>－</v>
      </c>
      <c r="V198" s="32" t="n">
        <f>27560510</f>
        <v>2.756051E7</v>
      </c>
      <c r="W198" s="32" t="str">
        <f>"－"</f>
        <v>－</v>
      </c>
      <c r="X198" s="36" t="n">
        <f>21</f>
        <v>21.0</v>
      </c>
    </row>
    <row r="199">
      <c r="A199" s="27" t="s">
        <v>42</v>
      </c>
      <c r="B199" s="27" t="s">
        <v>639</v>
      </c>
      <c r="C199" s="27" t="s">
        <v>640</v>
      </c>
      <c r="D199" s="27" t="s">
        <v>641</v>
      </c>
      <c r="E199" s="28" t="s">
        <v>46</v>
      </c>
      <c r="F199" s="29" t="s">
        <v>46</v>
      </c>
      <c r="G199" s="30" t="s">
        <v>46</v>
      </c>
      <c r="H199" s="31"/>
      <c r="I199" s="31" t="s">
        <v>416</v>
      </c>
      <c r="J199" s="32" t="n">
        <v>1.0</v>
      </c>
      <c r="K199" s="33" t="n">
        <f>34200</f>
        <v>34200.0</v>
      </c>
      <c r="L199" s="34" t="s">
        <v>48</v>
      </c>
      <c r="M199" s="33" t="n">
        <f>34410</f>
        <v>34410.0</v>
      </c>
      <c r="N199" s="34" t="s">
        <v>64</v>
      </c>
      <c r="O199" s="33" t="n">
        <f>31700</f>
        <v>31700.0</v>
      </c>
      <c r="P199" s="34" t="s">
        <v>49</v>
      </c>
      <c r="Q199" s="33" t="n">
        <f>32460</f>
        <v>32460.0</v>
      </c>
      <c r="R199" s="34" t="s">
        <v>50</v>
      </c>
      <c r="S199" s="35" t="n">
        <f>32992.86</f>
        <v>32992.86</v>
      </c>
      <c r="T199" s="32" t="n">
        <f>5510</f>
        <v>5510.0</v>
      </c>
      <c r="U199" s="32" t="str">
        <f>"－"</f>
        <v>－</v>
      </c>
      <c r="V199" s="32" t="n">
        <f>183119900</f>
        <v>1.831199E8</v>
      </c>
      <c r="W199" s="32" t="str">
        <f>"－"</f>
        <v>－</v>
      </c>
      <c r="X199" s="36" t="n">
        <f>21</f>
        <v>21.0</v>
      </c>
    </row>
    <row r="200">
      <c r="A200" s="27" t="s">
        <v>42</v>
      </c>
      <c r="B200" s="27" t="s">
        <v>642</v>
      </c>
      <c r="C200" s="27" t="s">
        <v>643</v>
      </c>
      <c r="D200" s="27" t="s">
        <v>644</v>
      </c>
      <c r="E200" s="28" t="s">
        <v>46</v>
      </c>
      <c r="F200" s="29" t="s">
        <v>46</v>
      </c>
      <c r="G200" s="30" t="s">
        <v>46</v>
      </c>
      <c r="H200" s="31"/>
      <c r="I200" s="31" t="s">
        <v>416</v>
      </c>
      <c r="J200" s="32" t="n">
        <v>1.0</v>
      </c>
      <c r="K200" s="33" t="n">
        <f>20410</f>
        <v>20410.0</v>
      </c>
      <c r="L200" s="34" t="s">
        <v>48</v>
      </c>
      <c r="M200" s="33" t="n">
        <f>20685</f>
        <v>20685.0</v>
      </c>
      <c r="N200" s="34" t="s">
        <v>64</v>
      </c>
      <c r="O200" s="33" t="n">
        <f>19310</f>
        <v>19310.0</v>
      </c>
      <c r="P200" s="34" t="s">
        <v>56</v>
      </c>
      <c r="Q200" s="33" t="n">
        <f>19310</f>
        <v>19310.0</v>
      </c>
      <c r="R200" s="34" t="s">
        <v>56</v>
      </c>
      <c r="S200" s="35" t="n">
        <f>19881.67</f>
        <v>19881.67</v>
      </c>
      <c r="T200" s="32" t="n">
        <f>562</f>
        <v>562.0</v>
      </c>
      <c r="U200" s="32" t="str">
        <f>"－"</f>
        <v>－</v>
      </c>
      <c r="V200" s="32" t="n">
        <f>11308620</f>
        <v>1.130862E7</v>
      </c>
      <c r="W200" s="32" t="str">
        <f>"－"</f>
        <v>－</v>
      </c>
      <c r="X200" s="36" t="n">
        <f>15</f>
        <v>15.0</v>
      </c>
    </row>
    <row r="201">
      <c r="A201" s="27" t="s">
        <v>42</v>
      </c>
      <c r="B201" s="27" t="s">
        <v>645</v>
      </c>
      <c r="C201" s="27" t="s">
        <v>646</v>
      </c>
      <c r="D201" s="27" t="s">
        <v>647</v>
      </c>
      <c r="E201" s="28" t="s">
        <v>46</v>
      </c>
      <c r="F201" s="29" t="s">
        <v>46</v>
      </c>
      <c r="G201" s="30" t="s">
        <v>46</v>
      </c>
      <c r="H201" s="31"/>
      <c r="I201" s="31" t="s">
        <v>416</v>
      </c>
      <c r="J201" s="32" t="n">
        <v>1.0</v>
      </c>
      <c r="K201" s="33" t="n">
        <f>29000</f>
        <v>29000.0</v>
      </c>
      <c r="L201" s="34" t="s">
        <v>48</v>
      </c>
      <c r="M201" s="33" t="n">
        <f>29100</f>
        <v>29100.0</v>
      </c>
      <c r="N201" s="34" t="s">
        <v>48</v>
      </c>
      <c r="O201" s="33" t="n">
        <f>22600</f>
        <v>22600.0</v>
      </c>
      <c r="P201" s="34" t="s">
        <v>57</v>
      </c>
      <c r="Q201" s="33" t="n">
        <f>22900</f>
        <v>22900.0</v>
      </c>
      <c r="R201" s="34" t="s">
        <v>50</v>
      </c>
      <c r="S201" s="35" t="n">
        <f>25705</f>
        <v>25705.0</v>
      </c>
      <c r="T201" s="32" t="n">
        <f>45325</f>
        <v>45325.0</v>
      </c>
      <c r="U201" s="32" t="str">
        <f>"－"</f>
        <v>－</v>
      </c>
      <c r="V201" s="32" t="n">
        <f>1169804800</f>
        <v>1.1698048E9</v>
      </c>
      <c r="W201" s="32" t="str">
        <f>"－"</f>
        <v>－</v>
      </c>
      <c r="X201" s="36" t="n">
        <f>21</f>
        <v>21.0</v>
      </c>
    </row>
    <row r="202">
      <c r="A202" s="27" t="s">
        <v>42</v>
      </c>
      <c r="B202" s="27" t="s">
        <v>648</v>
      </c>
      <c r="C202" s="27" t="s">
        <v>649</v>
      </c>
      <c r="D202" s="27" t="s">
        <v>650</v>
      </c>
      <c r="E202" s="28" t="s">
        <v>46</v>
      </c>
      <c r="F202" s="29" t="s">
        <v>46</v>
      </c>
      <c r="G202" s="30" t="s">
        <v>46</v>
      </c>
      <c r="H202" s="31"/>
      <c r="I202" s="31" t="s">
        <v>416</v>
      </c>
      <c r="J202" s="32" t="n">
        <v>1.0</v>
      </c>
      <c r="K202" s="33" t="n">
        <f>3419</f>
        <v>3419.0</v>
      </c>
      <c r="L202" s="34" t="s">
        <v>48</v>
      </c>
      <c r="M202" s="33" t="n">
        <f>3750</f>
        <v>3750.0</v>
      </c>
      <c r="N202" s="34" t="s">
        <v>57</v>
      </c>
      <c r="O202" s="33" t="n">
        <f>3400</f>
        <v>3400.0</v>
      </c>
      <c r="P202" s="34" t="s">
        <v>48</v>
      </c>
      <c r="Q202" s="33" t="n">
        <f>3700</f>
        <v>3700.0</v>
      </c>
      <c r="R202" s="34" t="s">
        <v>50</v>
      </c>
      <c r="S202" s="35" t="n">
        <f>3595.76</f>
        <v>3595.76</v>
      </c>
      <c r="T202" s="32" t="n">
        <f>10154</f>
        <v>10154.0</v>
      </c>
      <c r="U202" s="32" t="str">
        <f>"－"</f>
        <v>－</v>
      </c>
      <c r="V202" s="32" t="n">
        <f>36899014</f>
        <v>3.6899014E7</v>
      </c>
      <c r="W202" s="32" t="str">
        <f>"－"</f>
        <v>－</v>
      </c>
      <c r="X202" s="36" t="n">
        <f>21</f>
        <v>21.0</v>
      </c>
    </row>
    <row r="203">
      <c r="A203" s="27" t="s">
        <v>42</v>
      </c>
      <c r="B203" s="27" t="s">
        <v>651</v>
      </c>
      <c r="C203" s="27" t="s">
        <v>652</v>
      </c>
      <c r="D203" s="27" t="s">
        <v>653</v>
      </c>
      <c r="E203" s="28" t="s">
        <v>46</v>
      </c>
      <c r="F203" s="29" t="s">
        <v>46</v>
      </c>
      <c r="G203" s="30" t="s">
        <v>46</v>
      </c>
      <c r="H203" s="31"/>
      <c r="I203" s="31" t="s">
        <v>416</v>
      </c>
      <c r="J203" s="32" t="n">
        <v>1.0</v>
      </c>
      <c r="K203" s="33" t="n">
        <f>50650</f>
        <v>50650.0</v>
      </c>
      <c r="L203" s="34" t="s">
        <v>48</v>
      </c>
      <c r="M203" s="33" t="n">
        <f>51370</f>
        <v>51370.0</v>
      </c>
      <c r="N203" s="34" t="s">
        <v>48</v>
      </c>
      <c r="O203" s="33" t="n">
        <f>48000</f>
        <v>48000.0</v>
      </c>
      <c r="P203" s="34" t="s">
        <v>49</v>
      </c>
      <c r="Q203" s="33" t="n">
        <f>50000</f>
        <v>50000.0</v>
      </c>
      <c r="R203" s="34" t="s">
        <v>50</v>
      </c>
      <c r="S203" s="35" t="n">
        <f>49380.56</f>
        <v>49380.56</v>
      </c>
      <c r="T203" s="32" t="n">
        <f>566</f>
        <v>566.0</v>
      </c>
      <c r="U203" s="32" t="str">
        <f>"－"</f>
        <v>－</v>
      </c>
      <c r="V203" s="32" t="n">
        <f>28274310</f>
        <v>2.827431E7</v>
      </c>
      <c r="W203" s="32" t="str">
        <f>"－"</f>
        <v>－</v>
      </c>
      <c r="X203" s="36" t="n">
        <f>18</f>
        <v>18.0</v>
      </c>
    </row>
    <row r="204">
      <c r="A204" s="27" t="s">
        <v>42</v>
      </c>
      <c r="B204" s="27" t="s">
        <v>654</v>
      </c>
      <c r="C204" s="27" t="s">
        <v>655</v>
      </c>
      <c r="D204" s="27" t="s">
        <v>656</v>
      </c>
      <c r="E204" s="28" t="s">
        <v>46</v>
      </c>
      <c r="F204" s="29" t="s">
        <v>46</v>
      </c>
      <c r="G204" s="30" t="s">
        <v>46</v>
      </c>
      <c r="H204" s="31"/>
      <c r="I204" s="31" t="s">
        <v>416</v>
      </c>
      <c r="J204" s="32" t="n">
        <v>1.0</v>
      </c>
      <c r="K204" s="33" t="n">
        <f>31940</f>
        <v>31940.0</v>
      </c>
      <c r="L204" s="34" t="s">
        <v>48</v>
      </c>
      <c r="M204" s="33" t="n">
        <f>31940</f>
        <v>31940.0</v>
      </c>
      <c r="N204" s="34" t="s">
        <v>48</v>
      </c>
      <c r="O204" s="33" t="n">
        <f>27710</f>
        <v>27710.0</v>
      </c>
      <c r="P204" s="34" t="s">
        <v>49</v>
      </c>
      <c r="Q204" s="33" t="n">
        <f>29210</f>
        <v>29210.0</v>
      </c>
      <c r="R204" s="34" t="s">
        <v>57</v>
      </c>
      <c r="S204" s="35" t="n">
        <f>29652.31</f>
        <v>29652.31</v>
      </c>
      <c r="T204" s="32" t="n">
        <f>287</f>
        <v>287.0</v>
      </c>
      <c r="U204" s="32" t="str">
        <f>"－"</f>
        <v>－</v>
      </c>
      <c r="V204" s="32" t="n">
        <f>8752065</f>
        <v>8752065.0</v>
      </c>
      <c r="W204" s="32" t="str">
        <f>"－"</f>
        <v>－</v>
      </c>
      <c r="X204" s="36" t="n">
        <f>13</f>
        <v>13.0</v>
      </c>
    </row>
    <row r="205">
      <c r="A205" s="27" t="s">
        <v>42</v>
      </c>
      <c r="B205" s="27" t="s">
        <v>657</v>
      </c>
      <c r="C205" s="27" t="s">
        <v>658</v>
      </c>
      <c r="D205" s="27" t="s">
        <v>659</v>
      </c>
      <c r="E205" s="28" t="s">
        <v>46</v>
      </c>
      <c r="F205" s="29" t="s">
        <v>46</v>
      </c>
      <c r="G205" s="30" t="s">
        <v>46</v>
      </c>
      <c r="H205" s="31"/>
      <c r="I205" s="31" t="s">
        <v>416</v>
      </c>
      <c r="J205" s="32" t="n">
        <v>1.0</v>
      </c>
      <c r="K205" s="33" t="n">
        <f>58550</f>
        <v>58550.0</v>
      </c>
      <c r="L205" s="34" t="s">
        <v>48</v>
      </c>
      <c r="M205" s="33" t="n">
        <f>58550</f>
        <v>58550.0</v>
      </c>
      <c r="N205" s="34" t="s">
        <v>48</v>
      </c>
      <c r="O205" s="33" t="n">
        <f>52680</f>
        <v>52680.0</v>
      </c>
      <c r="P205" s="34" t="s">
        <v>181</v>
      </c>
      <c r="Q205" s="33" t="n">
        <f>53660</f>
        <v>53660.0</v>
      </c>
      <c r="R205" s="34" t="s">
        <v>57</v>
      </c>
      <c r="S205" s="35" t="n">
        <f>54455.45</f>
        <v>54455.45</v>
      </c>
      <c r="T205" s="32" t="n">
        <f>412</f>
        <v>412.0</v>
      </c>
      <c r="U205" s="32" t="str">
        <f>"－"</f>
        <v>－</v>
      </c>
      <c r="V205" s="32" t="n">
        <f>22881770</f>
        <v>2.288177E7</v>
      </c>
      <c r="W205" s="32" t="str">
        <f>"－"</f>
        <v>－</v>
      </c>
      <c r="X205" s="36" t="n">
        <f>11</f>
        <v>11.0</v>
      </c>
    </row>
    <row r="206">
      <c r="A206" s="27" t="s">
        <v>42</v>
      </c>
      <c r="B206" s="27" t="s">
        <v>660</v>
      </c>
      <c r="C206" s="27" t="s">
        <v>661</v>
      </c>
      <c r="D206" s="27" t="s">
        <v>662</v>
      </c>
      <c r="E206" s="28" t="s">
        <v>46</v>
      </c>
      <c r="F206" s="29" t="s">
        <v>46</v>
      </c>
      <c r="G206" s="30" t="s">
        <v>46</v>
      </c>
      <c r="H206" s="31"/>
      <c r="I206" s="31" t="s">
        <v>416</v>
      </c>
      <c r="J206" s="32" t="n">
        <v>1.0</v>
      </c>
      <c r="K206" s="33" t="n">
        <f>25625</f>
        <v>25625.0</v>
      </c>
      <c r="L206" s="34" t="s">
        <v>181</v>
      </c>
      <c r="M206" s="33" t="n">
        <f>25625</f>
        <v>25625.0</v>
      </c>
      <c r="N206" s="34" t="s">
        <v>181</v>
      </c>
      <c r="O206" s="33" t="n">
        <f>25625</f>
        <v>25625.0</v>
      </c>
      <c r="P206" s="34" t="s">
        <v>181</v>
      </c>
      <c r="Q206" s="33" t="n">
        <f>25625</f>
        <v>25625.0</v>
      </c>
      <c r="R206" s="34" t="s">
        <v>181</v>
      </c>
      <c r="S206" s="35" t="n">
        <f>25625</f>
        <v>25625.0</v>
      </c>
      <c r="T206" s="32" t="n">
        <f>1</f>
        <v>1.0</v>
      </c>
      <c r="U206" s="32" t="str">
        <f>"－"</f>
        <v>－</v>
      </c>
      <c r="V206" s="32" t="n">
        <f>25625</f>
        <v>25625.0</v>
      </c>
      <c r="W206" s="32" t="str">
        <f>"－"</f>
        <v>－</v>
      </c>
      <c r="X206" s="36" t="n">
        <f>1</f>
        <v>1.0</v>
      </c>
    </row>
    <row r="207">
      <c r="A207" s="27" t="s">
        <v>42</v>
      </c>
      <c r="B207" s="27" t="s">
        <v>663</v>
      </c>
      <c r="C207" s="27" t="s">
        <v>664</v>
      </c>
      <c r="D207" s="27" t="s">
        <v>665</v>
      </c>
      <c r="E207" s="28" t="s">
        <v>46</v>
      </c>
      <c r="F207" s="29" t="s">
        <v>46</v>
      </c>
      <c r="G207" s="30" t="s">
        <v>46</v>
      </c>
      <c r="H207" s="31"/>
      <c r="I207" s="31" t="s">
        <v>416</v>
      </c>
      <c r="J207" s="32" t="n">
        <v>1.0</v>
      </c>
      <c r="K207" s="33" t="n">
        <f>27905</f>
        <v>27905.0</v>
      </c>
      <c r="L207" s="34" t="s">
        <v>64</v>
      </c>
      <c r="M207" s="33" t="n">
        <f>27905</f>
        <v>27905.0</v>
      </c>
      <c r="N207" s="34" t="s">
        <v>64</v>
      </c>
      <c r="O207" s="33" t="n">
        <f>24705</f>
        <v>24705.0</v>
      </c>
      <c r="P207" s="34" t="s">
        <v>49</v>
      </c>
      <c r="Q207" s="33" t="n">
        <f>25240</f>
        <v>25240.0</v>
      </c>
      <c r="R207" s="34" t="s">
        <v>50</v>
      </c>
      <c r="S207" s="35" t="n">
        <f>26090.28</f>
        <v>26090.28</v>
      </c>
      <c r="T207" s="32" t="n">
        <f>503</f>
        <v>503.0</v>
      </c>
      <c r="U207" s="32" t="str">
        <f>"－"</f>
        <v>－</v>
      </c>
      <c r="V207" s="32" t="n">
        <f>12963955</f>
        <v>1.2963955E7</v>
      </c>
      <c r="W207" s="32" t="str">
        <f>"－"</f>
        <v>－</v>
      </c>
      <c r="X207" s="36" t="n">
        <f>18</f>
        <v>18.0</v>
      </c>
    </row>
    <row r="208">
      <c r="A208" s="27" t="s">
        <v>42</v>
      </c>
      <c r="B208" s="27" t="s">
        <v>666</v>
      </c>
      <c r="C208" s="27" t="s">
        <v>667</v>
      </c>
      <c r="D208" s="27" t="s">
        <v>668</v>
      </c>
      <c r="E208" s="28" t="s">
        <v>46</v>
      </c>
      <c r="F208" s="29" t="s">
        <v>46</v>
      </c>
      <c r="G208" s="30" t="s">
        <v>46</v>
      </c>
      <c r="H208" s="31"/>
      <c r="I208" s="31" t="s">
        <v>416</v>
      </c>
      <c r="J208" s="32" t="n">
        <v>1.0</v>
      </c>
      <c r="K208" s="33" t="n">
        <f>40810</f>
        <v>40810.0</v>
      </c>
      <c r="L208" s="34" t="s">
        <v>181</v>
      </c>
      <c r="M208" s="33" t="n">
        <f>40810</f>
        <v>40810.0</v>
      </c>
      <c r="N208" s="34" t="s">
        <v>181</v>
      </c>
      <c r="O208" s="33" t="n">
        <f>38250</f>
        <v>38250.0</v>
      </c>
      <c r="P208" s="34" t="s">
        <v>181</v>
      </c>
      <c r="Q208" s="33" t="n">
        <f>38950</f>
        <v>38950.0</v>
      </c>
      <c r="R208" s="34" t="s">
        <v>276</v>
      </c>
      <c r="S208" s="35" t="n">
        <f>38483.33</f>
        <v>38483.33</v>
      </c>
      <c r="T208" s="32" t="n">
        <f>10</f>
        <v>10.0</v>
      </c>
      <c r="U208" s="32" t="str">
        <f>"－"</f>
        <v>－</v>
      </c>
      <c r="V208" s="32" t="n">
        <f>387160</f>
        <v>387160.0</v>
      </c>
      <c r="W208" s="32" t="str">
        <f>"－"</f>
        <v>－</v>
      </c>
      <c r="X208" s="36" t="n">
        <f>3</f>
        <v>3.0</v>
      </c>
    </row>
    <row r="209">
      <c r="A209" s="27" t="s">
        <v>42</v>
      </c>
      <c r="B209" s="27" t="s">
        <v>669</v>
      </c>
      <c r="C209" s="27" t="s">
        <v>670</v>
      </c>
      <c r="D209" s="27" t="s">
        <v>671</v>
      </c>
      <c r="E209" s="28" t="s">
        <v>46</v>
      </c>
      <c r="F209" s="29" t="s">
        <v>46</v>
      </c>
      <c r="G209" s="30" t="s">
        <v>46</v>
      </c>
      <c r="H209" s="31"/>
      <c r="I209" s="31" t="s">
        <v>416</v>
      </c>
      <c r="J209" s="32" t="n">
        <v>1.0</v>
      </c>
      <c r="K209" s="33" t="n">
        <f>20845</f>
        <v>20845.0</v>
      </c>
      <c r="L209" s="34" t="s">
        <v>181</v>
      </c>
      <c r="M209" s="33" t="n">
        <f>20845</f>
        <v>20845.0</v>
      </c>
      <c r="N209" s="34" t="s">
        <v>181</v>
      </c>
      <c r="O209" s="33" t="n">
        <f>20845</f>
        <v>20845.0</v>
      </c>
      <c r="P209" s="34" t="s">
        <v>181</v>
      </c>
      <c r="Q209" s="33" t="n">
        <f>20845</f>
        <v>20845.0</v>
      </c>
      <c r="R209" s="34" t="s">
        <v>181</v>
      </c>
      <c r="S209" s="35" t="n">
        <f>20845</f>
        <v>20845.0</v>
      </c>
      <c r="T209" s="32" t="n">
        <f>1</f>
        <v>1.0</v>
      </c>
      <c r="U209" s="32" t="str">
        <f>"－"</f>
        <v>－</v>
      </c>
      <c r="V209" s="32" t="n">
        <f>20845</f>
        <v>20845.0</v>
      </c>
      <c r="W209" s="32" t="str">
        <f>"－"</f>
        <v>－</v>
      </c>
      <c r="X209" s="36" t="n">
        <f>1</f>
        <v>1.0</v>
      </c>
    </row>
    <row r="210">
      <c r="A210" s="27" t="s">
        <v>42</v>
      </c>
      <c r="B210" s="27" t="s">
        <v>672</v>
      </c>
      <c r="C210" s="27" t="s">
        <v>673</v>
      </c>
      <c r="D210" s="27" t="s">
        <v>674</v>
      </c>
      <c r="E210" s="28" t="s">
        <v>46</v>
      </c>
      <c r="F210" s="29" t="s">
        <v>46</v>
      </c>
      <c r="G210" s="30" t="s">
        <v>46</v>
      </c>
      <c r="H210" s="31"/>
      <c r="I210" s="31" t="s">
        <v>416</v>
      </c>
      <c r="J210" s="32" t="n">
        <v>1.0</v>
      </c>
      <c r="K210" s="33" t="n">
        <f>14950</f>
        <v>14950.0</v>
      </c>
      <c r="L210" s="34" t="s">
        <v>48</v>
      </c>
      <c r="M210" s="33" t="n">
        <f>15015</f>
        <v>15015.0</v>
      </c>
      <c r="N210" s="34" t="s">
        <v>48</v>
      </c>
      <c r="O210" s="33" t="n">
        <f>13720</f>
        <v>13720.0</v>
      </c>
      <c r="P210" s="34" t="s">
        <v>49</v>
      </c>
      <c r="Q210" s="33" t="n">
        <f>14320</f>
        <v>14320.0</v>
      </c>
      <c r="R210" s="34" t="s">
        <v>56</v>
      </c>
      <c r="S210" s="35" t="n">
        <f>14263.93</f>
        <v>14263.93</v>
      </c>
      <c r="T210" s="32" t="n">
        <f>735</f>
        <v>735.0</v>
      </c>
      <c r="U210" s="32" t="str">
        <f>"－"</f>
        <v>－</v>
      </c>
      <c r="V210" s="32" t="n">
        <f>10995425</f>
        <v>1.0995425E7</v>
      </c>
      <c r="W210" s="32" t="str">
        <f>"－"</f>
        <v>－</v>
      </c>
      <c r="X210" s="36" t="n">
        <f>14</f>
        <v>14.0</v>
      </c>
    </row>
    <row r="211">
      <c r="A211" s="27" t="s">
        <v>42</v>
      </c>
      <c r="B211" s="27" t="s">
        <v>675</v>
      </c>
      <c r="C211" s="27" t="s">
        <v>676</v>
      </c>
      <c r="D211" s="27" t="s">
        <v>677</v>
      </c>
      <c r="E211" s="28" t="s">
        <v>46</v>
      </c>
      <c r="F211" s="29" t="s">
        <v>46</v>
      </c>
      <c r="G211" s="30" t="s">
        <v>46</v>
      </c>
      <c r="H211" s="31"/>
      <c r="I211" s="31" t="s">
        <v>416</v>
      </c>
      <c r="J211" s="32" t="n">
        <v>1.0</v>
      </c>
      <c r="K211" s="33" t="n">
        <f>18410</f>
        <v>18410.0</v>
      </c>
      <c r="L211" s="34" t="s">
        <v>48</v>
      </c>
      <c r="M211" s="33" t="n">
        <f>18535</f>
        <v>18535.0</v>
      </c>
      <c r="N211" s="34" t="s">
        <v>48</v>
      </c>
      <c r="O211" s="33" t="n">
        <f>16990</f>
        <v>16990.0</v>
      </c>
      <c r="P211" s="34" t="s">
        <v>49</v>
      </c>
      <c r="Q211" s="33" t="n">
        <f>17225</f>
        <v>17225.0</v>
      </c>
      <c r="R211" s="34" t="s">
        <v>56</v>
      </c>
      <c r="S211" s="35" t="n">
        <f>17717.73</f>
        <v>17717.73</v>
      </c>
      <c r="T211" s="32" t="n">
        <f>3623</f>
        <v>3623.0</v>
      </c>
      <c r="U211" s="32" t="str">
        <f>"－"</f>
        <v>－</v>
      </c>
      <c r="V211" s="32" t="n">
        <f>64919580</f>
        <v>6.491958E7</v>
      </c>
      <c r="W211" s="32" t="str">
        <f>"－"</f>
        <v>－</v>
      </c>
      <c r="X211" s="36" t="n">
        <f>11</f>
        <v>11.0</v>
      </c>
    </row>
    <row r="212">
      <c r="A212" s="27" t="s">
        <v>42</v>
      </c>
      <c r="B212" s="27" t="s">
        <v>678</v>
      </c>
      <c r="C212" s="27" t="s">
        <v>679</v>
      </c>
      <c r="D212" s="27" t="s">
        <v>680</v>
      </c>
      <c r="E212" s="28" t="s">
        <v>46</v>
      </c>
      <c r="F212" s="29" t="s">
        <v>46</v>
      </c>
      <c r="G212" s="30" t="s">
        <v>46</v>
      </c>
      <c r="H212" s="31"/>
      <c r="I212" s="31" t="s">
        <v>416</v>
      </c>
      <c r="J212" s="32" t="n">
        <v>1.0</v>
      </c>
      <c r="K212" s="33" t="n">
        <f>19960</f>
        <v>19960.0</v>
      </c>
      <c r="L212" s="34" t="s">
        <v>48</v>
      </c>
      <c r="M212" s="33" t="n">
        <f>20220</f>
        <v>20220.0</v>
      </c>
      <c r="N212" s="34" t="s">
        <v>48</v>
      </c>
      <c r="O212" s="33" t="n">
        <f>17905</f>
        <v>17905.0</v>
      </c>
      <c r="P212" s="34" t="s">
        <v>181</v>
      </c>
      <c r="Q212" s="33" t="n">
        <f>18570</f>
        <v>18570.0</v>
      </c>
      <c r="R212" s="34" t="s">
        <v>49</v>
      </c>
      <c r="S212" s="35" t="n">
        <f>19066.5</f>
        <v>19066.5</v>
      </c>
      <c r="T212" s="32" t="n">
        <f>2302</f>
        <v>2302.0</v>
      </c>
      <c r="U212" s="32" t="str">
        <f>"－"</f>
        <v>－</v>
      </c>
      <c r="V212" s="32" t="n">
        <f>42927470</f>
        <v>4.292747E7</v>
      </c>
      <c r="W212" s="32" t="str">
        <f>"－"</f>
        <v>－</v>
      </c>
      <c r="X212" s="36" t="n">
        <f>10</f>
        <v>10.0</v>
      </c>
    </row>
    <row r="213">
      <c r="A213" s="27" t="s">
        <v>42</v>
      </c>
      <c r="B213" s="27" t="s">
        <v>681</v>
      </c>
      <c r="C213" s="27" t="s">
        <v>682</v>
      </c>
      <c r="D213" s="27" t="s">
        <v>683</v>
      </c>
      <c r="E213" s="28" t="s">
        <v>46</v>
      </c>
      <c r="F213" s="29" t="s">
        <v>46</v>
      </c>
      <c r="G213" s="30" t="s">
        <v>46</v>
      </c>
      <c r="H213" s="31"/>
      <c r="I213" s="31" t="s">
        <v>416</v>
      </c>
      <c r="J213" s="32" t="n">
        <v>1.0</v>
      </c>
      <c r="K213" s="33" t="n">
        <f>14200</f>
        <v>14200.0</v>
      </c>
      <c r="L213" s="34" t="s">
        <v>301</v>
      </c>
      <c r="M213" s="33" t="n">
        <f>14410</f>
        <v>14410.0</v>
      </c>
      <c r="N213" s="34" t="s">
        <v>502</v>
      </c>
      <c r="O213" s="33" t="n">
        <f>13750</f>
        <v>13750.0</v>
      </c>
      <c r="P213" s="34" t="s">
        <v>181</v>
      </c>
      <c r="Q213" s="33" t="n">
        <f>14410</f>
        <v>14410.0</v>
      </c>
      <c r="R213" s="34" t="s">
        <v>502</v>
      </c>
      <c r="S213" s="35" t="n">
        <f>14045</f>
        <v>14045.0</v>
      </c>
      <c r="T213" s="32" t="n">
        <f>4053</f>
        <v>4053.0</v>
      </c>
      <c r="U213" s="32" t="str">
        <f>"－"</f>
        <v>－</v>
      </c>
      <c r="V213" s="32" t="n">
        <f>57120700</f>
        <v>5.71207E7</v>
      </c>
      <c r="W213" s="32" t="str">
        <f>"－"</f>
        <v>－</v>
      </c>
      <c r="X213" s="36" t="n">
        <f>3</f>
        <v>3.0</v>
      </c>
    </row>
    <row r="214">
      <c r="A214" s="27" t="s">
        <v>42</v>
      </c>
      <c r="B214" s="27" t="s">
        <v>684</v>
      </c>
      <c r="C214" s="27" t="s">
        <v>685</v>
      </c>
      <c r="D214" s="27" t="s">
        <v>686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1.0</v>
      </c>
      <c r="K214" s="33" t="n">
        <f>1880</f>
        <v>1880.0</v>
      </c>
      <c r="L214" s="34" t="s">
        <v>48</v>
      </c>
      <c r="M214" s="33" t="n">
        <f>1892</f>
        <v>1892.0</v>
      </c>
      <c r="N214" s="34" t="s">
        <v>48</v>
      </c>
      <c r="O214" s="33" t="n">
        <f>1652</f>
        <v>1652.0</v>
      </c>
      <c r="P214" s="34" t="s">
        <v>49</v>
      </c>
      <c r="Q214" s="33" t="n">
        <f>1724</f>
        <v>1724.0</v>
      </c>
      <c r="R214" s="34" t="s">
        <v>50</v>
      </c>
      <c r="S214" s="35" t="n">
        <f>1749.48</f>
        <v>1749.48</v>
      </c>
      <c r="T214" s="32" t="n">
        <f>2274398</f>
        <v>2274398.0</v>
      </c>
      <c r="U214" s="32" t="n">
        <f>969</f>
        <v>969.0</v>
      </c>
      <c r="V214" s="32" t="n">
        <f>4018150328</f>
        <v>4.018150328E9</v>
      </c>
      <c r="W214" s="32" t="n">
        <f>1687752</f>
        <v>1687752.0</v>
      </c>
      <c r="X214" s="36" t="n">
        <f>21</f>
        <v>21.0</v>
      </c>
    </row>
    <row r="215">
      <c r="A215" s="27" t="s">
        <v>42</v>
      </c>
      <c r="B215" s="27" t="s">
        <v>687</v>
      </c>
      <c r="C215" s="27" t="s">
        <v>688</v>
      </c>
      <c r="D215" s="27" t="s">
        <v>689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1.0</v>
      </c>
      <c r="K215" s="33" t="n">
        <f>2046</f>
        <v>2046.0</v>
      </c>
      <c r="L215" s="34" t="s">
        <v>48</v>
      </c>
      <c r="M215" s="33" t="n">
        <f>2046</f>
        <v>2046.0</v>
      </c>
      <c r="N215" s="34" t="s">
        <v>48</v>
      </c>
      <c r="O215" s="33" t="n">
        <f>1755</f>
        <v>1755.0</v>
      </c>
      <c r="P215" s="34" t="s">
        <v>49</v>
      </c>
      <c r="Q215" s="33" t="n">
        <f>1806</f>
        <v>1806.0</v>
      </c>
      <c r="R215" s="34" t="s">
        <v>50</v>
      </c>
      <c r="S215" s="35" t="n">
        <f>1863.24</f>
        <v>1863.24</v>
      </c>
      <c r="T215" s="32" t="n">
        <f>60153</f>
        <v>60153.0</v>
      </c>
      <c r="U215" s="32" t="str">
        <f>"－"</f>
        <v>－</v>
      </c>
      <c r="V215" s="32" t="n">
        <f>113123789</f>
        <v>1.13123789E8</v>
      </c>
      <c r="W215" s="32" t="str">
        <f>"－"</f>
        <v>－</v>
      </c>
      <c r="X215" s="36" t="n">
        <f>21</f>
        <v>21.0</v>
      </c>
    </row>
    <row r="216">
      <c r="A216" s="27" t="s">
        <v>42</v>
      </c>
      <c r="B216" s="27" t="s">
        <v>690</v>
      </c>
      <c r="C216" s="27" t="s">
        <v>691</v>
      </c>
      <c r="D216" s="27" t="s">
        <v>692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1.0</v>
      </c>
      <c r="K216" s="33" t="n">
        <f>1262</f>
        <v>1262.0</v>
      </c>
      <c r="L216" s="34" t="s">
        <v>48</v>
      </c>
      <c r="M216" s="33" t="n">
        <f>1262</f>
        <v>1262.0</v>
      </c>
      <c r="N216" s="34" t="s">
        <v>48</v>
      </c>
      <c r="O216" s="33" t="n">
        <f>1126</f>
        <v>1126.0</v>
      </c>
      <c r="P216" s="34" t="s">
        <v>50</v>
      </c>
      <c r="Q216" s="33" t="n">
        <f>1186</f>
        <v>1186.0</v>
      </c>
      <c r="R216" s="34" t="s">
        <v>50</v>
      </c>
      <c r="S216" s="35" t="n">
        <f>1187.33</f>
        <v>1187.33</v>
      </c>
      <c r="T216" s="32" t="n">
        <f>4356</f>
        <v>4356.0</v>
      </c>
      <c r="U216" s="32" t="str">
        <f>"－"</f>
        <v>－</v>
      </c>
      <c r="V216" s="32" t="n">
        <f>5178909</f>
        <v>5178909.0</v>
      </c>
      <c r="W216" s="32" t="str">
        <f>"－"</f>
        <v>－</v>
      </c>
      <c r="X216" s="36" t="n">
        <f>21</f>
        <v>21.0</v>
      </c>
    </row>
    <row r="217">
      <c r="A217" s="27" t="s">
        <v>42</v>
      </c>
      <c r="B217" s="27" t="s">
        <v>693</v>
      </c>
      <c r="C217" s="27" t="s">
        <v>694</v>
      </c>
      <c r="D217" s="27" t="s">
        <v>695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1.0</v>
      </c>
      <c r="K217" s="33" t="n">
        <f>3317</f>
        <v>3317.0</v>
      </c>
      <c r="L217" s="34" t="s">
        <v>48</v>
      </c>
      <c r="M217" s="33" t="n">
        <f>3318</f>
        <v>3318.0</v>
      </c>
      <c r="N217" s="34" t="s">
        <v>48</v>
      </c>
      <c r="O217" s="33" t="n">
        <f>2950</f>
        <v>2950.0</v>
      </c>
      <c r="P217" s="34" t="s">
        <v>181</v>
      </c>
      <c r="Q217" s="33" t="n">
        <f>2982</f>
        <v>2982.0</v>
      </c>
      <c r="R217" s="34" t="s">
        <v>50</v>
      </c>
      <c r="S217" s="35" t="n">
        <f>3115.33</f>
        <v>3115.33</v>
      </c>
      <c r="T217" s="32" t="n">
        <f>151809</f>
        <v>151809.0</v>
      </c>
      <c r="U217" s="32" t="str">
        <f>"－"</f>
        <v>－</v>
      </c>
      <c r="V217" s="32" t="n">
        <f>471738952</f>
        <v>4.71738952E8</v>
      </c>
      <c r="W217" s="32" t="str">
        <f>"－"</f>
        <v>－</v>
      </c>
      <c r="X217" s="36" t="n">
        <f>21</f>
        <v>21.0</v>
      </c>
    </row>
    <row r="218">
      <c r="A218" s="27" t="s">
        <v>42</v>
      </c>
      <c r="B218" s="27" t="s">
        <v>696</v>
      </c>
      <c r="C218" s="27" t="s">
        <v>697</v>
      </c>
      <c r="D218" s="27" t="s">
        <v>698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1.0</v>
      </c>
      <c r="K218" s="33" t="n">
        <f>3591</f>
        <v>3591.0</v>
      </c>
      <c r="L218" s="34" t="s">
        <v>48</v>
      </c>
      <c r="M218" s="33" t="n">
        <f>3674</f>
        <v>3674.0</v>
      </c>
      <c r="N218" s="34" t="s">
        <v>64</v>
      </c>
      <c r="O218" s="33" t="n">
        <f>3180</f>
        <v>3180.0</v>
      </c>
      <c r="P218" s="34" t="s">
        <v>49</v>
      </c>
      <c r="Q218" s="33" t="n">
        <f>3327</f>
        <v>3327.0</v>
      </c>
      <c r="R218" s="34" t="s">
        <v>50</v>
      </c>
      <c r="S218" s="35" t="n">
        <f>3391.38</f>
        <v>3391.38</v>
      </c>
      <c r="T218" s="32" t="n">
        <f>492859</f>
        <v>492859.0</v>
      </c>
      <c r="U218" s="32" t="n">
        <f>15000</f>
        <v>15000.0</v>
      </c>
      <c r="V218" s="32" t="n">
        <f>1667291056</f>
        <v>1.667291056E9</v>
      </c>
      <c r="W218" s="32" t="n">
        <f>48501700</f>
        <v>4.85017E7</v>
      </c>
      <c r="X218" s="36" t="n">
        <f>21</f>
        <v>21.0</v>
      </c>
    </row>
    <row r="219">
      <c r="A219" s="27" t="s">
        <v>42</v>
      </c>
      <c r="B219" s="27" t="s">
        <v>699</v>
      </c>
      <c r="C219" s="27" t="s">
        <v>700</v>
      </c>
      <c r="D219" s="27" t="s">
        <v>701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776.2</f>
        <v>776.2</v>
      </c>
      <c r="L219" s="34" t="s">
        <v>48</v>
      </c>
      <c r="M219" s="33" t="n">
        <f>778.2</f>
        <v>778.2</v>
      </c>
      <c r="N219" s="34" t="s">
        <v>48</v>
      </c>
      <c r="O219" s="33" t="n">
        <f>710.1</f>
        <v>710.1</v>
      </c>
      <c r="P219" s="34" t="s">
        <v>181</v>
      </c>
      <c r="Q219" s="33" t="n">
        <f>731</f>
        <v>731.0</v>
      </c>
      <c r="R219" s="34" t="s">
        <v>50</v>
      </c>
      <c r="S219" s="35" t="n">
        <f>740.11</f>
        <v>740.11</v>
      </c>
      <c r="T219" s="32" t="n">
        <f>1283340</f>
        <v>1283340.0</v>
      </c>
      <c r="U219" s="32" t="n">
        <f>54290</f>
        <v>54290.0</v>
      </c>
      <c r="V219" s="32" t="n">
        <f>950636063</f>
        <v>9.50636063E8</v>
      </c>
      <c r="W219" s="32" t="n">
        <f>40816484</f>
        <v>4.0816484E7</v>
      </c>
      <c r="X219" s="36" t="n">
        <f>21</f>
        <v>21.0</v>
      </c>
    </row>
    <row r="220">
      <c r="A220" s="27" t="s">
        <v>42</v>
      </c>
      <c r="B220" s="27" t="s">
        <v>702</v>
      </c>
      <c r="C220" s="27" t="s">
        <v>703</v>
      </c>
      <c r="D220" s="27" t="s">
        <v>704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1.0</v>
      </c>
      <c r="K220" s="33" t="n">
        <f>2787</f>
        <v>2787.0</v>
      </c>
      <c r="L220" s="34" t="s">
        <v>48</v>
      </c>
      <c r="M220" s="33" t="n">
        <f>2796</f>
        <v>2796.0</v>
      </c>
      <c r="N220" s="34" t="s">
        <v>107</v>
      </c>
      <c r="O220" s="33" t="n">
        <f>2554</f>
        <v>2554.0</v>
      </c>
      <c r="P220" s="34" t="s">
        <v>50</v>
      </c>
      <c r="Q220" s="33" t="n">
        <f>2585</f>
        <v>2585.0</v>
      </c>
      <c r="R220" s="34" t="s">
        <v>50</v>
      </c>
      <c r="S220" s="35" t="n">
        <f>2702.48</f>
        <v>2702.48</v>
      </c>
      <c r="T220" s="32" t="n">
        <f>892593</f>
        <v>892593.0</v>
      </c>
      <c r="U220" s="32" t="n">
        <f>837570</f>
        <v>837570.0</v>
      </c>
      <c r="V220" s="32" t="n">
        <f>2423611001</f>
        <v>2.423611001E9</v>
      </c>
      <c r="W220" s="32" t="n">
        <f>2276003617</f>
        <v>2.276003617E9</v>
      </c>
      <c r="X220" s="36" t="n">
        <f>21</f>
        <v>21.0</v>
      </c>
    </row>
    <row r="221">
      <c r="A221" s="27" t="s">
        <v>42</v>
      </c>
      <c r="B221" s="27" t="s">
        <v>705</v>
      </c>
      <c r="C221" s="27" t="s">
        <v>706</v>
      </c>
      <c r="D221" s="27" t="s">
        <v>707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1.0</v>
      </c>
      <c r="K221" s="33" t="n">
        <f>2965</f>
        <v>2965.0</v>
      </c>
      <c r="L221" s="34" t="s">
        <v>48</v>
      </c>
      <c r="M221" s="33" t="n">
        <f>2998</f>
        <v>2998.0</v>
      </c>
      <c r="N221" s="34" t="s">
        <v>107</v>
      </c>
      <c r="O221" s="33" t="n">
        <f>2726</f>
        <v>2726.0</v>
      </c>
      <c r="P221" s="34" t="s">
        <v>57</v>
      </c>
      <c r="Q221" s="33" t="n">
        <f>2742</f>
        <v>2742.0</v>
      </c>
      <c r="R221" s="34" t="s">
        <v>50</v>
      </c>
      <c r="S221" s="35" t="n">
        <f>2887.82</f>
        <v>2887.82</v>
      </c>
      <c r="T221" s="32" t="n">
        <f>653</f>
        <v>653.0</v>
      </c>
      <c r="U221" s="32" t="str">
        <f>"－"</f>
        <v>－</v>
      </c>
      <c r="V221" s="32" t="n">
        <f>1875183</f>
        <v>1875183.0</v>
      </c>
      <c r="W221" s="32" t="str">
        <f>"－"</f>
        <v>－</v>
      </c>
      <c r="X221" s="36" t="n">
        <f>17</f>
        <v>17.0</v>
      </c>
    </row>
    <row r="222">
      <c r="A222" s="27" t="s">
        <v>42</v>
      </c>
      <c r="B222" s="27" t="s">
        <v>708</v>
      </c>
      <c r="C222" s="27" t="s">
        <v>709</v>
      </c>
      <c r="D222" s="27" t="s">
        <v>710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1.0</v>
      </c>
      <c r="K222" s="33" t="n">
        <f>2489</f>
        <v>2489.0</v>
      </c>
      <c r="L222" s="34" t="s">
        <v>48</v>
      </c>
      <c r="M222" s="33" t="n">
        <f>2490</f>
        <v>2490.0</v>
      </c>
      <c r="N222" s="34" t="s">
        <v>64</v>
      </c>
      <c r="O222" s="33" t="n">
        <f>2276</f>
        <v>2276.0</v>
      </c>
      <c r="P222" s="34" t="s">
        <v>57</v>
      </c>
      <c r="Q222" s="33" t="n">
        <f>2320</f>
        <v>2320.0</v>
      </c>
      <c r="R222" s="34" t="s">
        <v>50</v>
      </c>
      <c r="S222" s="35" t="n">
        <f>2393.15</f>
        <v>2393.15</v>
      </c>
      <c r="T222" s="32" t="n">
        <f>16903</f>
        <v>16903.0</v>
      </c>
      <c r="U222" s="32" t="str">
        <f>"－"</f>
        <v>－</v>
      </c>
      <c r="V222" s="32" t="n">
        <f>40406690</f>
        <v>4.040669E7</v>
      </c>
      <c r="W222" s="32" t="str">
        <f>"－"</f>
        <v>－</v>
      </c>
      <c r="X222" s="36" t="n">
        <f>20</f>
        <v>20.0</v>
      </c>
    </row>
    <row r="223">
      <c r="A223" s="27" t="s">
        <v>42</v>
      </c>
      <c r="B223" s="27" t="s">
        <v>711</v>
      </c>
      <c r="C223" s="27" t="s">
        <v>712</v>
      </c>
      <c r="D223" s="27" t="s">
        <v>713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1.0</v>
      </c>
      <c r="K223" s="33" t="n">
        <f>2787</f>
        <v>2787.0</v>
      </c>
      <c r="L223" s="34" t="s">
        <v>48</v>
      </c>
      <c r="M223" s="33" t="n">
        <f>2863</f>
        <v>2863.0</v>
      </c>
      <c r="N223" s="34" t="s">
        <v>107</v>
      </c>
      <c r="O223" s="33" t="n">
        <f>2450</f>
        <v>2450.0</v>
      </c>
      <c r="P223" s="34" t="s">
        <v>57</v>
      </c>
      <c r="Q223" s="33" t="n">
        <f>2522</f>
        <v>2522.0</v>
      </c>
      <c r="R223" s="34" t="s">
        <v>50</v>
      </c>
      <c r="S223" s="35" t="n">
        <f>2610.9</f>
        <v>2610.9</v>
      </c>
      <c r="T223" s="32" t="n">
        <f>807790</f>
        <v>807790.0</v>
      </c>
      <c r="U223" s="32" t="n">
        <f>530000</f>
        <v>530000.0</v>
      </c>
      <c r="V223" s="32" t="n">
        <f>2099695830</f>
        <v>2.09969583E9</v>
      </c>
      <c r="W223" s="32" t="n">
        <f>1384602000</f>
        <v>1.384602E9</v>
      </c>
      <c r="X223" s="36" t="n">
        <f>21</f>
        <v>21.0</v>
      </c>
    </row>
    <row r="224">
      <c r="A224" s="27" t="s">
        <v>42</v>
      </c>
      <c r="B224" s="27" t="s">
        <v>714</v>
      </c>
      <c r="C224" s="27" t="s">
        <v>715</v>
      </c>
      <c r="D224" s="27" t="s">
        <v>716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1.0</v>
      </c>
      <c r="K224" s="33" t="n">
        <f>4582</f>
        <v>4582.0</v>
      </c>
      <c r="L224" s="34" t="s">
        <v>48</v>
      </c>
      <c r="M224" s="33" t="n">
        <f>4619</f>
        <v>4619.0</v>
      </c>
      <c r="N224" s="34" t="s">
        <v>64</v>
      </c>
      <c r="O224" s="33" t="n">
        <f>4445</f>
        <v>4445.0</v>
      </c>
      <c r="P224" s="34" t="s">
        <v>56</v>
      </c>
      <c r="Q224" s="33" t="n">
        <f>4474</f>
        <v>4474.0</v>
      </c>
      <c r="R224" s="34" t="s">
        <v>50</v>
      </c>
      <c r="S224" s="35" t="n">
        <f>4516.52</f>
        <v>4516.52</v>
      </c>
      <c r="T224" s="32" t="n">
        <f>1168124</f>
        <v>1168124.0</v>
      </c>
      <c r="U224" s="32" t="n">
        <f>40</f>
        <v>40.0</v>
      </c>
      <c r="V224" s="32" t="n">
        <f>5288222780</f>
        <v>5.28822278E9</v>
      </c>
      <c r="W224" s="32" t="n">
        <f>180804</f>
        <v>180804.0</v>
      </c>
      <c r="X224" s="36" t="n">
        <f>21</f>
        <v>21.0</v>
      </c>
    </row>
    <row r="225">
      <c r="A225" s="27" t="s">
        <v>42</v>
      </c>
      <c r="B225" s="27" t="s">
        <v>717</v>
      </c>
      <c r="C225" s="27" t="s">
        <v>718</v>
      </c>
      <c r="D225" s="27" t="s">
        <v>719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1.0</v>
      </c>
      <c r="K225" s="33" t="n">
        <f>4730</f>
        <v>4730.0</v>
      </c>
      <c r="L225" s="34" t="s">
        <v>48</v>
      </c>
      <c r="M225" s="33" t="n">
        <f>4730</f>
        <v>4730.0</v>
      </c>
      <c r="N225" s="34" t="s">
        <v>48</v>
      </c>
      <c r="O225" s="33" t="n">
        <f>4566</f>
        <v>4566.0</v>
      </c>
      <c r="P225" s="34" t="s">
        <v>57</v>
      </c>
      <c r="Q225" s="33" t="n">
        <f>4590</f>
        <v>4590.0</v>
      </c>
      <c r="R225" s="34" t="s">
        <v>50</v>
      </c>
      <c r="S225" s="35" t="n">
        <f>4629.33</f>
        <v>4629.33</v>
      </c>
      <c r="T225" s="32" t="n">
        <f>166980</f>
        <v>166980.0</v>
      </c>
      <c r="U225" s="32" t="str">
        <f>"－"</f>
        <v>－</v>
      </c>
      <c r="V225" s="32" t="n">
        <f>782334495</f>
        <v>7.82334495E8</v>
      </c>
      <c r="W225" s="32" t="str">
        <f>"－"</f>
        <v>－</v>
      </c>
      <c r="X225" s="36" t="n">
        <f>21</f>
        <v>21.0</v>
      </c>
    </row>
    <row r="226">
      <c r="A226" s="27" t="s">
        <v>42</v>
      </c>
      <c r="B226" s="27" t="s">
        <v>720</v>
      </c>
      <c r="C226" s="27" t="s">
        <v>721</v>
      </c>
      <c r="D226" s="27" t="s">
        <v>722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4781</f>
        <v>4781.0</v>
      </c>
      <c r="L226" s="34" t="s">
        <v>301</v>
      </c>
      <c r="M226" s="33" t="n">
        <f>4783</f>
        <v>4783.0</v>
      </c>
      <c r="N226" s="34" t="s">
        <v>107</v>
      </c>
      <c r="O226" s="33" t="n">
        <f>4625</f>
        <v>4625.0</v>
      </c>
      <c r="P226" s="34" t="s">
        <v>57</v>
      </c>
      <c r="Q226" s="33" t="n">
        <f>4664</f>
        <v>4664.0</v>
      </c>
      <c r="R226" s="34" t="s">
        <v>50</v>
      </c>
      <c r="S226" s="35" t="n">
        <f>4701.11</f>
        <v>4701.11</v>
      </c>
      <c r="T226" s="32" t="n">
        <f>70703</f>
        <v>70703.0</v>
      </c>
      <c r="U226" s="32" t="str">
        <f>"－"</f>
        <v>－</v>
      </c>
      <c r="V226" s="32" t="n">
        <f>337875403</f>
        <v>3.37875403E8</v>
      </c>
      <c r="W226" s="32" t="str">
        <f>"－"</f>
        <v>－</v>
      </c>
      <c r="X226" s="36" t="n">
        <f>18</f>
        <v>18.0</v>
      </c>
    </row>
    <row r="227">
      <c r="A227" s="27" t="s">
        <v>42</v>
      </c>
      <c r="B227" s="27" t="s">
        <v>723</v>
      </c>
      <c r="C227" s="27" t="s">
        <v>724</v>
      </c>
      <c r="D227" s="27" t="s">
        <v>725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5196</f>
        <v>5196.0</v>
      </c>
      <c r="L227" s="34" t="s">
        <v>48</v>
      </c>
      <c r="M227" s="33" t="n">
        <f>5314</f>
        <v>5314.0</v>
      </c>
      <c r="N227" s="34" t="s">
        <v>57</v>
      </c>
      <c r="O227" s="33" t="n">
        <f>5188</f>
        <v>5188.0</v>
      </c>
      <c r="P227" s="34" t="s">
        <v>48</v>
      </c>
      <c r="Q227" s="33" t="n">
        <f>5297</f>
        <v>5297.0</v>
      </c>
      <c r="R227" s="34" t="s">
        <v>50</v>
      </c>
      <c r="S227" s="35" t="n">
        <f>5265.9</f>
        <v>5265.9</v>
      </c>
      <c r="T227" s="32" t="n">
        <f>717167</f>
        <v>717167.0</v>
      </c>
      <c r="U227" s="32" t="str">
        <f>"－"</f>
        <v>－</v>
      </c>
      <c r="V227" s="32" t="n">
        <f>3790178899</f>
        <v>3.790178899E9</v>
      </c>
      <c r="W227" s="32" t="str">
        <f>"－"</f>
        <v>－</v>
      </c>
      <c r="X227" s="36" t="n">
        <f>21</f>
        <v>21.0</v>
      </c>
    </row>
    <row r="228">
      <c r="A228" s="27" t="s">
        <v>42</v>
      </c>
      <c r="B228" s="27" t="s">
        <v>726</v>
      </c>
      <c r="C228" s="27" t="s">
        <v>727</v>
      </c>
      <c r="D228" s="27" t="s">
        <v>728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730</f>
        <v>730.0</v>
      </c>
      <c r="L228" s="34" t="s">
        <v>48</v>
      </c>
      <c r="M228" s="33" t="n">
        <f>780</f>
        <v>780.0</v>
      </c>
      <c r="N228" s="34" t="s">
        <v>50</v>
      </c>
      <c r="O228" s="33" t="n">
        <f>722</f>
        <v>722.0</v>
      </c>
      <c r="P228" s="34" t="s">
        <v>107</v>
      </c>
      <c r="Q228" s="33" t="n">
        <f>779</f>
        <v>779.0</v>
      </c>
      <c r="R228" s="34" t="s">
        <v>50</v>
      </c>
      <c r="S228" s="35" t="n">
        <f>745.81</f>
        <v>745.81</v>
      </c>
      <c r="T228" s="32" t="n">
        <f>2390501</f>
        <v>2390501.0</v>
      </c>
      <c r="U228" s="32" t="n">
        <f>122040</f>
        <v>122040.0</v>
      </c>
      <c r="V228" s="32" t="n">
        <f>1771817112</f>
        <v>1.771817112E9</v>
      </c>
      <c r="W228" s="32" t="n">
        <f>89943480</f>
        <v>8.994348E7</v>
      </c>
      <c r="X228" s="36" t="n">
        <f>21</f>
        <v>21.0</v>
      </c>
    </row>
    <row r="229">
      <c r="A229" s="27" t="s">
        <v>42</v>
      </c>
      <c r="B229" s="27" t="s">
        <v>729</v>
      </c>
      <c r="C229" s="27" t="s">
        <v>730</v>
      </c>
      <c r="D229" s="27" t="s">
        <v>731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1190</f>
        <v>1190.0</v>
      </c>
      <c r="L229" s="34" t="s">
        <v>48</v>
      </c>
      <c r="M229" s="33" t="n">
        <f>1190</f>
        <v>1190.0</v>
      </c>
      <c r="N229" s="34" t="s">
        <v>48</v>
      </c>
      <c r="O229" s="33" t="n">
        <f>1070</f>
        <v>1070.0</v>
      </c>
      <c r="P229" s="34" t="s">
        <v>49</v>
      </c>
      <c r="Q229" s="33" t="n">
        <f>1095</f>
        <v>1095.0</v>
      </c>
      <c r="R229" s="34" t="s">
        <v>50</v>
      </c>
      <c r="S229" s="35" t="n">
        <f>1122.86</f>
        <v>1122.86</v>
      </c>
      <c r="T229" s="32" t="n">
        <f>407162</f>
        <v>407162.0</v>
      </c>
      <c r="U229" s="32" t="str">
        <f>"－"</f>
        <v>－</v>
      </c>
      <c r="V229" s="32" t="n">
        <f>450192663</f>
        <v>4.50192663E8</v>
      </c>
      <c r="W229" s="32" t="str">
        <f>"－"</f>
        <v>－</v>
      </c>
      <c r="X229" s="36" t="n">
        <f>21</f>
        <v>21.0</v>
      </c>
    </row>
    <row r="230">
      <c r="A230" s="27" t="s">
        <v>42</v>
      </c>
      <c r="B230" s="27" t="s">
        <v>732</v>
      </c>
      <c r="C230" s="27" t="s">
        <v>733</v>
      </c>
      <c r="D230" s="27" t="s">
        <v>734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1130</f>
        <v>1130.0</v>
      </c>
      <c r="L230" s="34" t="s">
        <v>48</v>
      </c>
      <c r="M230" s="33" t="n">
        <f>1150</f>
        <v>1150.0</v>
      </c>
      <c r="N230" s="34" t="s">
        <v>222</v>
      </c>
      <c r="O230" s="33" t="n">
        <f>1038</f>
        <v>1038.0</v>
      </c>
      <c r="P230" s="34" t="s">
        <v>57</v>
      </c>
      <c r="Q230" s="33" t="n">
        <f>1039</f>
        <v>1039.0</v>
      </c>
      <c r="R230" s="34" t="s">
        <v>50</v>
      </c>
      <c r="S230" s="35" t="n">
        <f>1097.57</f>
        <v>1097.57</v>
      </c>
      <c r="T230" s="32" t="n">
        <f>869042</f>
        <v>869042.0</v>
      </c>
      <c r="U230" s="32" t="n">
        <f>107180</f>
        <v>107180.0</v>
      </c>
      <c r="V230" s="32" t="n">
        <f>953502128</f>
        <v>9.53502128E8</v>
      </c>
      <c r="W230" s="32" t="n">
        <f>118830980</f>
        <v>1.1883098E8</v>
      </c>
      <c r="X230" s="36" t="n">
        <f>21</f>
        <v>21.0</v>
      </c>
    </row>
    <row r="231">
      <c r="A231" s="27" t="s">
        <v>42</v>
      </c>
      <c r="B231" s="27" t="s">
        <v>735</v>
      </c>
      <c r="C231" s="27" t="s">
        <v>736</v>
      </c>
      <c r="D231" s="27" t="s">
        <v>737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1108</f>
        <v>1108.0</v>
      </c>
      <c r="L231" s="34" t="s">
        <v>48</v>
      </c>
      <c r="M231" s="33" t="n">
        <f>1116</f>
        <v>1116.0</v>
      </c>
      <c r="N231" s="34" t="s">
        <v>107</v>
      </c>
      <c r="O231" s="33" t="n">
        <f>1038</f>
        <v>1038.0</v>
      </c>
      <c r="P231" s="34" t="s">
        <v>57</v>
      </c>
      <c r="Q231" s="33" t="n">
        <f>1052</f>
        <v>1052.0</v>
      </c>
      <c r="R231" s="34" t="s">
        <v>50</v>
      </c>
      <c r="S231" s="35" t="n">
        <f>1083.29</f>
        <v>1083.29</v>
      </c>
      <c r="T231" s="32" t="n">
        <f>563884</f>
        <v>563884.0</v>
      </c>
      <c r="U231" s="32" t="str">
        <f>"－"</f>
        <v>－</v>
      </c>
      <c r="V231" s="32" t="n">
        <f>610124666</f>
        <v>6.10124666E8</v>
      </c>
      <c r="W231" s="32" t="str">
        <f>"－"</f>
        <v>－</v>
      </c>
      <c r="X231" s="36" t="n">
        <f>21</f>
        <v>21.0</v>
      </c>
    </row>
    <row r="232">
      <c r="A232" s="27" t="s">
        <v>42</v>
      </c>
      <c r="B232" s="27" t="s">
        <v>738</v>
      </c>
      <c r="C232" s="27" t="s">
        <v>739</v>
      </c>
      <c r="D232" s="27" t="s">
        <v>740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1.0</v>
      </c>
      <c r="K232" s="33" t="n">
        <f>1069</f>
        <v>1069.0</v>
      </c>
      <c r="L232" s="34" t="s">
        <v>48</v>
      </c>
      <c r="M232" s="33" t="n">
        <f>1069</f>
        <v>1069.0</v>
      </c>
      <c r="N232" s="34" t="s">
        <v>48</v>
      </c>
      <c r="O232" s="33" t="n">
        <f>968</f>
        <v>968.0</v>
      </c>
      <c r="P232" s="34" t="s">
        <v>50</v>
      </c>
      <c r="Q232" s="33" t="n">
        <f>971</f>
        <v>971.0</v>
      </c>
      <c r="R232" s="34" t="s">
        <v>50</v>
      </c>
      <c r="S232" s="35" t="n">
        <f>1019.48</f>
        <v>1019.48</v>
      </c>
      <c r="T232" s="32" t="n">
        <f>382615</f>
        <v>382615.0</v>
      </c>
      <c r="U232" s="32" t="str">
        <f>"－"</f>
        <v>－</v>
      </c>
      <c r="V232" s="32" t="n">
        <f>387546463</f>
        <v>3.87546463E8</v>
      </c>
      <c r="W232" s="32" t="str">
        <f>"－"</f>
        <v>－</v>
      </c>
      <c r="X232" s="36" t="n">
        <f>21</f>
        <v>21.0</v>
      </c>
    </row>
    <row r="233">
      <c r="A233" s="27" t="s">
        <v>42</v>
      </c>
      <c r="B233" s="27" t="s">
        <v>741</v>
      </c>
      <c r="C233" s="27" t="s">
        <v>742</v>
      </c>
      <c r="D233" s="27" t="s">
        <v>743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1.0</v>
      </c>
      <c r="K233" s="33" t="n">
        <f>1800</f>
        <v>1800.0</v>
      </c>
      <c r="L233" s="34" t="s">
        <v>48</v>
      </c>
      <c r="M233" s="33" t="n">
        <f>1810</f>
        <v>1810.0</v>
      </c>
      <c r="N233" s="34" t="s">
        <v>48</v>
      </c>
      <c r="O233" s="33" t="n">
        <f>1630</f>
        <v>1630.0</v>
      </c>
      <c r="P233" s="34" t="s">
        <v>50</v>
      </c>
      <c r="Q233" s="33" t="n">
        <f>1635</f>
        <v>1635.0</v>
      </c>
      <c r="R233" s="34" t="s">
        <v>50</v>
      </c>
      <c r="S233" s="35" t="n">
        <f>1708.76</f>
        <v>1708.76</v>
      </c>
      <c r="T233" s="32" t="n">
        <f>780532</f>
        <v>780532.0</v>
      </c>
      <c r="U233" s="32" t="n">
        <f>271790</f>
        <v>271790.0</v>
      </c>
      <c r="V233" s="32" t="n">
        <f>1335438482</f>
        <v>1.335438482E9</v>
      </c>
      <c r="W233" s="32" t="n">
        <f>465817648</f>
        <v>4.65817648E8</v>
      </c>
      <c r="X233" s="36" t="n">
        <f>21</f>
        <v>21.0</v>
      </c>
    </row>
    <row r="234">
      <c r="A234" s="27" t="s">
        <v>42</v>
      </c>
      <c r="B234" s="27" t="s">
        <v>744</v>
      </c>
      <c r="C234" s="27" t="s">
        <v>745</v>
      </c>
      <c r="D234" s="27" t="s">
        <v>746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297.7</f>
        <v>297.7</v>
      </c>
      <c r="L234" s="34" t="s">
        <v>48</v>
      </c>
      <c r="M234" s="33" t="n">
        <f>309.3</f>
        <v>309.3</v>
      </c>
      <c r="N234" s="34" t="s">
        <v>64</v>
      </c>
      <c r="O234" s="33" t="n">
        <f>257.2</f>
        <v>257.2</v>
      </c>
      <c r="P234" s="34" t="s">
        <v>50</v>
      </c>
      <c r="Q234" s="33" t="n">
        <f>262</f>
        <v>262.0</v>
      </c>
      <c r="R234" s="34" t="s">
        <v>50</v>
      </c>
      <c r="S234" s="35" t="n">
        <f>284.73</f>
        <v>284.73</v>
      </c>
      <c r="T234" s="32" t="n">
        <f>8075020</f>
        <v>8075020.0</v>
      </c>
      <c r="U234" s="32" t="n">
        <f>60000</f>
        <v>60000.0</v>
      </c>
      <c r="V234" s="32" t="n">
        <f>2297017064</f>
        <v>2.297017064E9</v>
      </c>
      <c r="W234" s="32" t="n">
        <f>17704000</f>
        <v>1.7704E7</v>
      </c>
      <c r="X234" s="36" t="n">
        <f>21</f>
        <v>21.0</v>
      </c>
    </row>
    <row r="235">
      <c r="A235" s="27" t="s">
        <v>42</v>
      </c>
      <c r="B235" s="27" t="s">
        <v>747</v>
      </c>
      <c r="C235" s="27" t="s">
        <v>748</v>
      </c>
      <c r="D235" s="27" t="s">
        <v>749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10.0</v>
      </c>
      <c r="K235" s="33" t="n">
        <f>843.3</f>
        <v>843.3</v>
      </c>
      <c r="L235" s="34" t="s">
        <v>48</v>
      </c>
      <c r="M235" s="33" t="n">
        <f>876.6</f>
        <v>876.6</v>
      </c>
      <c r="N235" s="34" t="s">
        <v>64</v>
      </c>
      <c r="O235" s="33" t="n">
        <f>728.9</f>
        <v>728.9</v>
      </c>
      <c r="P235" s="34" t="s">
        <v>50</v>
      </c>
      <c r="Q235" s="33" t="n">
        <f>749.2</f>
        <v>749.2</v>
      </c>
      <c r="R235" s="34" t="s">
        <v>50</v>
      </c>
      <c r="S235" s="35" t="n">
        <f>809.96</f>
        <v>809.96</v>
      </c>
      <c r="T235" s="32" t="n">
        <f>788870</f>
        <v>788870.0</v>
      </c>
      <c r="U235" s="32" t="n">
        <f>50</f>
        <v>50.0</v>
      </c>
      <c r="V235" s="32" t="n">
        <f>634359521</f>
        <v>6.34359521E8</v>
      </c>
      <c r="W235" s="32" t="n">
        <f>37460</f>
        <v>37460.0</v>
      </c>
      <c r="X235" s="36" t="n">
        <f>21</f>
        <v>21.0</v>
      </c>
    </row>
    <row r="236">
      <c r="A236" s="27" t="s">
        <v>42</v>
      </c>
      <c r="B236" s="27" t="s">
        <v>750</v>
      </c>
      <c r="C236" s="27" t="s">
        <v>751</v>
      </c>
      <c r="D236" s="27" t="s">
        <v>752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3300</f>
        <v>3300.0</v>
      </c>
      <c r="L236" s="34" t="s">
        <v>48</v>
      </c>
      <c r="M236" s="33" t="n">
        <f>3367</f>
        <v>3367.0</v>
      </c>
      <c r="N236" s="34" t="s">
        <v>64</v>
      </c>
      <c r="O236" s="33" t="n">
        <f>3124</f>
        <v>3124.0</v>
      </c>
      <c r="P236" s="34" t="s">
        <v>57</v>
      </c>
      <c r="Q236" s="33" t="n">
        <f>3170</f>
        <v>3170.0</v>
      </c>
      <c r="R236" s="34" t="s">
        <v>50</v>
      </c>
      <c r="S236" s="35" t="n">
        <f>3244.29</f>
        <v>3244.29</v>
      </c>
      <c r="T236" s="32" t="n">
        <f>51846</f>
        <v>51846.0</v>
      </c>
      <c r="U236" s="32" t="n">
        <f>180</f>
        <v>180.0</v>
      </c>
      <c r="V236" s="32" t="n">
        <f>164392078</f>
        <v>1.64392078E8</v>
      </c>
      <c r="W236" s="32" t="n">
        <f>581088</f>
        <v>581088.0</v>
      </c>
      <c r="X236" s="36" t="n">
        <f>21</f>
        <v>21.0</v>
      </c>
    </row>
    <row r="237">
      <c r="A237" s="27" t="s">
        <v>42</v>
      </c>
      <c r="B237" s="27" t="s">
        <v>753</v>
      </c>
      <c r="C237" s="27" t="s">
        <v>754</v>
      </c>
      <c r="D237" s="27" t="s">
        <v>755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1448</f>
        <v>1448.0</v>
      </c>
      <c r="L237" s="34" t="s">
        <v>48</v>
      </c>
      <c r="M237" s="33" t="n">
        <f>1465</f>
        <v>1465.0</v>
      </c>
      <c r="N237" s="34" t="s">
        <v>64</v>
      </c>
      <c r="O237" s="33" t="n">
        <f>1345</f>
        <v>1345.0</v>
      </c>
      <c r="P237" s="34" t="s">
        <v>49</v>
      </c>
      <c r="Q237" s="33" t="n">
        <f>1371</f>
        <v>1371.0</v>
      </c>
      <c r="R237" s="34" t="s">
        <v>50</v>
      </c>
      <c r="S237" s="35" t="n">
        <f>1398</f>
        <v>1398.0</v>
      </c>
      <c r="T237" s="32" t="n">
        <f>902745</f>
        <v>902745.0</v>
      </c>
      <c r="U237" s="32" t="n">
        <f>5</f>
        <v>5.0</v>
      </c>
      <c r="V237" s="32" t="n">
        <f>1256378242</f>
        <v>1.256378242E9</v>
      </c>
      <c r="W237" s="32" t="n">
        <f>6860</f>
        <v>6860.0</v>
      </c>
      <c r="X237" s="36" t="n">
        <f>21</f>
        <v>21.0</v>
      </c>
    </row>
    <row r="238">
      <c r="A238" s="27" t="s">
        <v>42</v>
      </c>
      <c r="B238" s="27" t="s">
        <v>756</v>
      </c>
      <c r="C238" s="27" t="s">
        <v>757</v>
      </c>
      <c r="D238" s="27" t="s">
        <v>758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102000</f>
        <v>102000.0</v>
      </c>
      <c r="L238" s="34" t="s">
        <v>48</v>
      </c>
      <c r="M238" s="33" t="n">
        <f>103550</f>
        <v>103550.0</v>
      </c>
      <c r="N238" s="34" t="s">
        <v>107</v>
      </c>
      <c r="O238" s="33" t="n">
        <f>86200</f>
        <v>86200.0</v>
      </c>
      <c r="P238" s="34" t="s">
        <v>50</v>
      </c>
      <c r="Q238" s="33" t="n">
        <f>89790</f>
        <v>89790.0</v>
      </c>
      <c r="R238" s="34" t="s">
        <v>50</v>
      </c>
      <c r="S238" s="35" t="n">
        <f>97044.29</f>
        <v>97044.29</v>
      </c>
      <c r="T238" s="32" t="n">
        <f>40751</f>
        <v>40751.0</v>
      </c>
      <c r="U238" s="32" t="n">
        <f>119</f>
        <v>119.0</v>
      </c>
      <c r="V238" s="32" t="n">
        <f>3842498119</f>
        <v>3.842498119E9</v>
      </c>
      <c r="W238" s="32" t="n">
        <f>11754489</f>
        <v>1.1754489E7</v>
      </c>
      <c r="X238" s="36" t="n">
        <f>21</f>
        <v>21.0</v>
      </c>
    </row>
    <row r="239">
      <c r="A239" s="27" t="s">
        <v>42</v>
      </c>
      <c r="B239" s="27" t="s">
        <v>759</v>
      </c>
      <c r="C239" s="27" t="s">
        <v>760</v>
      </c>
      <c r="D239" s="27" t="s">
        <v>761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5865</f>
        <v>5865.0</v>
      </c>
      <c r="L239" s="34" t="s">
        <v>48</v>
      </c>
      <c r="M239" s="33" t="n">
        <f>6321</f>
        <v>6321.0</v>
      </c>
      <c r="N239" s="34" t="s">
        <v>50</v>
      </c>
      <c r="O239" s="33" t="n">
        <f>5792</f>
        <v>5792.0</v>
      </c>
      <c r="P239" s="34" t="s">
        <v>107</v>
      </c>
      <c r="Q239" s="33" t="n">
        <f>6242</f>
        <v>6242.0</v>
      </c>
      <c r="R239" s="34" t="s">
        <v>50</v>
      </c>
      <c r="S239" s="35" t="n">
        <f>5995.52</f>
        <v>5995.52</v>
      </c>
      <c r="T239" s="32" t="n">
        <f>213448</f>
        <v>213448.0</v>
      </c>
      <c r="U239" s="32" t="n">
        <f>65135</f>
        <v>65135.0</v>
      </c>
      <c r="V239" s="32" t="n">
        <f>1286709667</f>
        <v>1.286709667E9</v>
      </c>
      <c r="W239" s="32" t="n">
        <f>392936376</f>
        <v>3.92936376E8</v>
      </c>
      <c r="X239" s="36" t="n">
        <f>21</f>
        <v>21.0</v>
      </c>
    </row>
    <row r="240">
      <c r="A240" s="27" t="s">
        <v>42</v>
      </c>
      <c r="B240" s="27" t="s">
        <v>762</v>
      </c>
      <c r="C240" s="27" t="s">
        <v>763</v>
      </c>
      <c r="D240" s="27" t="s">
        <v>764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21965</f>
        <v>21965.0</v>
      </c>
      <c r="L240" s="34" t="s">
        <v>48</v>
      </c>
      <c r="M240" s="33" t="n">
        <f>22475</f>
        <v>22475.0</v>
      </c>
      <c r="N240" s="34" t="s">
        <v>107</v>
      </c>
      <c r="O240" s="33" t="n">
        <f>18750</f>
        <v>18750.0</v>
      </c>
      <c r="P240" s="34" t="s">
        <v>50</v>
      </c>
      <c r="Q240" s="33" t="n">
        <f>19400</f>
        <v>19400.0</v>
      </c>
      <c r="R240" s="34" t="s">
        <v>50</v>
      </c>
      <c r="S240" s="35" t="n">
        <f>21002.14</f>
        <v>21002.14</v>
      </c>
      <c r="T240" s="32" t="n">
        <f>62459</f>
        <v>62459.0</v>
      </c>
      <c r="U240" s="32" t="n">
        <f>1012</f>
        <v>1012.0</v>
      </c>
      <c r="V240" s="32" t="n">
        <f>1315254639</f>
        <v>1.315254639E9</v>
      </c>
      <c r="W240" s="32" t="n">
        <f>21058084</f>
        <v>2.1058084E7</v>
      </c>
      <c r="X240" s="36" t="n">
        <f>21</f>
        <v>21.0</v>
      </c>
    </row>
    <row r="241">
      <c r="A241" s="27" t="s">
        <v>42</v>
      </c>
      <c r="B241" s="27" t="s">
        <v>765</v>
      </c>
      <c r="C241" s="27" t="s">
        <v>766</v>
      </c>
      <c r="D241" s="27" t="s">
        <v>767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1394</f>
        <v>1394.0</v>
      </c>
      <c r="L241" s="34" t="s">
        <v>48</v>
      </c>
      <c r="M241" s="33" t="n">
        <f>1427</f>
        <v>1427.0</v>
      </c>
      <c r="N241" s="34" t="s">
        <v>238</v>
      </c>
      <c r="O241" s="33" t="n">
        <f>1269</f>
        <v>1269.0</v>
      </c>
      <c r="P241" s="34" t="s">
        <v>50</v>
      </c>
      <c r="Q241" s="33" t="n">
        <f>1284</f>
        <v>1284.0</v>
      </c>
      <c r="R241" s="34" t="s">
        <v>50</v>
      </c>
      <c r="S241" s="35" t="n">
        <f>1376</f>
        <v>1376.0</v>
      </c>
      <c r="T241" s="32" t="n">
        <f>1222262</f>
        <v>1222262.0</v>
      </c>
      <c r="U241" s="32" t="str">
        <f>"－"</f>
        <v>－</v>
      </c>
      <c r="V241" s="32" t="n">
        <f>1667727872</f>
        <v>1.667727872E9</v>
      </c>
      <c r="W241" s="32" t="str">
        <f>"－"</f>
        <v>－</v>
      </c>
      <c r="X241" s="36" t="n">
        <f>21</f>
        <v>21.0</v>
      </c>
    </row>
    <row r="242">
      <c r="A242" s="27" t="s">
        <v>42</v>
      </c>
      <c r="B242" s="27" t="s">
        <v>768</v>
      </c>
      <c r="C242" s="27" t="s">
        <v>769</v>
      </c>
      <c r="D242" s="27" t="s">
        <v>770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1.0</v>
      </c>
      <c r="K242" s="33" t="n">
        <f>5943</f>
        <v>5943.0</v>
      </c>
      <c r="L242" s="34" t="s">
        <v>48</v>
      </c>
      <c r="M242" s="33" t="n">
        <f>6441</f>
        <v>6441.0</v>
      </c>
      <c r="N242" s="34" t="s">
        <v>50</v>
      </c>
      <c r="O242" s="33" t="n">
        <f>5841</f>
        <v>5841.0</v>
      </c>
      <c r="P242" s="34" t="s">
        <v>64</v>
      </c>
      <c r="Q242" s="33" t="n">
        <f>6329</f>
        <v>6329.0</v>
      </c>
      <c r="R242" s="34" t="s">
        <v>50</v>
      </c>
      <c r="S242" s="35" t="n">
        <f>6073.81</f>
        <v>6073.81</v>
      </c>
      <c r="T242" s="32" t="n">
        <f>15829</f>
        <v>15829.0</v>
      </c>
      <c r="U242" s="32" t="n">
        <f>24</f>
        <v>24.0</v>
      </c>
      <c r="V242" s="32" t="n">
        <f>95978269</f>
        <v>9.5978269E7</v>
      </c>
      <c r="W242" s="32" t="n">
        <f>147879</f>
        <v>147879.0</v>
      </c>
      <c r="X242" s="36" t="n">
        <f>21</f>
        <v>21.0</v>
      </c>
    </row>
    <row r="243">
      <c r="A243" s="27" t="s">
        <v>42</v>
      </c>
      <c r="B243" s="27" t="s">
        <v>771</v>
      </c>
      <c r="C243" s="27" t="s">
        <v>772</v>
      </c>
      <c r="D243" s="27" t="s">
        <v>773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841.4</f>
        <v>841.4</v>
      </c>
      <c r="L243" s="34" t="s">
        <v>48</v>
      </c>
      <c r="M243" s="33" t="n">
        <f>854.9</f>
        <v>854.9</v>
      </c>
      <c r="N243" s="34" t="s">
        <v>64</v>
      </c>
      <c r="O243" s="33" t="n">
        <f>795.6</f>
        <v>795.6</v>
      </c>
      <c r="P243" s="34" t="s">
        <v>50</v>
      </c>
      <c r="Q243" s="33" t="n">
        <f>809</f>
        <v>809.0</v>
      </c>
      <c r="R243" s="34" t="s">
        <v>50</v>
      </c>
      <c r="S243" s="35" t="n">
        <f>829.68</f>
        <v>829.68</v>
      </c>
      <c r="T243" s="32" t="n">
        <f>822140</f>
        <v>822140.0</v>
      </c>
      <c r="U243" s="32" t="n">
        <f>557870</f>
        <v>557870.0</v>
      </c>
      <c r="V243" s="32" t="n">
        <f>687149007</f>
        <v>6.87149007E8</v>
      </c>
      <c r="W243" s="32" t="n">
        <f>467147388</f>
        <v>4.67147388E8</v>
      </c>
      <c r="X243" s="36" t="n">
        <f>21</f>
        <v>21.0</v>
      </c>
    </row>
    <row r="244">
      <c r="A244" s="27" t="s">
        <v>42</v>
      </c>
      <c r="B244" s="27" t="s">
        <v>774</v>
      </c>
      <c r="C244" s="27" t="s">
        <v>775</v>
      </c>
      <c r="D244" s="27" t="s">
        <v>776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635</f>
        <v>635.0</v>
      </c>
      <c r="L244" s="34" t="s">
        <v>48</v>
      </c>
      <c r="M244" s="33" t="n">
        <f>636.5</f>
        <v>636.5</v>
      </c>
      <c r="N244" s="34" t="s">
        <v>64</v>
      </c>
      <c r="O244" s="33" t="n">
        <f>581</f>
        <v>581.0</v>
      </c>
      <c r="P244" s="34" t="s">
        <v>57</v>
      </c>
      <c r="Q244" s="33" t="n">
        <f>591.8</f>
        <v>591.8</v>
      </c>
      <c r="R244" s="34" t="s">
        <v>50</v>
      </c>
      <c r="S244" s="35" t="n">
        <f>610.61</f>
        <v>610.61</v>
      </c>
      <c r="T244" s="32" t="n">
        <f>4271640</f>
        <v>4271640.0</v>
      </c>
      <c r="U244" s="32" t="n">
        <f>3950240</f>
        <v>3950240.0</v>
      </c>
      <c r="V244" s="32" t="n">
        <f>2624391300</f>
        <v>2.6243913E9</v>
      </c>
      <c r="W244" s="32" t="n">
        <f>2426247252</f>
        <v>2.426247252E9</v>
      </c>
      <c r="X244" s="36" t="n">
        <f>21</f>
        <v>21.0</v>
      </c>
    </row>
    <row r="245">
      <c r="A245" s="27" t="s">
        <v>42</v>
      </c>
      <c r="B245" s="27" t="s">
        <v>777</v>
      </c>
      <c r="C245" s="27" t="s">
        <v>778</v>
      </c>
      <c r="D245" s="27" t="s">
        <v>779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1.0</v>
      </c>
      <c r="K245" s="33" t="n">
        <f>2967</f>
        <v>2967.0</v>
      </c>
      <c r="L245" s="34" t="s">
        <v>48</v>
      </c>
      <c r="M245" s="33" t="n">
        <f>3028</f>
        <v>3028.0</v>
      </c>
      <c r="N245" s="34" t="s">
        <v>64</v>
      </c>
      <c r="O245" s="33" t="n">
        <f>2674</f>
        <v>2674.0</v>
      </c>
      <c r="P245" s="34" t="s">
        <v>50</v>
      </c>
      <c r="Q245" s="33" t="n">
        <f>2723</f>
        <v>2723.0</v>
      </c>
      <c r="R245" s="34" t="s">
        <v>50</v>
      </c>
      <c r="S245" s="35" t="n">
        <f>2914.48</f>
        <v>2914.48</v>
      </c>
      <c r="T245" s="32" t="n">
        <f>4403509</f>
        <v>4403509.0</v>
      </c>
      <c r="U245" s="32" t="n">
        <f>76718</f>
        <v>76718.0</v>
      </c>
      <c r="V245" s="32" t="n">
        <f>12716506703</f>
        <v>1.2716506703E10</v>
      </c>
      <c r="W245" s="32" t="n">
        <f>210798992</f>
        <v>2.10798992E8</v>
      </c>
      <c r="X245" s="36" t="n">
        <f>21</f>
        <v>21.0</v>
      </c>
    </row>
    <row r="246">
      <c r="A246" s="27" t="s">
        <v>42</v>
      </c>
      <c r="B246" s="27" t="s">
        <v>780</v>
      </c>
      <c r="C246" s="27" t="s">
        <v>781</v>
      </c>
      <c r="D246" s="27" t="s">
        <v>782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1.0</v>
      </c>
      <c r="K246" s="33" t="n">
        <f>2901</f>
        <v>2901.0</v>
      </c>
      <c r="L246" s="34" t="s">
        <v>48</v>
      </c>
      <c r="M246" s="33" t="n">
        <f>3028</f>
        <v>3028.0</v>
      </c>
      <c r="N246" s="34" t="s">
        <v>238</v>
      </c>
      <c r="O246" s="33" t="n">
        <f>2717</f>
        <v>2717.0</v>
      </c>
      <c r="P246" s="34" t="s">
        <v>50</v>
      </c>
      <c r="Q246" s="33" t="n">
        <f>2757</f>
        <v>2757.0</v>
      </c>
      <c r="R246" s="34" t="s">
        <v>50</v>
      </c>
      <c r="S246" s="35" t="n">
        <f>2934.52</f>
        <v>2934.52</v>
      </c>
      <c r="T246" s="32" t="n">
        <f>3925709</f>
        <v>3925709.0</v>
      </c>
      <c r="U246" s="32" t="n">
        <f>38811</f>
        <v>38811.0</v>
      </c>
      <c r="V246" s="32" t="n">
        <f>11452663116</f>
        <v>1.1452663116E10</v>
      </c>
      <c r="W246" s="32" t="n">
        <f>114129000</f>
        <v>1.14129E8</v>
      </c>
      <c r="X246" s="36" t="n">
        <f>21</f>
        <v>21.0</v>
      </c>
    </row>
    <row r="247">
      <c r="A247" s="27" t="s">
        <v>42</v>
      </c>
      <c r="B247" s="27" t="s">
        <v>783</v>
      </c>
      <c r="C247" s="27" t="s">
        <v>784</v>
      </c>
      <c r="D247" s="27" t="s">
        <v>785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10.0</v>
      </c>
      <c r="K247" s="33" t="n">
        <f>738.8</f>
        <v>738.8</v>
      </c>
      <c r="L247" s="34" t="s">
        <v>48</v>
      </c>
      <c r="M247" s="33" t="n">
        <f>740.8</f>
        <v>740.8</v>
      </c>
      <c r="N247" s="34" t="s">
        <v>181</v>
      </c>
      <c r="O247" s="33" t="n">
        <f>706.9</f>
        <v>706.9</v>
      </c>
      <c r="P247" s="34" t="s">
        <v>57</v>
      </c>
      <c r="Q247" s="33" t="n">
        <f>709.6</f>
        <v>709.6</v>
      </c>
      <c r="R247" s="34" t="s">
        <v>50</v>
      </c>
      <c r="S247" s="35" t="n">
        <f>718.97</f>
        <v>718.97</v>
      </c>
      <c r="T247" s="32" t="n">
        <f>41500</f>
        <v>41500.0</v>
      </c>
      <c r="U247" s="32" t="str">
        <f>"－"</f>
        <v>－</v>
      </c>
      <c r="V247" s="32" t="n">
        <f>30387041</f>
        <v>3.0387041E7</v>
      </c>
      <c r="W247" s="32" t="str">
        <f>"－"</f>
        <v>－</v>
      </c>
      <c r="X247" s="36" t="n">
        <f>20</f>
        <v>20.0</v>
      </c>
    </row>
    <row r="248">
      <c r="A248" s="27" t="s">
        <v>42</v>
      </c>
      <c r="B248" s="27" t="s">
        <v>786</v>
      </c>
      <c r="C248" s="27" t="s">
        <v>787</v>
      </c>
      <c r="D248" s="27" t="s">
        <v>788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10.0</v>
      </c>
      <c r="K248" s="33" t="n">
        <f>747.6</f>
        <v>747.6</v>
      </c>
      <c r="L248" s="34" t="s">
        <v>48</v>
      </c>
      <c r="M248" s="33" t="n">
        <f>748.8</f>
        <v>748.8</v>
      </c>
      <c r="N248" s="34" t="s">
        <v>301</v>
      </c>
      <c r="O248" s="33" t="n">
        <f>706.7</f>
        <v>706.7</v>
      </c>
      <c r="P248" s="34" t="s">
        <v>57</v>
      </c>
      <c r="Q248" s="33" t="n">
        <f>713</f>
        <v>713.0</v>
      </c>
      <c r="R248" s="34" t="s">
        <v>50</v>
      </c>
      <c r="S248" s="35" t="n">
        <f>721.01</f>
        <v>721.01</v>
      </c>
      <c r="T248" s="32" t="n">
        <f>784590</f>
        <v>784590.0</v>
      </c>
      <c r="U248" s="32" t="str">
        <f>"－"</f>
        <v>－</v>
      </c>
      <c r="V248" s="32" t="n">
        <f>562233436</f>
        <v>5.62233436E8</v>
      </c>
      <c r="W248" s="32" t="str">
        <f>"－"</f>
        <v>－</v>
      </c>
      <c r="X248" s="36" t="n">
        <f>20</f>
        <v>20.0</v>
      </c>
    </row>
    <row r="249">
      <c r="A249" s="27" t="s">
        <v>42</v>
      </c>
      <c r="B249" s="27" t="s">
        <v>789</v>
      </c>
      <c r="C249" s="27" t="s">
        <v>790</v>
      </c>
      <c r="D249" s="27" t="s">
        <v>791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2008</f>
        <v>2008.0</v>
      </c>
      <c r="L249" s="34" t="s">
        <v>48</v>
      </c>
      <c r="M249" s="33" t="n">
        <f>2042</f>
        <v>2042.0</v>
      </c>
      <c r="N249" s="34" t="s">
        <v>107</v>
      </c>
      <c r="O249" s="33" t="n">
        <f>1896</f>
        <v>1896.0</v>
      </c>
      <c r="P249" s="34" t="s">
        <v>50</v>
      </c>
      <c r="Q249" s="33" t="n">
        <f>1908</f>
        <v>1908.0</v>
      </c>
      <c r="R249" s="34" t="s">
        <v>50</v>
      </c>
      <c r="S249" s="35" t="n">
        <f>1987.05</f>
        <v>1987.05</v>
      </c>
      <c r="T249" s="32" t="n">
        <f>1921781</f>
        <v>1921781.0</v>
      </c>
      <c r="U249" s="32" t="n">
        <f>1390850</f>
        <v>1390850.0</v>
      </c>
      <c r="V249" s="32" t="n">
        <f>3758432440</f>
        <v>3.75843244E9</v>
      </c>
      <c r="W249" s="32" t="n">
        <f>2701416599</f>
        <v>2.701416599E9</v>
      </c>
      <c r="X249" s="36" t="n">
        <f>21</f>
        <v>21.0</v>
      </c>
    </row>
    <row r="250">
      <c r="A250" s="27" t="s">
        <v>42</v>
      </c>
      <c r="B250" s="27" t="s">
        <v>792</v>
      </c>
      <c r="C250" s="27" t="s">
        <v>793</v>
      </c>
      <c r="D250" s="27" t="s">
        <v>794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2495</f>
        <v>2495.0</v>
      </c>
      <c r="L250" s="34" t="s">
        <v>48</v>
      </c>
      <c r="M250" s="33" t="n">
        <f>2525</f>
        <v>2525.0</v>
      </c>
      <c r="N250" s="34" t="s">
        <v>107</v>
      </c>
      <c r="O250" s="33" t="n">
        <f>2289</f>
        <v>2289.0</v>
      </c>
      <c r="P250" s="34" t="s">
        <v>50</v>
      </c>
      <c r="Q250" s="33" t="n">
        <f>2318</f>
        <v>2318.0</v>
      </c>
      <c r="R250" s="34" t="s">
        <v>50</v>
      </c>
      <c r="S250" s="35" t="n">
        <f>2426.67</f>
        <v>2426.67</v>
      </c>
      <c r="T250" s="32" t="n">
        <f>4479363</f>
        <v>4479363.0</v>
      </c>
      <c r="U250" s="32" t="n">
        <f>4123343</f>
        <v>4123343.0</v>
      </c>
      <c r="V250" s="32" t="n">
        <f>10877533501</f>
        <v>1.0877533501E10</v>
      </c>
      <c r="W250" s="32" t="n">
        <f>10016719774</f>
        <v>1.0016719774E10</v>
      </c>
      <c r="X250" s="36" t="n">
        <f>21</f>
        <v>21.0</v>
      </c>
    </row>
    <row r="251">
      <c r="A251" s="27" t="s">
        <v>42</v>
      </c>
      <c r="B251" s="27" t="s">
        <v>795</v>
      </c>
      <c r="C251" s="27" t="s">
        <v>796</v>
      </c>
      <c r="D251" s="27" t="s">
        <v>797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1.0</v>
      </c>
      <c r="K251" s="33" t="n">
        <f>11950</f>
        <v>11950.0</v>
      </c>
      <c r="L251" s="34" t="s">
        <v>48</v>
      </c>
      <c r="M251" s="33" t="n">
        <f>13845</f>
        <v>13845.0</v>
      </c>
      <c r="N251" s="34" t="s">
        <v>50</v>
      </c>
      <c r="O251" s="33" t="n">
        <f>11660</f>
        <v>11660.0</v>
      </c>
      <c r="P251" s="34" t="s">
        <v>107</v>
      </c>
      <c r="Q251" s="33" t="n">
        <f>13510</f>
        <v>13510.0</v>
      </c>
      <c r="R251" s="34" t="s">
        <v>50</v>
      </c>
      <c r="S251" s="35" t="n">
        <f>12473.1</f>
        <v>12473.1</v>
      </c>
      <c r="T251" s="32" t="n">
        <f>362153</f>
        <v>362153.0</v>
      </c>
      <c r="U251" s="32" t="n">
        <f>1973</f>
        <v>1973.0</v>
      </c>
      <c r="V251" s="32" t="n">
        <f>4581002275</f>
        <v>4.581002275E9</v>
      </c>
      <c r="W251" s="32" t="n">
        <f>24410360</f>
        <v>2.441036E7</v>
      </c>
      <c r="X251" s="36" t="n">
        <f>21</f>
        <v>21.0</v>
      </c>
    </row>
    <row r="252">
      <c r="A252" s="27" t="s">
        <v>42</v>
      </c>
      <c r="B252" s="27" t="s">
        <v>798</v>
      </c>
      <c r="C252" s="27" t="s">
        <v>799</v>
      </c>
      <c r="D252" s="27" t="s">
        <v>800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1945</f>
        <v>1945.0</v>
      </c>
      <c r="L252" s="34" t="s">
        <v>48</v>
      </c>
      <c r="M252" s="33" t="n">
        <f>2029</f>
        <v>2029.0</v>
      </c>
      <c r="N252" s="34" t="s">
        <v>64</v>
      </c>
      <c r="O252" s="33" t="n">
        <f>1650</f>
        <v>1650.0</v>
      </c>
      <c r="P252" s="34" t="s">
        <v>50</v>
      </c>
      <c r="Q252" s="33" t="n">
        <f>1683</f>
        <v>1683.0</v>
      </c>
      <c r="R252" s="34" t="s">
        <v>50</v>
      </c>
      <c r="S252" s="35" t="n">
        <f>1813.29</f>
        <v>1813.29</v>
      </c>
      <c r="T252" s="32" t="n">
        <f>1138207</f>
        <v>1138207.0</v>
      </c>
      <c r="U252" s="32" t="str">
        <f>"－"</f>
        <v>－</v>
      </c>
      <c r="V252" s="32" t="n">
        <f>2046899516</f>
        <v>2.046899516E9</v>
      </c>
      <c r="W252" s="32" t="str">
        <f>"－"</f>
        <v>－</v>
      </c>
      <c r="X252" s="36" t="n">
        <f>21</f>
        <v>21.0</v>
      </c>
    </row>
    <row r="253">
      <c r="A253" s="27" t="s">
        <v>42</v>
      </c>
      <c r="B253" s="27" t="s">
        <v>801</v>
      </c>
      <c r="C253" s="27" t="s">
        <v>802</v>
      </c>
      <c r="D253" s="27" t="s">
        <v>803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10.0</v>
      </c>
      <c r="K253" s="33" t="n">
        <f>339.1</f>
        <v>339.1</v>
      </c>
      <c r="L253" s="34" t="s">
        <v>48</v>
      </c>
      <c r="M253" s="33" t="n">
        <f>346.7</f>
        <v>346.7</v>
      </c>
      <c r="N253" s="34" t="s">
        <v>64</v>
      </c>
      <c r="O253" s="33" t="n">
        <f>303</f>
        <v>303.0</v>
      </c>
      <c r="P253" s="34" t="s">
        <v>49</v>
      </c>
      <c r="Q253" s="33" t="n">
        <f>309</f>
        <v>309.0</v>
      </c>
      <c r="R253" s="34" t="s">
        <v>50</v>
      </c>
      <c r="S253" s="35" t="n">
        <f>320.38</f>
        <v>320.38</v>
      </c>
      <c r="T253" s="32" t="n">
        <f>40460</f>
        <v>40460.0</v>
      </c>
      <c r="U253" s="32" t="str">
        <f>"－"</f>
        <v>－</v>
      </c>
      <c r="V253" s="32" t="n">
        <f>12941283</f>
        <v>1.2941283E7</v>
      </c>
      <c r="W253" s="32" t="str">
        <f>"－"</f>
        <v>－</v>
      </c>
      <c r="X253" s="36" t="n">
        <f>21</f>
        <v>21.0</v>
      </c>
    </row>
    <row r="254">
      <c r="A254" s="27" t="s">
        <v>42</v>
      </c>
      <c r="B254" s="27" t="s">
        <v>804</v>
      </c>
      <c r="C254" s="27" t="s">
        <v>805</v>
      </c>
      <c r="D254" s="27" t="s">
        <v>806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10.0</v>
      </c>
      <c r="K254" s="33" t="n">
        <f>835.5</f>
        <v>835.5</v>
      </c>
      <c r="L254" s="34" t="s">
        <v>48</v>
      </c>
      <c r="M254" s="33" t="n">
        <f>876.7</f>
        <v>876.7</v>
      </c>
      <c r="N254" s="34" t="s">
        <v>57</v>
      </c>
      <c r="O254" s="33" t="n">
        <f>833.1</f>
        <v>833.1</v>
      </c>
      <c r="P254" s="34" t="s">
        <v>64</v>
      </c>
      <c r="Q254" s="33" t="n">
        <f>863.7</f>
        <v>863.7</v>
      </c>
      <c r="R254" s="34" t="s">
        <v>50</v>
      </c>
      <c r="S254" s="35" t="n">
        <f>852.48</f>
        <v>852.48</v>
      </c>
      <c r="T254" s="32" t="n">
        <f>5536590</f>
        <v>5536590.0</v>
      </c>
      <c r="U254" s="32" t="n">
        <f>2468970</f>
        <v>2468970.0</v>
      </c>
      <c r="V254" s="32" t="n">
        <f>4724601644</f>
        <v>4.724601644E9</v>
      </c>
      <c r="W254" s="32" t="n">
        <f>2114618813</f>
        <v>2.114618813E9</v>
      </c>
      <c r="X254" s="36" t="n">
        <f>21</f>
        <v>21.0</v>
      </c>
    </row>
    <row r="255">
      <c r="A255" s="27" t="s">
        <v>42</v>
      </c>
      <c r="B255" s="27" t="s">
        <v>807</v>
      </c>
      <c r="C255" s="27" t="s">
        <v>808</v>
      </c>
      <c r="D255" s="27" t="s">
        <v>809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1315</f>
        <v>1315.0</v>
      </c>
      <c r="L255" s="34" t="s">
        <v>48</v>
      </c>
      <c r="M255" s="33" t="n">
        <f>1362</f>
        <v>1362.0</v>
      </c>
      <c r="N255" s="34" t="s">
        <v>107</v>
      </c>
      <c r="O255" s="33" t="n">
        <f>1243</f>
        <v>1243.0</v>
      </c>
      <c r="P255" s="34" t="s">
        <v>50</v>
      </c>
      <c r="Q255" s="33" t="n">
        <f>1263</f>
        <v>1263.0</v>
      </c>
      <c r="R255" s="34" t="s">
        <v>50</v>
      </c>
      <c r="S255" s="35" t="n">
        <f>1292.48</f>
        <v>1292.48</v>
      </c>
      <c r="T255" s="32" t="n">
        <f>105550</f>
        <v>105550.0</v>
      </c>
      <c r="U255" s="32" t="str">
        <f>"－"</f>
        <v>－</v>
      </c>
      <c r="V255" s="32" t="n">
        <f>136603438</f>
        <v>1.36603438E8</v>
      </c>
      <c r="W255" s="32" t="str">
        <f>"－"</f>
        <v>－</v>
      </c>
      <c r="X255" s="36" t="n">
        <f>21</f>
        <v>21.0</v>
      </c>
    </row>
    <row r="256">
      <c r="A256" s="27" t="s">
        <v>42</v>
      </c>
      <c r="B256" s="27" t="s">
        <v>810</v>
      </c>
      <c r="C256" s="27" t="s">
        <v>811</v>
      </c>
      <c r="D256" s="27" t="s">
        <v>812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1.0</v>
      </c>
      <c r="K256" s="33" t="n">
        <f>1311</f>
        <v>1311.0</v>
      </c>
      <c r="L256" s="34" t="s">
        <v>48</v>
      </c>
      <c r="M256" s="33" t="n">
        <f>1381</f>
        <v>1381.0</v>
      </c>
      <c r="N256" s="34" t="s">
        <v>107</v>
      </c>
      <c r="O256" s="33" t="n">
        <f>1265</f>
        <v>1265.0</v>
      </c>
      <c r="P256" s="34" t="s">
        <v>49</v>
      </c>
      <c r="Q256" s="33" t="n">
        <f>1296</f>
        <v>1296.0</v>
      </c>
      <c r="R256" s="34" t="s">
        <v>50</v>
      </c>
      <c r="S256" s="35" t="n">
        <f>1304</f>
        <v>1304.0</v>
      </c>
      <c r="T256" s="32" t="n">
        <f>567737</f>
        <v>567737.0</v>
      </c>
      <c r="U256" s="32" t="n">
        <f>30</f>
        <v>30.0</v>
      </c>
      <c r="V256" s="32" t="n">
        <f>742361089</f>
        <v>7.42361089E8</v>
      </c>
      <c r="W256" s="32" t="n">
        <f>38610</f>
        <v>38610.0</v>
      </c>
      <c r="X256" s="36" t="n">
        <f>21</f>
        <v>21.0</v>
      </c>
    </row>
    <row r="257">
      <c r="A257" s="27" t="s">
        <v>42</v>
      </c>
      <c r="B257" s="27" t="s">
        <v>813</v>
      </c>
      <c r="C257" s="27" t="s">
        <v>814</v>
      </c>
      <c r="D257" s="27" t="s">
        <v>815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1.0</v>
      </c>
      <c r="K257" s="33" t="n">
        <f>1182</f>
        <v>1182.0</v>
      </c>
      <c r="L257" s="34" t="s">
        <v>48</v>
      </c>
      <c r="M257" s="33" t="n">
        <f>1314</f>
        <v>1314.0</v>
      </c>
      <c r="N257" s="34" t="s">
        <v>71</v>
      </c>
      <c r="O257" s="33" t="n">
        <f>1145</f>
        <v>1145.0</v>
      </c>
      <c r="P257" s="34" t="s">
        <v>181</v>
      </c>
      <c r="Q257" s="33" t="n">
        <f>1258</f>
        <v>1258.0</v>
      </c>
      <c r="R257" s="34" t="s">
        <v>50</v>
      </c>
      <c r="S257" s="35" t="n">
        <f>1238.52</f>
        <v>1238.52</v>
      </c>
      <c r="T257" s="32" t="n">
        <f>1437464</f>
        <v>1437464.0</v>
      </c>
      <c r="U257" s="32" t="str">
        <f>"－"</f>
        <v>－</v>
      </c>
      <c r="V257" s="32" t="n">
        <f>1758224972</f>
        <v>1.758224972E9</v>
      </c>
      <c r="W257" s="32" t="str">
        <f>"－"</f>
        <v>－</v>
      </c>
      <c r="X257" s="36" t="n">
        <f>21</f>
        <v>21.0</v>
      </c>
    </row>
    <row r="258">
      <c r="A258" s="27" t="s">
        <v>42</v>
      </c>
      <c r="B258" s="27" t="s">
        <v>816</v>
      </c>
      <c r="C258" s="27" t="s">
        <v>817</v>
      </c>
      <c r="D258" s="27" t="s">
        <v>818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217.9</f>
        <v>217.9</v>
      </c>
      <c r="L258" s="34" t="s">
        <v>48</v>
      </c>
      <c r="M258" s="33" t="n">
        <f>218.6</f>
        <v>218.6</v>
      </c>
      <c r="N258" s="34" t="s">
        <v>48</v>
      </c>
      <c r="O258" s="33" t="n">
        <f>208.9</f>
        <v>208.9</v>
      </c>
      <c r="P258" s="34" t="s">
        <v>49</v>
      </c>
      <c r="Q258" s="33" t="n">
        <f>212.3</f>
        <v>212.3</v>
      </c>
      <c r="R258" s="34" t="s">
        <v>50</v>
      </c>
      <c r="S258" s="35" t="n">
        <f>212.64</f>
        <v>212.64</v>
      </c>
      <c r="T258" s="32" t="n">
        <f>5421400</f>
        <v>5421400.0</v>
      </c>
      <c r="U258" s="32" t="n">
        <f>77480</f>
        <v>77480.0</v>
      </c>
      <c r="V258" s="32" t="n">
        <f>1156223320</f>
        <v>1.15622332E9</v>
      </c>
      <c r="W258" s="32" t="n">
        <f>16537035</f>
        <v>1.6537035E7</v>
      </c>
      <c r="X258" s="36" t="n">
        <f>21</f>
        <v>21.0</v>
      </c>
    </row>
    <row r="259">
      <c r="A259" s="27" t="s">
        <v>42</v>
      </c>
      <c r="B259" s="27" t="s">
        <v>819</v>
      </c>
      <c r="C259" s="27" t="s">
        <v>820</v>
      </c>
      <c r="D259" s="27" t="s">
        <v>821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226.7</f>
        <v>226.7</v>
      </c>
      <c r="L259" s="34" t="s">
        <v>48</v>
      </c>
      <c r="M259" s="33" t="n">
        <f>229.9</f>
        <v>229.9</v>
      </c>
      <c r="N259" s="34" t="s">
        <v>107</v>
      </c>
      <c r="O259" s="33" t="n">
        <f>223</f>
        <v>223.0</v>
      </c>
      <c r="P259" s="34" t="s">
        <v>117</v>
      </c>
      <c r="Q259" s="33" t="n">
        <f>225.5</f>
        <v>225.5</v>
      </c>
      <c r="R259" s="34" t="s">
        <v>50</v>
      </c>
      <c r="S259" s="35" t="n">
        <f>225.22</f>
        <v>225.22</v>
      </c>
      <c r="T259" s="32" t="n">
        <f>2482290</f>
        <v>2482290.0</v>
      </c>
      <c r="U259" s="32" t="n">
        <f>44420</f>
        <v>44420.0</v>
      </c>
      <c r="V259" s="32" t="n">
        <f>559403081</f>
        <v>5.59403081E8</v>
      </c>
      <c r="W259" s="32" t="n">
        <f>9976252</f>
        <v>9976252.0</v>
      </c>
      <c r="X259" s="36" t="n">
        <f>21</f>
        <v>21.0</v>
      </c>
    </row>
    <row r="260">
      <c r="A260" s="27" t="s">
        <v>42</v>
      </c>
      <c r="B260" s="27" t="s">
        <v>822</v>
      </c>
      <c r="C260" s="27" t="s">
        <v>823</v>
      </c>
      <c r="D260" s="27" t="s">
        <v>824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10.0</v>
      </c>
      <c r="K260" s="33" t="n">
        <f>227.8</f>
        <v>227.8</v>
      </c>
      <c r="L260" s="34" t="s">
        <v>48</v>
      </c>
      <c r="M260" s="33" t="n">
        <f>228.2</f>
        <v>228.2</v>
      </c>
      <c r="N260" s="34" t="s">
        <v>301</v>
      </c>
      <c r="O260" s="33" t="n">
        <f>223.8</f>
        <v>223.8</v>
      </c>
      <c r="P260" s="34" t="s">
        <v>49</v>
      </c>
      <c r="Q260" s="33" t="n">
        <f>226.2</f>
        <v>226.2</v>
      </c>
      <c r="R260" s="34" t="s">
        <v>50</v>
      </c>
      <c r="S260" s="35" t="n">
        <f>226.47</f>
        <v>226.47</v>
      </c>
      <c r="T260" s="32" t="n">
        <f>1152040</f>
        <v>1152040.0</v>
      </c>
      <c r="U260" s="32" t="n">
        <f>60710</f>
        <v>60710.0</v>
      </c>
      <c r="V260" s="32" t="n">
        <f>260917119</f>
        <v>2.60917119E8</v>
      </c>
      <c r="W260" s="32" t="n">
        <f>13741054</f>
        <v>1.3741054E7</v>
      </c>
      <c r="X260" s="36" t="n">
        <f>21</f>
        <v>21.0</v>
      </c>
    </row>
    <row r="261">
      <c r="A261" s="27" t="s">
        <v>42</v>
      </c>
      <c r="B261" s="27" t="s">
        <v>825</v>
      </c>
      <c r="C261" s="27" t="s">
        <v>826</v>
      </c>
      <c r="D261" s="27" t="s">
        <v>827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10.0</v>
      </c>
      <c r="K261" s="33" t="n">
        <f>225.4</f>
        <v>225.4</v>
      </c>
      <c r="L261" s="34" t="s">
        <v>48</v>
      </c>
      <c r="M261" s="33" t="n">
        <f>228.1</f>
        <v>228.1</v>
      </c>
      <c r="N261" s="34" t="s">
        <v>578</v>
      </c>
      <c r="O261" s="33" t="n">
        <f>225.1</f>
        <v>225.1</v>
      </c>
      <c r="P261" s="34" t="s">
        <v>48</v>
      </c>
      <c r="Q261" s="33" t="n">
        <f>226.2</f>
        <v>226.2</v>
      </c>
      <c r="R261" s="34" t="s">
        <v>50</v>
      </c>
      <c r="S261" s="35" t="n">
        <f>226.74</f>
        <v>226.74</v>
      </c>
      <c r="T261" s="32" t="n">
        <f>1503210</f>
        <v>1503210.0</v>
      </c>
      <c r="U261" s="32" t="n">
        <f>30280</f>
        <v>30280.0</v>
      </c>
      <c r="V261" s="32" t="n">
        <f>340579754</f>
        <v>3.40579754E8</v>
      </c>
      <c r="W261" s="32" t="n">
        <f>6870526</f>
        <v>6870526.0</v>
      </c>
      <c r="X261" s="36" t="n">
        <f>21</f>
        <v>21.0</v>
      </c>
    </row>
    <row r="262">
      <c r="A262" s="27" t="s">
        <v>42</v>
      </c>
      <c r="B262" s="27" t="s">
        <v>828</v>
      </c>
      <c r="C262" s="27" t="s">
        <v>829</v>
      </c>
      <c r="D262" s="27" t="s">
        <v>830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10.0</v>
      </c>
      <c r="K262" s="33" t="n">
        <f>190.7</f>
        <v>190.7</v>
      </c>
      <c r="L262" s="34" t="s">
        <v>48</v>
      </c>
      <c r="M262" s="33" t="n">
        <f>192.7</f>
        <v>192.7</v>
      </c>
      <c r="N262" s="34" t="s">
        <v>48</v>
      </c>
      <c r="O262" s="33" t="n">
        <f>181</f>
        <v>181.0</v>
      </c>
      <c r="P262" s="34" t="s">
        <v>57</v>
      </c>
      <c r="Q262" s="33" t="n">
        <f>185.6</f>
        <v>185.6</v>
      </c>
      <c r="R262" s="34" t="s">
        <v>50</v>
      </c>
      <c r="S262" s="35" t="n">
        <f>187.63</f>
        <v>187.63</v>
      </c>
      <c r="T262" s="32" t="n">
        <f>1817400</f>
        <v>1817400.0</v>
      </c>
      <c r="U262" s="32" t="n">
        <f>120</f>
        <v>120.0</v>
      </c>
      <c r="V262" s="32" t="n">
        <f>342704360</f>
        <v>3.4270436E8</v>
      </c>
      <c r="W262" s="32" t="n">
        <f>22330</f>
        <v>22330.0</v>
      </c>
      <c r="X262" s="36" t="n">
        <f>21</f>
        <v>21.0</v>
      </c>
    </row>
    <row r="263">
      <c r="A263" s="27" t="s">
        <v>42</v>
      </c>
      <c r="B263" s="27" t="s">
        <v>831</v>
      </c>
      <c r="C263" s="27" t="s">
        <v>832</v>
      </c>
      <c r="D263" s="27" t="s">
        <v>833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2000</f>
        <v>2000.0</v>
      </c>
      <c r="L263" s="34" t="s">
        <v>48</v>
      </c>
      <c r="M263" s="33" t="n">
        <f>2010</f>
        <v>2010.0</v>
      </c>
      <c r="N263" s="34" t="s">
        <v>48</v>
      </c>
      <c r="O263" s="33" t="n">
        <f>1767</f>
        <v>1767.0</v>
      </c>
      <c r="P263" s="34" t="s">
        <v>57</v>
      </c>
      <c r="Q263" s="33" t="n">
        <f>1769</f>
        <v>1769.0</v>
      </c>
      <c r="R263" s="34" t="s">
        <v>50</v>
      </c>
      <c r="S263" s="35" t="n">
        <f>1876.29</f>
        <v>1876.29</v>
      </c>
      <c r="T263" s="32" t="n">
        <f>1598731</f>
        <v>1598731.0</v>
      </c>
      <c r="U263" s="32" t="n">
        <f>481577</f>
        <v>481577.0</v>
      </c>
      <c r="V263" s="32" t="n">
        <f>2988971533</f>
        <v>2.988971533E9</v>
      </c>
      <c r="W263" s="32" t="n">
        <f>891187906</f>
        <v>8.91187906E8</v>
      </c>
      <c r="X263" s="36" t="n">
        <f>21</f>
        <v>21.0</v>
      </c>
    </row>
    <row r="264">
      <c r="A264" s="27" t="s">
        <v>42</v>
      </c>
      <c r="B264" s="27" t="s">
        <v>834</v>
      </c>
      <c r="C264" s="27" t="s">
        <v>835</v>
      </c>
      <c r="D264" s="27" t="s">
        <v>836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1461</f>
        <v>1461.0</v>
      </c>
      <c r="L264" s="34" t="s">
        <v>48</v>
      </c>
      <c r="M264" s="33" t="n">
        <f>1496</f>
        <v>1496.0</v>
      </c>
      <c r="N264" s="34" t="s">
        <v>64</v>
      </c>
      <c r="O264" s="33" t="n">
        <f>1350</f>
        <v>1350.0</v>
      </c>
      <c r="P264" s="34" t="s">
        <v>49</v>
      </c>
      <c r="Q264" s="33" t="n">
        <f>1417</f>
        <v>1417.0</v>
      </c>
      <c r="R264" s="34" t="s">
        <v>50</v>
      </c>
      <c r="S264" s="35" t="n">
        <f>1413.81</f>
        <v>1413.81</v>
      </c>
      <c r="T264" s="32" t="n">
        <f>1525982</f>
        <v>1525982.0</v>
      </c>
      <c r="U264" s="32" t="n">
        <f>1382089</f>
        <v>1382089.0</v>
      </c>
      <c r="V264" s="32" t="n">
        <f>2116473691</f>
        <v>2.116473691E9</v>
      </c>
      <c r="W264" s="32" t="n">
        <f>1915098780</f>
        <v>1.91509878E9</v>
      </c>
      <c r="X264" s="36" t="n">
        <f>21</f>
        <v>21.0</v>
      </c>
    </row>
    <row r="265">
      <c r="A265" s="27" t="s">
        <v>42</v>
      </c>
      <c r="B265" s="27" t="s">
        <v>837</v>
      </c>
      <c r="C265" s="27" t="s">
        <v>838</v>
      </c>
      <c r="D265" s="27" t="s">
        <v>839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1418</f>
        <v>1418.0</v>
      </c>
      <c r="L265" s="34" t="s">
        <v>48</v>
      </c>
      <c r="M265" s="33" t="n">
        <f>1418</f>
        <v>1418.0</v>
      </c>
      <c r="N265" s="34" t="s">
        <v>48</v>
      </c>
      <c r="O265" s="33" t="n">
        <f>1280</f>
        <v>1280.0</v>
      </c>
      <c r="P265" s="34" t="s">
        <v>49</v>
      </c>
      <c r="Q265" s="33" t="n">
        <f>1336</f>
        <v>1336.0</v>
      </c>
      <c r="R265" s="34" t="s">
        <v>50</v>
      </c>
      <c r="S265" s="35" t="n">
        <f>1345.71</f>
        <v>1345.71</v>
      </c>
      <c r="T265" s="32" t="n">
        <f>2163485</f>
        <v>2163485.0</v>
      </c>
      <c r="U265" s="32" t="n">
        <f>1086251</f>
        <v>1086251.0</v>
      </c>
      <c r="V265" s="32" t="n">
        <f>2925467878</f>
        <v>2.925467878E9</v>
      </c>
      <c r="W265" s="32" t="n">
        <f>1478089057</f>
        <v>1.478089057E9</v>
      </c>
      <c r="X265" s="36" t="n">
        <f>21</f>
        <v>21.0</v>
      </c>
    </row>
    <row r="266">
      <c r="A266" s="27" t="s">
        <v>42</v>
      </c>
      <c r="B266" s="27" t="s">
        <v>840</v>
      </c>
      <c r="C266" s="27" t="s">
        <v>841</v>
      </c>
      <c r="D266" s="27" t="s">
        <v>842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462.2</f>
        <v>462.2</v>
      </c>
      <c r="L266" s="34" t="s">
        <v>48</v>
      </c>
      <c r="M266" s="33" t="n">
        <f>467</f>
        <v>467.0</v>
      </c>
      <c r="N266" s="34" t="s">
        <v>181</v>
      </c>
      <c r="O266" s="33" t="n">
        <f>451.5</f>
        <v>451.5</v>
      </c>
      <c r="P266" s="34" t="s">
        <v>57</v>
      </c>
      <c r="Q266" s="33" t="n">
        <f>452.5</f>
        <v>452.5</v>
      </c>
      <c r="R266" s="34" t="s">
        <v>50</v>
      </c>
      <c r="S266" s="35" t="n">
        <f>456.9</f>
        <v>456.9</v>
      </c>
      <c r="T266" s="32" t="n">
        <f>1431140</f>
        <v>1431140.0</v>
      </c>
      <c r="U266" s="32" t="n">
        <f>432500</f>
        <v>432500.0</v>
      </c>
      <c r="V266" s="32" t="n">
        <f>651525738</f>
        <v>6.51525738E8</v>
      </c>
      <c r="W266" s="32" t="n">
        <f>195902386</f>
        <v>1.95902386E8</v>
      </c>
      <c r="X266" s="36" t="n">
        <f>21</f>
        <v>21.0</v>
      </c>
    </row>
    <row r="267">
      <c r="A267" s="27" t="s">
        <v>42</v>
      </c>
      <c r="B267" s="27" t="s">
        <v>843</v>
      </c>
      <c r="C267" s="27" t="s">
        <v>844</v>
      </c>
      <c r="D267" s="27" t="s">
        <v>845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10.0</v>
      </c>
      <c r="K267" s="33" t="n">
        <f>174</f>
        <v>174.0</v>
      </c>
      <c r="L267" s="34" t="s">
        <v>48</v>
      </c>
      <c r="M267" s="33" t="n">
        <f>174</f>
        <v>174.0</v>
      </c>
      <c r="N267" s="34" t="s">
        <v>48</v>
      </c>
      <c r="O267" s="33" t="n">
        <f>161.6</f>
        <v>161.6</v>
      </c>
      <c r="P267" s="34" t="s">
        <v>49</v>
      </c>
      <c r="Q267" s="33" t="n">
        <f>166.2</f>
        <v>166.2</v>
      </c>
      <c r="R267" s="34" t="s">
        <v>50</v>
      </c>
      <c r="S267" s="35" t="n">
        <f>166.07</f>
        <v>166.07</v>
      </c>
      <c r="T267" s="32" t="n">
        <f>10108550</f>
        <v>1.010855E7</v>
      </c>
      <c r="U267" s="32" t="n">
        <f>320</f>
        <v>320.0</v>
      </c>
      <c r="V267" s="32" t="n">
        <f>1675350392</f>
        <v>1.675350392E9</v>
      </c>
      <c r="W267" s="32" t="n">
        <f>52924</f>
        <v>52924.0</v>
      </c>
      <c r="X267" s="36" t="n">
        <f>21</f>
        <v>21.0</v>
      </c>
    </row>
    <row r="268">
      <c r="A268" s="27" t="s">
        <v>42</v>
      </c>
      <c r="B268" s="27" t="s">
        <v>846</v>
      </c>
      <c r="C268" s="27" t="s">
        <v>847</v>
      </c>
      <c r="D268" s="27" t="s">
        <v>848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10.0</v>
      </c>
      <c r="K268" s="33" t="n">
        <f>148</f>
        <v>148.0</v>
      </c>
      <c r="L268" s="34" t="s">
        <v>48</v>
      </c>
      <c r="M268" s="33" t="n">
        <f>148.2</f>
        <v>148.2</v>
      </c>
      <c r="N268" s="34" t="s">
        <v>48</v>
      </c>
      <c r="O268" s="33" t="n">
        <f>134.6</f>
        <v>134.6</v>
      </c>
      <c r="P268" s="34" t="s">
        <v>49</v>
      </c>
      <c r="Q268" s="33" t="n">
        <f>138</f>
        <v>138.0</v>
      </c>
      <c r="R268" s="34" t="s">
        <v>50</v>
      </c>
      <c r="S268" s="35" t="n">
        <f>139.3</f>
        <v>139.3</v>
      </c>
      <c r="T268" s="32" t="n">
        <f>16804310</f>
        <v>1.680431E7</v>
      </c>
      <c r="U268" s="32" t="n">
        <f>430</f>
        <v>430.0</v>
      </c>
      <c r="V268" s="32" t="n">
        <f>2332891684</f>
        <v>2.332891684E9</v>
      </c>
      <c r="W268" s="32" t="n">
        <f>59026</f>
        <v>59026.0</v>
      </c>
      <c r="X268" s="36" t="n">
        <f>21</f>
        <v>21.0</v>
      </c>
    </row>
    <row r="269">
      <c r="A269" s="27" t="s">
        <v>42</v>
      </c>
      <c r="B269" s="27" t="s">
        <v>849</v>
      </c>
      <c r="C269" s="27" t="s">
        <v>850</v>
      </c>
      <c r="D269" s="27" t="s">
        <v>851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10.0</v>
      </c>
      <c r="K269" s="33" t="n">
        <f>849</f>
        <v>849.0</v>
      </c>
      <c r="L269" s="34" t="s">
        <v>48</v>
      </c>
      <c r="M269" s="33" t="n">
        <f>849</f>
        <v>849.0</v>
      </c>
      <c r="N269" s="34" t="s">
        <v>48</v>
      </c>
      <c r="O269" s="33" t="n">
        <f>819.6</f>
        <v>819.6</v>
      </c>
      <c r="P269" s="34" t="s">
        <v>57</v>
      </c>
      <c r="Q269" s="33" t="n">
        <f>821.8</f>
        <v>821.8</v>
      </c>
      <c r="R269" s="34" t="s">
        <v>50</v>
      </c>
      <c r="S269" s="35" t="n">
        <f>829.95</f>
        <v>829.95</v>
      </c>
      <c r="T269" s="32" t="n">
        <f>59843980</f>
        <v>5.984398E7</v>
      </c>
      <c r="U269" s="32" t="n">
        <f>57138330</f>
        <v>5.713833E7</v>
      </c>
      <c r="V269" s="32" t="n">
        <f>49779215267</f>
        <v>4.9779215267E10</v>
      </c>
      <c r="W269" s="32" t="n">
        <f>47539065793</f>
        <v>4.7539065793E10</v>
      </c>
      <c r="X269" s="36" t="n">
        <f>21</f>
        <v>21.0</v>
      </c>
    </row>
    <row r="270">
      <c r="A270" s="27" t="s">
        <v>42</v>
      </c>
      <c r="B270" s="27" t="s">
        <v>852</v>
      </c>
      <c r="C270" s="27" t="s">
        <v>853</v>
      </c>
      <c r="D270" s="27" t="s">
        <v>854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10.0</v>
      </c>
      <c r="K270" s="33" t="n">
        <f>1208.5</f>
        <v>1208.5</v>
      </c>
      <c r="L270" s="34" t="s">
        <v>48</v>
      </c>
      <c r="M270" s="33" t="n">
        <f>1243.5</f>
        <v>1243.5</v>
      </c>
      <c r="N270" s="34" t="s">
        <v>301</v>
      </c>
      <c r="O270" s="33" t="n">
        <f>1167</f>
        <v>1167.0</v>
      </c>
      <c r="P270" s="34" t="s">
        <v>49</v>
      </c>
      <c r="Q270" s="33" t="n">
        <f>1172</f>
        <v>1172.0</v>
      </c>
      <c r="R270" s="34" t="s">
        <v>50</v>
      </c>
      <c r="S270" s="35" t="n">
        <f>1183.86</f>
        <v>1183.86</v>
      </c>
      <c r="T270" s="32" t="n">
        <f>2279380</f>
        <v>2279380.0</v>
      </c>
      <c r="U270" s="32" t="n">
        <f>270690</f>
        <v>270690.0</v>
      </c>
      <c r="V270" s="32" t="n">
        <f>2695741993</f>
        <v>2.695741993E9</v>
      </c>
      <c r="W270" s="32" t="n">
        <f>323627953</f>
        <v>3.23627953E8</v>
      </c>
      <c r="X270" s="36" t="n">
        <f>21</f>
        <v>21.0</v>
      </c>
    </row>
    <row r="271">
      <c r="A271" s="27" t="s">
        <v>42</v>
      </c>
      <c r="B271" s="27" t="s">
        <v>855</v>
      </c>
      <c r="C271" s="27" t="s">
        <v>856</v>
      </c>
      <c r="D271" s="27" t="s">
        <v>857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10.0</v>
      </c>
      <c r="K271" s="33" t="n">
        <f>763.5</f>
        <v>763.5</v>
      </c>
      <c r="L271" s="34" t="s">
        <v>48</v>
      </c>
      <c r="M271" s="33" t="n">
        <f>784</f>
        <v>784.0</v>
      </c>
      <c r="N271" s="34" t="s">
        <v>301</v>
      </c>
      <c r="O271" s="33" t="n">
        <f>729</f>
        <v>729.0</v>
      </c>
      <c r="P271" s="34" t="s">
        <v>49</v>
      </c>
      <c r="Q271" s="33" t="n">
        <f>733.7</f>
        <v>733.7</v>
      </c>
      <c r="R271" s="34" t="s">
        <v>50</v>
      </c>
      <c r="S271" s="35" t="n">
        <f>742.56</f>
        <v>742.56</v>
      </c>
      <c r="T271" s="32" t="n">
        <f>66015450</f>
        <v>6.601545E7</v>
      </c>
      <c r="U271" s="32" t="n">
        <f>62281610</f>
        <v>6.228161E7</v>
      </c>
      <c r="V271" s="32" t="n">
        <f>48899933372</f>
        <v>4.8899933372E10</v>
      </c>
      <c r="W271" s="32" t="n">
        <f>46138565031</f>
        <v>4.6138565031E10</v>
      </c>
      <c r="X271" s="36" t="n">
        <f>21</f>
        <v>21.0</v>
      </c>
    </row>
    <row r="272">
      <c r="A272" s="27" t="s">
        <v>42</v>
      </c>
      <c r="B272" s="27" t="s">
        <v>858</v>
      </c>
      <c r="C272" s="27" t="s">
        <v>859</v>
      </c>
      <c r="D272" s="27" t="s">
        <v>860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3231</f>
        <v>3231.0</v>
      </c>
      <c r="L272" s="34" t="s">
        <v>48</v>
      </c>
      <c r="M272" s="33" t="n">
        <f>3334</f>
        <v>3334.0</v>
      </c>
      <c r="N272" s="34" t="s">
        <v>107</v>
      </c>
      <c r="O272" s="33" t="n">
        <f>3020</f>
        <v>3020.0</v>
      </c>
      <c r="P272" s="34" t="s">
        <v>57</v>
      </c>
      <c r="Q272" s="33" t="n">
        <f>3052</f>
        <v>3052.0</v>
      </c>
      <c r="R272" s="34" t="s">
        <v>50</v>
      </c>
      <c r="S272" s="35" t="n">
        <f>3159.95</f>
        <v>3159.95</v>
      </c>
      <c r="T272" s="32" t="n">
        <f>1897097</f>
        <v>1897097.0</v>
      </c>
      <c r="U272" s="32" t="n">
        <f>632835</f>
        <v>632835.0</v>
      </c>
      <c r="V272" s="32" t="n">
        <f>6003779547</f>
        <v>6.003779547E9</v>
      </c>
      <c r="W272" s="32" t="n">
        <f>2000279363</f>
        <v>2.000279363E9</v>
      </c>
      <c r="X272" s="36" t="n">
        <f>21</f>
        <v>21.0</v>
      </c>
    </row>
    <row r="273">
      <c r="A273" s="27" t="s">
        <v>42</v>
      </c>
      <c r="B273" s="27" t="s">
        <v>861</v>
      </c>
      <c r="C273" s="27" t="s">
        <v>862</v>
      </c>
      <c r="D273" s="27" t="s">
        <v>863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1.0</v>
      </c>
      <c r="K273" s="33" t="n">
        <f>1872</f>
        <v>1872.0</v>
      </c>
      <c r="L273" s="34" t="s">
        <v>48</v>
      </c>
      <c r="M273" s="33" t="n">
        <f>1882</f>
        <v>1882.0</v>
      </c>
      <c r="N273" s="34" t="s">
        <v>64</v>
      </c>
      <c r="O273" s="33" t="n">
        <f>1716</f>
        <v>1716.0</v>
      </c>
      <c r="P273" s="34" t="s">
        <v>57</v>
      </c>
      <c r="Q273" s="33" t="n">
        <f>1742</f>
        <v>1742.0</v>
      </c>
      <c r="R273" s="34" t="s">
        <v>50</v>
      </c>
      <c r="S273" s="35" t="n">
        <f>1807.1</f>
        <v>1807.1</v>
      </c>
      <c r="T273" s="32" t="n">
        <f>392897</f>
        <v>392897.0</v>
      </c>
      <c r="U273" s="32" t="n">
        <f>1280</f>
        <v>1280.0</v>
      </c>
      <c r="V273" s="32" t="n">
        <f>712282617</f>
        <v>7.12282617E8</v>
      </c>
      <c r="W273" s="32" t="n">
        <f>2305720</f>
        <v>2305720.0</v>
      </c>
      <c r="X273" s="36" t="n">
        <f>21</f>
        <v>21.0</v>
      </c>
    </row>
    <row r="274">
      <c r="A274" s="27" t="s">
        <v>42</v>
      </c>
      <c r="B274" s="27" t="s">
        <v>864</v>
      </c>
      <c r="C274" s="27" t="s">
        <v>865</v>
      </c>
      <c r="D274" s="27" t="s">
        <v>866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1.0</v>
      </c>
      <c r="K274" s="33" t="n">
        <f>1606</f>
        <v>1606.0</v>
      </c>
      <c r="L274" s="34" t="s">
        <v>48</v>
      </c>
      <c r="M274" s="33" t="n">
        <f>1633</f>
        <v>1633.0</v>
      </c>
      <c r="N274" s="34" t="s">
        <v>107</v>
      </c>
      <c r="O274" s="33" t="n">
        <f>1486</f>
        <v>1486.0</v>
      </c>
      <c r="P274" s="34" t="s">
        <v>57</v>
      </c>
      <c r="Q274" s="33" t="n">
        <f>1505</f>
        <v>1505.0</v>
      </c>
      <c r="R274" s="34" t="s">
        <v>50</v>
      </c>
      <c r="S274" s="35" t="n">
        <f>1555.05</f>
        <v>1555.05</v>
      </c>
      <c r="T274" s="32" t="n">
        <f>1495656</f>
        <v>1495656.0</v>
      </c>
      <c r="U274" s="32" t="n">
        <f>561263</f>
        <v>561263.0</v>
      </c>
      <c r="V274" s="32" t="n">
        <f>2329686603</f>
        <v>2.329686603E9</v>
      </c>
      <c r="W274" s="32" t="n">
        <f>875735346</f>
        <v>8.75735346E8</v>
      </c>
      <c r="X274" s="36" t="n">
        <f>21</f>
        <v>21.0</v>
      </c>
    </row>
    <row r="275">
      <c r="A275" s="27" t="s">
        <v>42</v>
      </c>
      <c r="B275" s="27" t="s">
        <v>867</v>
      </c>
      <c r="C275" s="27" t="s">
        <v>868</v>
      </c>
      <c r="D275" s="27" t="s">
        <v>869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10.0</v>
      </c>
      <c r="K275" s="33" t="n">
        <f>595.7</f>
        <v>595.7</v>
      </c>
      <c r="L275" s="34" t="s">
        <v>48</v>
      </c>
      <c r="M275" s="33" t="n">
        <f>620.2</f>
        <v>620.2</v>
      </c>
      <c r="N275" s="34" t="s">
        <v>276</v>
      </c>
      <c r="O275" s="33" t="n">
        <f>549.7</f>
        <v>549.7</v>
      </c>
      <c r="P275" s="34" t="s">
        <v>50</v>
      </c>
      <c r="Q275" s="33" t="n">
        <f>552.3</f>
        <v>552.3</v>
      </c>
      <c r="R275" s="34" t="s">
        <v>50</v>
      </c>
      <c r="S275" s="35" t="n">
        <f>586.38</f>
        <v>586.38</v>
      </c>
      <c r="T275" s="32" t="n">
        <f>21105840</f>
        <v>2.110584E7</v>
      </c>
      <c r="U275" s="32" t="n">
        <f>1983270</f>
        <v>1983270.0</v>
      </c>
      <c r="V275" s="32" t="n">
        <f>12457955107</f>
        <v>1.2457955107E10</v>
      </c>
      <c r="W275" s="32" t="n">
        <f>1256628123</f>
        <v>1.256628123E9</v>
      </c>
      <c r="X275" s="36" t="n">
        <f>21</f>
        <v>21.0</v>
      </c>
    </row>
    <row r="276">
      <c r="A276" s="27" t="s">
        <v>42</v>
      </c>
      <c r="B276" s="27" t="s">
        <v>870</v>
      </c>
      <c r="C276" s="27" t="s">
        <v>871</v>
      </c>
      <c r="D276" s="27" t="s">
        <v>872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10.0</v>
      </c>
      <c r="K276" s="33" t="n">
        <f>1218</f>
        <v>1218.0</v>
      </c>
      <c r="L276" s="34" t="s">
        <v>48</v>
      </c>
      <c r="M276" s="33" t="n">
        <f>1230.5</f>
        <v>1230.5</v>
      </c>
      <c r="N276" s="34" t="s">
        <v>64</v>
      </c>
      <c r="O276" s="33" t="n">
        <f>1130</f>
        <v>1130.0</v>
      </c>
      <c r="P276" s="34" t="s">
        <v>50</v>
      </c>
      <c r="Q276" s="33" t="n">
        <f>1133</f>
        <v>1133.0</v>
      </c>
      <c r="R276" s="34" t="s">
        <v>50</v>
      </c>
      <c r="S276" s="35" t="n">
        <f>1185.36</f>
        <v>1185.36</v>
      </c>
      <c r="T276" s="32" t="n">
        <f>2125500</f>
        <v>2125500.0</v>
      </c>
      <c r="U276" s="32" t="n">
        <f>1452650</f>
        <v>1452650.0</v>
      </c>
      <c r="V276" s="32" t="n">
        <f>2513543386</f>
        <v>2.513543386E9</v>
      </c>
      <c r="W276" s="32" t="n">
        <f>1716877766</f>
        <v>1.716877766E9</v>
      </c>
      <c r="X276" s="36" t="n">
        <f>21</f>
        <v>21.0</v>
      </c>
    </row>
    <row r="277">
      <c r="A277" s="27" t="s">
        <v>42</v>
      </c>
      <c r="B277" s="27" t="s">
        <v>873</v>
      </c>
      <c r="C277" s="27" t="s">
        <v>874</v>
      </c>
      <c r="D277" s="27" t="s">
        <v>875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2252</f>
        <v>2252.0</v>
      </c>
      <c r="L277" s="34" t="s">
        <v>48</v>
      </c>
      <c r="M277" s="33" t="n">
        <f>2252</f>
        <v>2252.0</v>
      </c>
      <c r="N277" s="34" t="s">
        <v>48</v>
      </c>
      <c r="O277" s="33" t="n">
        <f>1931</f>
        <v>1931.0</v>
      </c>
      <c r="P277" s="34" t="s">
        <v>49</v>
      </c>
      <c r="Q277" s="33" t="n">
        <f>2035</f>
        <v>2035.0</v>
      </c>
      <c r="R277" s="34" t="s">
        <v>50</v>
      </c>
      <c r="S277" s="35" t="n">
        <f>2049.67</f>
        <v>2049.67</v>
      </c>
      <c r="T277" s="32" t="n">
        <f>20479</f>
        <v>20479.0</v>
      </c>
      <c r="U277" s="32" t="str">
        <f>"－"</f>
        <v>－</v>
      </c>
      <c r="V277" s="32" t="n">
        <f>41688748</f>
        <v>4.1688748E7</v>
      </c>
      <c r="W277" s="32" t="str">
        <f>"－"</f>
        <v>－</v>
      </c>
      <c r="X277" s="36" t="n">
        <f>21</f>
        <v>21.0</v>
      </c>
    </row>
    <row r="278">
      <c r="A278" s="27" t="s">
        <v>42</v>
      </c>
      <c r="B278" s="27" t="s">
        <v>876</v>
      </c>
      <c r="C278" s="27" t="s">
        <v>877</v>
      </c>
      <c r="D278" s="27" t="s">
        <v>878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10.0</v>
      </c>
      <c r="K278" s="33" t="n">
        <f>1208</f>
        <v>1208.0</v>
      </c>
      <c r="L278" s="34" t="s">
        <v>48</v>
      </c>
      <c r="M278" s="33" t="n">
        <f>1217.5</f>
        <v>1217.5</v>
      </c>
      <c r="N278" s="34" t="s">
        <v>64</v>
      </c>
      <c r="O278" s="33" t="n">
        <f>1150</f>
        <v>1150.0</v>
      </c>
      <c r="P278" s="34" t="s">
        <v>57</v>
      </c>
      <c r="Q278" s="33" t="n">
        <f>1157</f>
        <v>1157.0</v>
      </c>
      <c r="R278" s="34" t="s">
        <v>50</v>
      </c>
      <c r="S278" s="35" t="n">
        <f>1176.52</f>
        <v>1176.52</v>
      </c>
      <c r="T278" s="32" t="n">
        <f>336590</f>
        <v>336590.0</v>
      </c>
      <c r="U278" s="32" t="n">
        <f>137060</f>
        <v>137060.0</v>
      </c>
      <c r="V278" s="32" t="n">
        <f>392564563</f>
        <v>3.92564563E8</v>
      </c>
      <c r="W278" s="32" t="n">
        <f>158306188</f>
        <v>1.58306188E8</v>
      </c>
      <c r="X278" s="36" t="n">
        <f>21</f>
        <v>21.0</v>
      </c>
    </row>
    <row r="279">
      <c r="A279" s="27" t="s">
        <v>42</v>
      </c>
      <c r="B279" s="27" t="s">
        <v>879</v>
      </c>
      <c r="C279" s="27" t="s">
        <v>880</v>
      </c>
      <c r="D279" s="27" t="s">
        <v>881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2162</f>
        <v>2162.0</v>
      </c>
      <c r="L279" s="34" t="s">
        <v>48</v>
      </c>
      <c r="M279" s="33" t="n">
        <f>2178</f>
        <v>2178.0</v>
      </c>
      <c r="N279" s="34" t="s">
        <v>48</v>
      </c>
      <c r="O279" s="33" t="n">
        <f>1924</f>
        <v>1924.0</v>
      </c>
      <c r="P279" s="34" t="s">
        <v>50</v>
      </c>
      <c r="Q279" s="33" t="n">
        <f>1939</f>
        <v>1939.0</v>
      </c>
      <c r="R279" s="34" t="s">
        <v>50</v>
      </c>
      <c r="S279" s="35" t="n">
        <f>2035.48</f>
        <v>2035.48</v>
      </c>
      <c r="T279" s="32" t="n">
        <f>503132</f>
        <v>503132.0</v>
      </c>
      <c r="U279" s="32" t="n">
        <f>9751</f>
        <v>9751.0</v>
      </c>
      <c r="V279" s="32" t="n">
        <f>1021668663</f>
        <v>1.021668663E9</v>
      </c>
      <c r="W279" s="32" t="n">
        <f>19966247</f>
        <v>1.9966247E7</v>
      </c>
      <c r="X279" s="36" t="n">
        <f>21</f>
        <v>21.0</v>
      </c>
    </row>
    <row r="280">
      <c r="A280" s="27" t="s">
        <v>42</v>
      </c>
      <c r="B280" s="27" t="s">
        <v>882</v>
      </c>
      <c r="C280" s="27" t="s">
        <v>883</v>
      </c>
      <c r="D280" s="27" t="s">
        <v>884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1952</f>
        <v>1952.0</v>
      </c>
      <c r="L280" s="34" t="s">
        <v>48</v>
      </c>
      <c r="M280" s="33" t="n">
        <f>1971</f>
        <v>1971.0</v>
      </c>
      <c r="N280" s="34" t="s">
        <v>107</v>
      </c>
      <c r="O280" s="33" t="n">
        <f>1800</f>
        <v>1800.0</v>
      </c>
      <c r="P280" s="34" t="s">
        <v>57</v>
      </c>
      <c r="Q280" s="33" t="n">
        <f>1824</f>
        <v>1824.0</v>
      </c>
      <c r="R280" s="34" t="s">
        <v>50</v>
      </c>
      <c r="S280" s="35" t="n">
        <f>1900.81</f>
        <v>1900.81</v>
      </c>
      <c r="T280" s="32" t="n">
        <f>4832370</f>
        <v>4832370.0</v>
      </c>
      <c r="U280" s="32" t="n">
        <f>4605779</f>
        <v>4605779.0</v>
      </c>
      <c r="V280" s="32" t="n">
        <f>9107076462</f>
        <v>9.107076462E9</v>
      </c>
      <c r="W280" s="32" t="n">
        <f>8676256296</f>
        <v>8.676256296E9</v>
      </c>
      <c r="X280" s="36" t="n">
        <f>21</f>
        <v>21.0</v>
      </c>
    </row>
    <row r="281">
      <c r="A281" s="27" t="s">
        <v>42</v>
      </c>
      <c r="B281" s="27" t="s">
        <v>885</v>
      </c>
      <c r="C281" s="27" t="s">
        <v>886</v>
      </c>
      <c r="D281" s="27" t="s">
        <v>887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6880</f>
        <v>6880.0</v>
      </c>
      <c r="L281" s="34" t="s">
        <v>48</v>
      </c>
      <c r="M281" s="33" t="n">
        <f>6958</f>
        <v>6958.0</v>
      </c>
      <c r="N281" s="34" t="s">
        <v>64</v>
      </c>
      <c r="O281" s="33" t="n">
        <f>6110</f>
        <v>6110.0</v>
      </c>
      <c r="P281" s="34" t="s">
        <v>50</v>
      </c>
      <c r="Q281" s="33" t="n">
        <f>6185</f>
        <v>6185.0</v>
      </c>
      <c r="R281" s="34" t="s">
        <v>50</v>
      </c>
      <c r="S281" s="35" t="n">
        <f>6613.43</f>
        <v>6613.43</v>
      </c>
      <c r="T281" s="32" t="n">
        <f>96417</f>
        <v>96417.0</v>
      </c>
      <c r="U281" s="32" t="str">
        <f>"－"</f>
        <v>－</v>
      </c>
      <c r="V281" s="32" t="n">
        <f>629367453</f>
        <v>6.29367453E8</v>
      </c>
      <c r="W281" s="32" t="str">
        <f>"－"</f>
        <v>－</v>
      </c>
      <c r="X281" s="36" t="n">
        <f>21</f>
        <v>21.0</v>
      </c>
    </row>
    <row r="282">
      <c r="A282" s="27" t="s">
        <v>42</v>
      </c>
      <c r="B282" s="27" t="s">
        <v>888</v>
      </c>
      <c r="C282" s="27" t="s">
        <v>889</v>
      </c>
      <c r="D282" s="27" t="s">
        <v>890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10.0</v>
      </c>
      <c r="K282" s="33" t="n">
        <f>2879.5</f>
        <v>2879.5</v>
      </c>
      <c r="L282" s="34" t="s">
        <v>578</v>
      </c>
      <c r="M282" s="33" t="n">
        <f>3001</f>
        <v>3001.0</v>
      </c>
      <c r="N282" s="34" t="s">
        <v>56</v>
      </c>
      <c r="O282" s="33" t="n">
        <f>2800.5</f>
        <v>2800.5</v>
      </c>
      <c r="P282" s="34" t="s">
        <v>215</v>
      </c>
      <c r="Q282" s="33" t="n">
        <f>2900</f>
        <v>2900.0</v>
      </c>
      <c r="R282" s="34" t="s">
        <v>50</v>
      </c>
      <c r="S282" s="35" t="n">
        <f>2887.29</f>
        <v>2887.29</v>
      </c>
      <c r="T282" s="32" t="n">
        <f>380</f>
        <v>380.0</v>
      </c>
      <c r="U282" s="32" t="n">
        <f>10</f>
        <v>10.0</v>
      </c>
      <c r="V282" s="32" t="n">
        <f>1091310</f>
        <v>1091310.0</v>
      </c>
      <c r="W282" s="32" t="n">
        <f>28795</f>
        <v>28795.0</v>
      </c>
      <c r="X282" s="36" t="n">
        <f>7</f>
        <v>7.0</v>
      </c>
    </row>
    <row r="283">
      <c r="A283" s="27" t="s">
        <v>42</v>
      </c>
      <c r="B283" s="27" t="s">
        <v>891</v>
      </c>
      <c r="C283" s="27" t="s">
        <v>892</v>
      </c>
      <c r="D283" s="27" t="s">
        <v>893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3946</f>
        <v>3946.0</v>
      </c>
      <c r="L283" s="34" t="s">
        <v>48</v>
      </c>
      <c r="M283" s="33" t="n">
        <f>3981</f>
        <v>3981.0</v>
      </c>
      <c r="N283" s="34" t="s">
        <v>48</v>
      </c>
      <c r="O283" s="33" t="n">
        <f>3523</f>
        <v>3523.0</v>
      </c>
      <c r="P283" s="34" t="s">
        <v>49</v>
      </c>
      <c r="Q283" s="33" t="n">
        <f>3606</f>
        <v>3606.0</v>
      </c>
      <c r="R283" s="34" t="s">
        <v>50</v>
      </c>
      <c r="S283" s="35" t="n">
        <f>3718.62</f>
        <v>3718.62</v>
      </c>
      <c r="T283" s="32" t="n">
        <f>1275421</f>
        <v>1275421.0</v>
      </c>
      <c r="U283" s="32" t="n">
        <f>809861</f>
        <v>809861.0</v>
      </c>
      <c r="V283" s="32" t="n">
        <f>4741727128</f>
        <v>4.741727128E9</v>
      </c>
      <c r="W283" s="32" t="n">
        <f>3021773221</f>
        <v>3.021773221E9</v>
      </c>
      <c r="X283" s="36" t="n">
        <f>21</f>
        <v>21.0</v>
      </c>
    </row>
    <row r="284">
      <c r="A284" s="27" t="s">
        <v>42</v>
      </c>
      <c r="B284" s="27" t="s">
        <v>894</v>
      </c>
      <c r="C284" s="27" t="s">
        <v>895</v>
      </c>
      <c r="D284" s="27" t="s">
        <v>896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58060</f>
        <v>58060.0</v>
      </c>
      <c r="L284" s="34" t="s">
        <v>48</v>
      </c>
      <c r="M284" s="33" t="n">
        <f>58410</f>
        <v>58410.0</v>
      </c>
      <c r="N284" s="34" t="s">
        <v>48</v>
      </c>
      <c r="O284" s="33" t="n">
        <f>50970</f>
        <v>50970.0</v>
      </c>
      <c r="P284" s="34" t="s">
        <v>49</v>
      </c>
      <c r="Q284" s="33" t="n">
        <f>51990</f>
        <v>51990.0</v>
      </c>
      <c r="R284" s="34" t="s">
        <v>50</v>
      </c>
      <c r="S284" s="35" t="n">
        <f>54245</f>
        <v>54245.0</v>
      </c>
      <c r="T284" s="32" t="n">
        <f>183097</f>
        <v>183097.0</v>
      </c>
      <c r="U284" s="32" t="n">
        <f>124001</f>
        <v>124001.0</v>
      </c>
      <c r="V284" s="32" t="n">
        <f>9771217329</f>
        <v>9.771217329E9</v>
      </c>
      <c r="W284" s="32" t="n">
        <f>6628209169</f>
        <v>6.628209169E9</v>
      </c>
      <c r="X284" s="36" t="n">
        <f>20</f>
        <v>20.0</v>
      </c>
    </row>
    <row r="285">
      <c r="A285" s="27" t="s">
        <v>42</v>
      </c>
      <c r="B285" s="27" t="s">
        <v>897</v>
      </c>
      <c r="C285" s="27" t="s">
        <v>898</v>
      </c>
      <c r="D285" s="27" t="s">
        <v>899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35390</f>
        <v>35390.0</v>
      </c>
      <c r="L285" s="34" t="s">
        <v>48</v>
      </c>
      <c r="M285" s="33" t="n">
        <f>35740</f>
        <v>35740.0</v>
      </c>
      <c r="N285" s="34" t="s">
        <v>48</v>
      </c>
      <c r="O285" s="33" t="n">
        <f>31770</f>
        <v>31770.0</v>
      </c>
      <c r="P285" s="34" t="s">
        <v>49</v>
      </c>
      <c r="Q285" s="33" t="n">
        <f>32630</f>
        <v>32630.0</v>
      </c>
      <c r="R285" s="34" t="s">
        <v>50</v>
      </c>
      <c r="S285" s="35" t="n">
        <f>33483.68</f>
        <v>33483.68</v>
      </c>
      <c r="T285" s="32" t="n">
        <f>38774</f>
        <v>38774.0</v>
      </c>
      <c r="U285" s="32" t="n">
        <f>3</f>
        <v>3.0</v>
      </c>
      <c r="V285" s="32" t="n">
        <f>1322400633</f>
        <v>1.322400633E9</v>
      </c>
      <c r="W285" s="32" t="n">
        <f>97923</f>
        <v>97923.0</v>
      </c>
      <c r="X285" s="36" t="n">
        <f>19</f>
        <v>19.0</v>
      </c>
    </row>
    <row r="286">
      <c r="A286" s="27" t="s">
        <v>42</v>
      </c>
      <c r="B286" s="27" t="s">
        <v>900</v>
      </c>
      <c r="C286" s="27" t="s">
        <v>901</v>
      </c>
      <c r="D286" s="27" t="s">
        <v>902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1224</f>
        <v>1224.0</v>
      </c>
      <c r="L286" s="34" t="s">
        <v>48</v>
      </c>
      <c r="M286" s="33" t="n">
        <f>1248</f>
        <v>1248.0</v>
      </c>
      <c r="N286" s="34" t="s">
        <v>64</v>
      </c>
      <c r="O286" s="33" t="n">
        <f>1138</f>
        <v>1138.0</v>
      </c>
      <c r="P286" s="34" t="s">
        <v>50</v>
      </c>
      <c r="Q286" s="33" t="n">
        <f>1143</f>
        <v>1143.0</v>
      </c>
      <c r="R286" s="34" t="s">
        <v>50</v>
      </c>
      <c r="S286" s="35" t="n">
        <f>1194.71</f>
        <v>1194.71</v>
      </c>
      <c r="T286" s="32" t="n">
        <f>728084</f>
        <v>728084.0</v>
      </c>
      <c r="U286" s="32" t="n">
        <f>418500</f>
        <v>418500.0</v>
      </c>
      <c r="V286" s="32" t="n">
        <f>871524437</f>
        <v>8.71524437E8</v>
      </c>
      <c r="W286" s="32" t="n">
        <f>501324750</f>
        <v>5.0132475E8</v>
      </c>
      <c r="X286" s="36" t="n">
        <f>21</f>
        <v>21.0</v>
      </c>
    </row>
    <row r="287">
      <c r="A287" s="27" t="s">
        <v>42</v>
      </c>
      <c r="B287" s="27" t="s">
        <v>903</v>
      </c>
      <c r="C287" s="27" t="s">
        <v>904</v>
      </c>
      <c r="D287" s="27" t="s">
        <v>905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1235</f>
        <v>1235.0</v>
      </c>
      <c r="L287" s="34" t="s">
        <v>48</v>
      </c>
      <c r="M287" s="33" t="n">
        <f>1235</f>
        <v>1235.0</v>
      </c>
      <c r="N287" s="34" t="s">
        <v>48</v>
      </c>
      <c r="O287" s="33" t="n">
        <f>1121</f>
        <v>1121.0</v>
      </c>
      <c r="P287" s="34" t="s">
        <v>50</v>
      </c>
      <c r="Q287" s="33" t="n">
        <f>1123</f>
        <v>1123.0</v>
      </c>
      <c r="R287" s="34" t="s">
        <v>50</v>
      </c>
      <c r="S287" s="35" t="n">
        <f>1180.33</f>
        <v>1180.33</v>
      </c>
      <c r="T287" s="32" t="n">
        <f>1727037</f>
        <v>1727037.0</v>
      </c>
      <c r="U287" s="32" t="n">
        <f>1235778</f>
        <v>1235778.0</v>
      </c>
      <c r="V287" s="32" t="n">
        <f>2039848882</f>
        <v>2.039848882E9</v>
      </c>
      <c r="W287" s="32" t="n">
        <f>1469043694</f>
        <v>1.469043694E9</v>
      </c>
      <c r="X287" s="36" t="n">
        <f>21</f>
        <v>21.0</v>
      </c>
    </row>
    <row r="288">
      <c r="A288" s="27" t="s">
        <v>42</v>
      </c>
      <c r="B288" s="27" t="s">
        <v>906</v>
      </c>
      <c r="C288" s="27" t="s">
        <v>907</v>
      </c>
      <c r="D288" s="27" t="s">
        <v>908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2281</f>
        <v>2281.0</v>
      </c>
      <c r="L288" s="34" t="s">
        <v>48</v>
      </c>
      <c r="M288" s="33" t="n">
        <f>2317</f>
        <v>2317.0</v>
      </c>
      <c r="N288" s="34" t="s">
        <v>48</v>
      </c>
      <c r="O288" s="33" t="n">
        <f>2073</f>
        <v>2073.0</v>
      </c>
      <c r="P288" s="34" t="s">
        <v>49</v>
      </c>
      <c r="Q288" s="33" t="n">
        <f>2200</f>
        <v>2200.0</v>
      </c>
      <c r="R288" s="34" t="s">
        <v>50</v>
      </c>
      <c r="S288" s="35" t="n">
        <f>2191.14</f>
        <v>2191.14</v>
      </c>
      <c r="T288" s="32" t="n">
        <f>990207</f>
        <v>990207.0</v>
      </c>
      <c r="U288" s="32" t="n">
        <f>547990</f>
        <v>547990.0</v>
      </c>
      <c r="V288" s="32" t="n">
        <f>2186172295</f>
        <v>2.186172295E9</v>
      </c>
      <c r="W288" s="32" t="n">
        <f>1221397459</f>
        <v>1.221397459E9</v>
      </c>
      <c r="X288" s="36" t="n">
        <f>21</f>
        <v>21.0</v>
      </c>
    </row>
    <row r="289">
      <c r="A289" s="27" t="s">
        <v>42</v>
      </c>
      <c r="B289" s="27" t="s">
        <v>909</v>
      </c>
      <c r="C289" s="27" t="s">
        <v>910</v>
      </c>
      <c r="D289" s="27" t="s">
        <v>911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17400</f>
        <v>17400.0</v>
      </c>
      <c r="L289" s="34" t="s">
        <v>48</v>
      </c>
      <c r="M289" s="33" t="n">
        <f>17800</f>
        <v>17800.0</v>
      </c>
      <c r="N289" s="34" t="s">
        <v>64</v>
      </c>
      <c r="O289" s="33" t="n">
        <f>16360</f>
        <v>16360.0</v>
      </c>
      <c r="P289" s="34" t="s">
        <v>49</v>
      </c>
      <c r="Q289" s="33" t="n">
        <f>16710</f>
        <v>16710.0</v>
      </c>
      <c r="R289" s="34" t="s">
        <v>50</v>
      </c>
      <c r="S289" s="35" t="n">
        <f>17199.52</f>
        <v>17199.52</v>
      </c>
      <c r="T289" s="32" t="n">
        <f>2930</f>
        <v>2930.0</v>
      </c>
      <c r="U289" s="32" t="str">
        <f>"－"</f>
        <v>－</v>
      </c>
      <c r="V289" s="32" t="n">
        <f>50664510</f>
        <v>5.066451E7</v>
      </c>
      <c r="W289" s="32" t="str">
        <f>"－"</f>
        <v>－</v>
      </c>
      <c r="X289" s="36" t="n">
        <f>21</f>
        <v>21.0</v>
      </c>
    </row>
    <row r="290">
      <c r="A290" s="27" t="s">
        <v>42</v>
      </c>
      <c r="B290" s="27" t="s">
        <v>912</v>
      </c>
      <c r="C290" s="27" t="s">
        <v>913</v>
      </c>
      <c r="D290" s="27" t="s">
        <v>914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2180</f>
        <v>2180.0</v>
      </c>
      <c r="L290" s="34" t="s">
        <v>48</v>
      </c>
      <c r="M290" s="33" t="n">
        <f>2180</f>
        <v>2180.0</v>
      </c>
      <c r="N290" s="34" t="s">
        <v>48</v>
      </c>
      <c r="O290" s="33" t="n">
        <f>1950</f>
        <v>1950.0</v>
      </c>
      <c r="P290" s="34" t="s">
        <v>57</v>
      </c>
      <c r="Q290" s="33" t="n">
        <f>2005</f>
        <v>2005.0</v>
      </c>
      <c r="R290" s="34" t="s">
        <v>50</v>
      </c>
      <c r="S290" s="35" t="n">
        <f>2102.52</f>
        <v>2102.52</v>
      </c>
      <c r="T290" s="32" t="n">
        <f>242938</f>
        <v>242938.0</v>
      </c>
      <c r="U290" s="32" t="n">
        <f>119260</f>
        <v>119260.0</v>
      </c>
      <c r="V290" s="32" t="n">
        <f>510695752</f>
        <v>5.10695752E8</v>
      </c>
      <c r="W290" s="32" t="n">
        <f>249362770</f>
        <v>2.4936277E8</v>
      </c>
      <c r="X290" s="36" t="n">
        <f>21</f>
        <v>21.0</v>
      </c>
    </row>
    <row r="291">
      <c r="A291" s="27" t="s">
        <v>42</v>
      </c>
      <c r="B291" s="27" t="s">
        <v>915</v>
      </c>
      <c r="C291" s="27" t="s">
        <v>916</v>
      </c>
      <c r="D291" s="27" t="s">
        <v>917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10.0</v>
      </c>
      <c r="K291" s="33" t="n">
        <f>2530</f>
        <v>2530.0</v>
      </c>
      <c r="L291" s="34" t="s">
        <v>48</v>
      </c>
      <c r="M291" s="33" t="n">
        <f>2568</f>
        <v>2568.0</v>
      </c>
      <c r="N291" s="34" t="s">
        <v>64</v>
      </c>
      <c r="O291" s="33" t="n">
        <f>2200.5</f>
        <v>2200.5</v>
      </c>
      <c r="P291" s="34" t="s">
        <v>117</v>
      </c>
      <c r="Q291" s="33" t="n">
        <f>2321.5</f>
        <v>2321.5</v>
      </c>
      <c r="R291" s="34" t="s">
        <v>50</v>
      </c>
      <c r="S291" s="35" t="n">
        <f>2415.4</f>
        <v>2415.4</v>
      </c>
      <c r="T291" s="32" t="n">
        <f>269950</f>
        <v>269950.0</v>
      </c>
      <c r="U291" s="32" t="str">
        <f>"－"</f>
        <v>－</v>
      </c>
      <c r="V291" s="32" t="n">
        <f>659254310</f>
        <v>6.5925431E8</v>
      </c>
      <c r="W291" s="32" t="str">
        <f>"－"</f>
        <v>－</v>
      </c>
      <c r="X291" s="36" t="n">
        <f>21</f>
        <v>21.0</v>
      </c>
    </row>
    <row r="292">
      <c r="A292" s="27" t="s">
        <v>42</v>
      </c>
      <c r="B292" s="27" t="s">
        <v>918</v>
      </c>
      <c r="C292" s="27" t="s">
        <v>919</v>
      </c>
      <c r="D292" s="27" t="s">
        <v>920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10.0</v>
      </c>
      <c r="K292" s="33" t="n">
        <f>788.4</f>
        <v>788.4</v>
      </c>
      <c r="L292" s="34" t="s">
        <v>48</v>
      </c>
      <c r="M292" s="33" t="n">
        <f>788.4</f>
        <v>788.4</v>
      </c>
      <c r="N292" s="34" t="s">
        <v>48</v>
      </c>
      <c r="O292" s="33" t="n">
        <f>755.7</f>
        <v>755.7</v>
      </c>
      <c r="P292" s="34" t="s">
        <v>49</v>
      </c>
      <c r="Q292" s="33" t="n">
        <f>760.3</f>
        <v>760.3</v>
      </c>
      <c r="R292" s="34" t="s">
        <v>50</v>
      </c>
      <c r="S292" s="35" t="n">
        <f>766.38</f>
        <v>766.38</v>
      </c>
      <c r="T292" s="32" t="n">
        <f>1869950</f>
        <v>1869950.0</v>
      </c>
      <c r="U292" s="32" t="n">
        <f>1451190</f>
        <v>1451190.0</v>
      </c>
      <c r="V292" s="32" t="n">
        <f>1424708851</f>
        <v>1.424708851E9</v>
      </c>
      <c r="W292" s="32" t="n">
        <f>1104691555</f>
        <v>1.104691555E9</v>
      </c>
      <c r="X292" s="36" t="n">
        <f>21</f>
        <v>21.0</v>
      </c>
    </row>
    <row r="293">
      <c r="A293" s="27" t="s">
        <v>42</v>
      </c>
      <c r="B293" s="27" t="s">
        <v>921</v>
      </c>
      <c r="C293" s="27" t="s">
        <v>922</v>
      </c>
      <c r="D293" s="27" t="s">
        <v>923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10.0</v>
      </c>
      <c r="K293" s="33" t="n">
        <f>2073</f>
        <v>2073.0</v>
      </c>
      <c r="L293" s="34" t="s">
        <v>48</v>
      </c>
      <c r="M293" s="33" t="n">
        <f>2104.5</f>
        <v>2104.5</v>
      </c>
      <c r="N293" s="34" t="s">
        <v>64</v>
      </c>
      <c r="O293" s="33" t="n">
        <f>1922</f>
        <v>1922.0</v>
      </c>
      <c r="P293" s="34" t="s">
        <v>50</v>
      </c>
      <c r="Q293" s="33" t="n">
        <f>1928</f>
        <v>1928.0</v>
      </c>
      <c r="R293" s="34" t="s">
        <v>50</v>
      </c>
      <c r="S293" s="35" t="n">
        <f>2017.52</f>
        <v>2017.52</v>
      </c>
      <c r="T293" s="32" t="n">
        <f>1608240</f>
        <v>1608240.0</v>
      </c>
      <c r="U293" s="32" t="n">
        <f>721620</f>
        <v>721620.0</v>
      </c>
      <c r="V293" s="32" t="n">
        <f>3194570775</f>
        <v>3.194570775E9</v>
      </c>
      <c r="W293" s="32" t="n">
        <f>1429551820</f>
        <v>1.42955182E9</v>
      </c>
      <c r="X293" s="36" t="n">
        <f>21</f>
        <v>21.0</v>
      </c>
    </row>
    <row r="294">
      <c r="A294" s="27" t="s">
        <v>42</v>
      </c>
      <c r="B294" s="27" t="s">
        <v>924</v>
      </c>
      <c r="C294" s="27" t="s">
        <v>925</v>
      </c>
      <c r="D294" s="27" t="s">
        <v>926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10.0</v>
      </c>
      <c r="K294" s="33" t="n">
        <f>2078</f>
        <v>2078.0</v>
      </c>
      <c r="L294" s="34" t="s">
        <v>48</v>
      </c>
      <c r="M294" s="33" t="n">
        <f>2106</f>
        <v>2106.0</v>
      </c>
      <c r="N294" s="34" t="s">
        <v>222</v>
      </c>
      <c r="O294" s="33" t="n">
        <f>1918.5</f>
        <v>1918.5</v>
      </c>
      <c r="P294" s="34" t="s">
        <v>50</v>
      </c>
      <c r="Q294" s="33" t="n">
        <f>1922.5</f>
        <v>1922.5</v>
      </c>
      <c r="R294" s="34" t="s">
        <v>50</v>
      </c>
      <c r="S294" s="35" t="n">
        <f>2017.5</f>
        <v>2017.5</v>
      </c>
      <c r="T294" s="32" t="n">
        <f>6380520</f>
        <v>6380520.0</v>
      </c>
      <c r="U294" s="32" t="n">
        <f>4305170</f>
        <v>4305170.0</v>
      </c>
      <c r="V294" s="32" t="n">
        <f>12791864467</f>
        <v>1.2791864467E10</v>
      </c>
      <c r="W294" s="32" t="n">
        <f>8613150077</f>
        <v>8.613150077E9</v>
      </c>
      <c r="X294" s="36" t="n">
        <f>21</f>
        <v>21.0</v>
      </c>
    </row>
    <row r="295">
      <c r="A295" s="27" t="s">
        <v>42</v>
      </c>
      <c r="B295" s="27" t="s">
        <v>927</v>
      </c>
      <c r="C295" s="27" t="s">
        <v>928</v>
      </c>
      <c r="D295" s="27" t="s">
        <v>929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10.0</v>
      </c>
      <c r="K295" s="33" t="n">
        <f>3888</f>
        <v>3888.0</v>
      </c>
      <c r="L295" s="34" t="s">
        <v>48</v>
      </c>
      <c r="M295" s="33" t="n">
        <f>3934</f>
        <v>3934.0</v>
      </c>
      <c r="N295" s="34" t="s">
        <v>48</v>
      </c>
      <c r="O295" s="33" t="n">
        <f>3492</f>
        <v>3492.0</v>
      </c>
      <c r="P295" s="34" t="s">
        <v>49</v>
      </c>
      <c r="Q295" s="33" t="n">
        <f>3590</f>
        <v>3590.0</v>
      </c>
      <c r="R295" s="34" t="s">
        <v>50</v>
      </c>
      <c r="S295" s="35" t="n">
        <f>3687.29</f>
        <v>3687.29</v>
      </c>
      <c r="T295" s="32" t="n">
        <f>3958400</f>
        <v>3958400.0</v>
      </c>
      <c r="U295" s="32" t="n">
        <f>3176590</f>
        <v>3176590.0</v>
      </c>
      <c r="V295" s="32" t="n">
        <f>14339096339</f>
        <v>1.4339096339E10</v>
      </c>
      <c r="W295" s="32" t="n">
        <f>11468959069</f>
        <v>1.1468959069E10</v>
      </c>
      <c r="X295" s="36" t="n">
        <f>21</f>
        <v>21.0</v>
      </c>
    </row>
    <row r="296">
      <c r="A296" s="27" t="s">
        <v>42</v>
      </c>
      <c r="B296" s="27" t="s">
        <v>930</v>
      </c>
      <c r="C296" s="27" t="s">
        <v>931</v>
      </c>
      <c r="D296" s="27" t="s">
        <v>932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30650</f>
        <v>30650.0</v>
      </c>
      <c r="L296" s="34" t="s">
        <v>48</v>
      </c>
      <c r="M296" s="33" t="n">
        <f>31090</f>
        <v>31090.0</v>
      </c>
      <c r="N296" s="34" t="s">
        <v>64</v>
      </c>
      <c r="O296" s="33" t="n">
        <f>29055</f>
        <v>29055.0</v>
      </c>
      <c r="P296" s="34" t="s">
        <v>50</v>
      </c>
      <c r="Q296" s="33" t="n">
        <f>29335</f>
        <v>29335.0</v>
      </c>
      <c r="R296" s="34" t="s">
        <v>50</v>
      </c>
      <c r="S296" s="35" t="n">
        <f>30418.1</f>
        <v>30418.1</v>
      </c>
      <c r="T296" s="32" t="n">
        <f>591267</f>
        <v>591267.0</v>
      </c>
      <c r="U296" s="32" t="n">
        <f>149146</f>
        <v>149146.0</v>
      </c>
      <c r="V296" s="32" t="n">
        <f>17955052296</f>
        <v>1.7955052296E10</v>
      </c>
      <c r="W296" s="32" t="n">
        <f>4529740266</f>
        <v>4.529740266E9</v>
      </c>
      <c r="X296" s="36" t="n">
        <f>21</f>
        <v>21.0</v>
      </c>
    </row>
    <row r="297">
      <c r="A297" s="27" t="s">
        <v>42</v>
      </c>
      <c r="B297" s="27" t="s">
        <v>933</v>
      </c>
      <c r="C297" s="27" t="s">
        <v>934</v>
      </c>
      <c r="D297" s="27" t="s">
        <v>935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26830</f>
        <v>26830.0</v>
      </c>
      <c r="L297" s="34" t="s">
        <v>48</v>
      </c>
      <c r="M297" s="33" t="n">
        <f>27035</f>
        <v>27035.0</v>
      </c>
      <c r="N297" s="34" t="s">
        <v>64</v>
      </c>
      <c r="O297" s="33" t="n">
        <f>25105</f>
        <v>25105.0</v>
      </c>
      <c r="P297" s="34" t="s">
        <v>50</v>
      </c>
      <c r="Q297" s="33" t="n">
        <f>25305</f>
        <v>25305.0</v>
      </c>
      <c r="R297" s="34" t="s">
        <v>50</v>
      </c>
      <c r="S297" s="35" t="n">
        <f>26249.29</f>
        <v>26249.29</v>
      </c>
      <c r="T297" s="32" t="n">
        <f>625673</f>
        <v>625673.0</v>
      </c>
      <c r="U297" s="32" t="n">
        <f>12774</f>
        <v>12774.0</v>
      </c>
      <c r="V297" s="32" t="n">
        <f>16350538334</f>
        <v>1.6350538334E10</v>
      </c>
      <c r="W297" s="32" t="n">
        <f>334827554</f>
        <v>3.34827554E8</v>
      </c>
      <c r="X297" s="36" t="n">
        <f>21</f>
        <v>21.0</v>
      </c>
    </row>
    <row r="298">
      <c r="A298" s="27" t="s">
        <v>42</v>
      </c>
      <c r="B298" s="27" t="s">
        <v>936</v>
      </c>
      <c r="C298" s="27" t="s">
        <v>937</v>
      </c>
      <c r="D298" s="27" t="s">
        <v>938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52200</f>
        <v>52200.0</v>
      </c>
      <c r="L298" s="34" t="s">
        <v>64</v>
      </c>
      <c r="M298" s="33" t="n">
        <f>59200</f>
        <v>59200.0</v>
      </c>
      <c r="N298" s="34" t="s">
        <v>64</v>
      </c>
      <c r="O298" s="33" t="n">
        <f>46800</f>
        <v>46800.0</v>
      </c>
      <c r="P298" s="34" t="s">
        <v>181</v>
      </c>
      <c r="Q298" s="33" t="n">
        <f>48860</f>
        <v>48860.0</v>
      </c>
      <c r="R298" s="34" t="s">
        <v>238</v>
      </c>
      <c r="S298" s="35" t="n">
        <f>49418</f>
        <v>49418.0</v>
      </c>
      <c r="T298" s="32" t="n">
        <f>274</f>
        <v>274.0</v>
      </c>
      <c r="U298" s="32" t="str">
        <f>"－"</f>
        <v>－</v>
      </c>
      <c r="V298" s="32" t="n">
        <f>13688930</f>
        <v>1.368893E7</v>
      </c>
      <c r="W298" s="32" t="str">
        <f>"－"</f>
        <v>－</v>
      </c>
      <c r="X298" s="36" t="n">
        <f>10</f>
        <v>10.0</v>
      </c>
    </row>
    <row r="299">
      <c r="A299" s="27" t="s">
        <v>42</v>
      </c>
      <c r="B299" s="27" t="s">
        <v>939</v>
      </c>
      <c r="C299" s="27" t="s">
        <v>940</v>
      </c>
      <c r="D299" s="27" t="s">
        <v>941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1.0</v>
      </c>
      <c r="K299" s="33" t="n">
        <f>2114</f>
        <v>2114.0</v>
      </c>
      <c r="L299" s="34" t="s">
        <v>48</v>
      </c>
      <c r="M299" s="33" t="n">
        <f>2120</f>
        <v>2120.0</v>
      </c>
      <c r="N299" s="34" t="s">
        <v>48</v>
      </c>
      <c r="O299" s="33" t="n">
        <f>2050</f>
        <v>2050.0</v>
      </c>
      <c r="P299" s="34" t="s">
        <v>50</v>
      </c>
      <c r="Q299" s="33" t="n">
        <f>2059</f>
        <v>2059.0</v>
      </c>
      <c r="R299" s="34" t="s">
        <v>50</v>
      </c>
      <c r="S299" s="35" t="n">
        <f>2087.29</f>
        <v>2087.29</v>
      </c>
      <c r="T299" s="32" t="n">
        <f>995014</f>
        <v>995014.0</v>
      </c>
      <c r="U299" s="32" t="n">
        <f>431932</f>
        <v>431932.0</v>
      </c>
      <c r="V299" s="32" t="n">
        <f>2069926132</f>
        <v>2.069926132E9</v>
      </c>
      <c r="W299" s="32" t="n">
        <f>897789573</f>
        <v>8.97789573E8</v>
      </c>
      <c r="X299" s="36" t="n">
        <f>21</f>
        <v>21.0</v>
      </c>
    </row>
    <row r="300">
      <c r="A300" s="27" t="s">
        <v>42</v>
      </c>
      <c r="B300" s="27" t="s">
        <v>942</v>
      </c>
      <c r="C300" s="27" t="s">
        <v>943</v>
      </c>
      <c r="D300" s="27" t="s">
        <v>944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3417</f>
        <v>3417.0</v>
      </c>
      <c r="L300" s="34" t="s">
        <v>48</v>
      </c>
      <c r="M300" s="33" t="n">
        <f>3450</f>
        <v>3450.0</v>
      </c>
      <c r="N300" s="34" t="s">
        <v>64</v>
      </c>
      <c r="O300" s="33" t="n">
        <f>3155</f>
        <v>3155.0</v>
      </c>
      <c r="P300" s="34" t="s">
        <v>57</v>
      </c>
      <c r="Q300" s="33" t="n">
        <f>3208</f>
        <v>3208.0</v>
      </c>
      <c r="R300" s="34" t="s">
        <v>50</v>
      </c>
      <c r="S300" s="35" t="n">
        <f>3312.52</f>
        <v>3312.52</v>
      </c>
      <c r="T300" s="32" t="n">
        <f>2880354</f>
        <v>2880354.0</v>
      </c>
      <c r="U300" s="32" t="n">
        <f>2277652</f>
        <v>2277652.0</v>
      </c>
      <c r="V300" s="32" t="n">
        <f>9434927074</f>
        <v>9.434927074E9</v>
      </c>
      <c r="W300" s="32" t="n">
        <f>7439914982</f>
        <v>7.439914982E9</v>
      </c>
      <c r="X300" s="36" t="n">
        <f>21</f>
        <v>21.0</v>
      </c>
    </row>
    <row r="301">
      <c r="A301" s="27" t="s">
        <v>42</v>
      </c>
      <c r="B301" s="27" t="s">
        <v>945</v>
      </c>
      <c r="C301" s="27" t="s">
        <v>946</v>
      </c>
      <c r="D301" s="27" t="s">
        <v>947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10.0</v>
      </c>
      <c r="K301" s="33" t="n">
        <f>365.3</f>
        <v>365.3</v>
      </c>
      <c r="L301" s="34" t="s">
        <v>48</v>
      </c>
      <c r="M301" s="33" t="n">
        <f>370</f>
        <v>370.0</v>
      </c>
      <c r="N301" s="34" t="s">
        <v>107</v>
      </c>
      <c r="O301" s="33" t="n">
        <f>337.5</f>
        <v>337.5</v>
      </c>
      <c r="P301" s="34" t="s">
        <v>57</v>
      </c>
      <c r="Q301" s="33" t="n">
        <f>341.1</f>
        <v>341.1</v>
      </c>
      <c r="R301" s="34" t="s">
        <v>50</v>
      </c>
      <c r="S301" s="35" t="n">
        <f>357.03</f>
        <v>357.03</v>
      </c>
      <c r="T301" s="32" t="n">
        <f>78689170</f>
        <v>7.868917E7</v>
      </c>
      <c r="U301" s="32" t="n">
        <f>54834350</f>
        <v>5.483435E7</v>
      </c>
      <c r="V301" s="32" t="n">
        <f>27992401135</f>
        <v>2.7992401135E10</v>
      </c>
      <c r="W301" s="32" t="n">
        <f>19442510449</f>
        <v>1.9442510449E10</v>
      </c>
      <c r="X301" s="36" t="n">
        <f>21</f>
        <v>21.0</v>
      </c>
    </row>
    <row r="302">
      <c r="A302" s="27" t="s">
        <v>42</v>
      </c>
      <c r="B302" s="27" t="s">
        <v>948</v>
      </c>
      <c r="C302" s="27" t="s">
        <v>949</v>
      </c>
      <c r="D302" s="27" t="s">
        <v>950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3750</f>
        <v>3750.0</v>
      </c>
      <c r="L302" s="34" t="s">
        <v>48</v>
      </c>
      <c r="M302" s="33" t="n">
        <f>3759</f>
        <v>3759.0</v>
      </c>
      <c r="N302" s="34" t="s">
        <v>48</v>
      </c>
      <c r="O302" s="33" t="n">
        <f>3424</f>
        <v>3424.0</v>
      </c>
      <c r="P302" s="34" t="s">
        <v>49</v>
      </c>
      <c r="Q302" s="33" t="n">
        <f>3486</f>
        <v>3486.0</v>
      </c>
      <c r="R302" s="34" t="s">
        <v>50</v>
      </c>
      <c r="S302" s="35" t="n">
        <f>3566.86</f>
        <v>3566.86</v>
      </c>
      <c r="T302" s="32" t="n">
        <f>1670293</f>
        <v>1670293.0</v>
      </c>
      <c r="U302" s="32" t="n">
        <f>647550</f>
        <v>647550.0</v>
      </c>
      <c r="V302" s="32" t="n">
        <f>5911486894</f>
        <v>5.911486894E9</v>
      </c>
      <c r="W302" s="32" t="n">
        <f>2298366431</f>
        <v>2.298366431E9</v>
      </c>
      <c r="X302" s="36" t="n">
        <f>21</f>
        <v>21.0</v>
      </c>
    </row>
    <row r="303">
      <c r="A303" s="27" t="s">
        <v>42</v>
      </c>
      <c r="B303" s="27" t="s">
        <v>951</v>
      </c>
      <c r="C303" s="27" t="s">
        <v>952</v>
      </c>
      <c r="D303" s="27" t="s">
        <v>953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1.0</v>
      </c>
      <c r="K303" s="33" t="n">
        <f>970</f>
        <v>970.0</v>
      </c>
      <c r="L303" s="34" t="s">
        <v>48</v>
      </c>
      <c r="M303" s="33" t="n">
        <f>983</f>
        <v>983.0</v>
      </c>
      <c r="N303" s="34" t="s">
        <v>64</v>
      </c>
      <c r="O303" s="33" t="n">
        <f>910</f>
        <v>910.0</v>
      </c>
      <c r="P303" s="34" t="s">
        <v>50</v>
      </c>
      <c r="Q303" s="33" t="n">
        <f>910</f>
        <v>910.0</v>
      </c>
      <c r="R303" s="34" t="s">
        <v>50</v>
      </c>
      <c r="S303" s="35" t="n">
        <f>955.52</f>
        <v>955.52</v>
      </c>
      <c r="T303" s="32" t="n">
        <f>1694026</f>
        <v>1694026.0</v>
      </c>
      <c r="U303" s="32" t="n">
        <f>772308</f>
        <v>772308.0</v>
      </c>
      <c r="V303" s="32" t="n">
        <f>1618233866</f>
        <v>1.618233866E9</v>
      </c>
      <c r="W303" s="32" t="n">
        <f>740178196</f>
        <v>7.40178196E8</v>
      </c>
      <c r="X303" s="36" t="n">
        <f>21</f>
        <v>21.0</v>
      </c>
    </row>
    <row r="304">
      <c r="A304" s="27" t="s">
        <v>42</v>
      </c>
      <c r="B304" s="27" t="s">
        <v>954</v>
      </c>
      <c r="C304" s="27" t="s">
        <v>955</v>
      </c>
      <c r="D304" s="27" t="s">
        <v>956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1132</f>
        <v>1132.0</v>
      </c>
      <c r="L304" s="34" t="s">
        <v>48</v>
      </c>
      <c r="M304" s="33" t="n">
        <f>1157</f>
        <v>1157.0</v>
      </c>
      <c r="N304" s="34" t="s">
        <v>64</v>
      </c>
      <c r="O304" s="33" t="n">
        <f>1052</f>
        <v>1052.0</v>
      </c>
      <c r="P304" s="34" t="s">
        <v>50</v>
      </c>
      <c r="Q304" s="33" t="n">
        <f>1056</f>
        <v>1056.0</v>
      </c>
      <c r="R304" s="34" t="s">
        <v>50</v>
      </c>
      <c r="S304" s="35" t="n">
        <f>1105.43</f>
        <v>1105.43</v>
      </c>
      <c r="T304" s="32" t="n">
        <f>404636</f>
        <v>404636.0</v>
      </c>
      <c r="U304" s="32" t="n">
        <f>282900</f>
        <v>282900.0</v>
      </c>
      <c r="V304" s="32" t="n">
        <f>450805135</f>
        <v>4.50805135E8</v>
      </c>
      <c r="W304" s="32" t="n">
        <f>316619541</f>
        <v>3.16619541E8</v>
      </c>
      <c r="X304" s="36" t="n">
        <f>21</f>
        <v>21.0</v>
      </c>
    </row>
    <row r="305">
      <c r="A305" s="27" t="s">
        <v>42</v>
      </c>
      <c r="B305" s="27" t="s">
        <v>957</v>
      </c>
      <c r="C305" s="27" t="s">
        <v>958</v>
      </c>
      <c r="D305" s="27" t="s">
        <v>959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10.0</v>
      </c>
      <c r="K305" s="33" t="n">
        <f>529</f>
        <v>529.0</v>
      </c>
      <c r="L305" s="34" t="s">
        <v>48</v>
      </c>
      <c r="M305" s="33" t="n">
        <f>529</f>
        <v>529.0</v>
      </c>
      <c r="N305" s="34" t="s">
        <v>48</v>
      </c>
      <c r="O305" s="33" t="n">
        <f>448</f>
        <v>448.0</v>
      </c>
      <c r="P305" s="34" t="s">
        <v>181</v>
      </c>
      <c r="Q305" s="33" t="n">
        <f>468.2</f>
        <v>468.2</v>
      </c>
      <c r="R305" s="34" t="s">
        <v>50</v>
      </c>
      <c r="S305" s="35" t="n">
        <f>484.51</f>
        <v>484.51</v>
      </c>
      <c r="T305" s="32" t="n">
        <f>10920</f>
        <v>10920.0</v>
      </c>
      <c r="U305" s="32" t="n">
        <f>10</f>
        <v>10.0</v>
      </c>
      <c r="V305" s="32" t="n">
        <f>5277433</f>
        <v>5277433.0</v>
      </c>
      <c r="W305" s="32" t="n">
        <f>4950</f>
        <v>4950.0</v>
      </c>
      <c r="X305" s="36" t="n">
        <f>21</f>
        <v>21.0</v>
      </c>
    </row>
    <row r="306">
      <c r="A306" s="27" t="s">
        <v>42</v>
      </c>
      <c r="B306" s="27" t="s">
        <v>960</v>
      </c>
      <c r="C306" s="27" t="s">
        <v>961</v>
      </c>
      <c r="D306" s="27" t="s">
        <v>962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6635</f>
        <v>6635.0</v>
      </c>
      <c r="L306" s="34" t="s">
        <v>48</v>
      </c>
      <c r="M306" s="33" t="n">
        <f>6811</f>
        <v>6811.0</v>
      </c>
      <c r="N306" s="34" t="s">
        <v>276</v>
      </c>
      <c r="O306" s="33" t="n">
        <f>6258</f>
        <v>6258.0</v>
      </c>
      <c r="P306" s="34" t="s">
        <v>50</v>
      </c>
      <c r="Q306" s="33" t="n">
        <f>6334</f>
        <v>6334.0</v>
      </c>
      <c r="R306" s="34" t="s">
        <v>50</v>
      </c>
      <c r="S306" s="35" t="n">
        <f>6635.62</f>
        <v>6635.62</v>
      </c>
      <c r="T306" s="32" t="n">
        <f>852770</f>
        <v>852770.0</v>
      </c>
      <c r="U306" s="32" t="n">
        <f>311034</f>
        <v>311034.0</v>
      </c>
      <c r="V306" s="32" t="n">
        <f>5546807820</f>
        <v>5.54680782E9</v>
      </c>
      <c r="W306" s="32" t="n">
        <f>1965775113</f>
        <v>1.965775113E9</v>
      </c>
      <c r="X306" s="36" t="n">
        <f>21</f>
        <v>21.0</v>
      </c>
    </row>
    <row r="307">
      <c r="A307" s="27" t="s">
        <v>42</v>
      </c>
      <c r="B307" s="27" t="s">
        <v>963</v>
      </c>
      <c r="C307" s="27" t="s">
        <v>964</v>
      </c>
      <c r="D307" s="27" t="s">
        <v>965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3655</f>
        <v>3655.0</v>
      </c>
      <c r="L307" s="34" t="s">
        <v>48</v>
      </c>
      <c r="M307" s="33" t="n">
        <f>3729</f>
        <v>3729.0</v>
      </c>
      <c r="N307" s="34" t="s">
        <v>107</v>
      </c>
      <c r="O307" s="33" t="n">
        <f>3358</f>
        <v>3358.0</v>
      </c>
      <c r="P307" s="34" t="s">
        <v>50</v>
      </c>
      <c r="Q307" s="33" t="n">
        <f>3407</f>
        <v>3407.0</v>
      </c>
      <c r="R307" s="34" t="s">
        <v>50</v>
      </c>
      <c r="S307" s="35" t="n">
        <f>3602.05</f>
        <v>3602.05</v>
      </c>
      <c r="T307" s="32" t="n">
        <f>7009729</f>
        <v>7009729.0</v>
      </c>
      <c r="U307" s="32" t="n">
        <f>6140321</f>
        <v>6140321.0</v>
      </c>
      <c r="V307" s="32" t="n">
        <f>25015598907</f>
        <v>2.5015598907E10</v>
      </c>
      <c r="W307" s="32" t="n">
        <f>21872457893</f>
        <v>2.1872457893E10</v>
      </c>
      <c r="X307" s="36" t="n">
        <f>21</f>
        <v>21.0</v>
      </c>
    </row>
    <row r="308">
      <c r="A308" s="27" t="s">
        <v>42</v>
      </c>
      <c r="B308" s="27" t="s">
        <v>966</v>
      </c>
      <c r="C308" s="27" t="s">
        <v>967</v>
      </c>
      <c r="D308" s="27" t="s">
        <v>968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3172</f>
        <v>3172.0</v>
      </c>
      <c r="L308" s="34" t="s">
        <v>48</v>
      </c>
      <c r="M308" s="33" t="n">
        <f>3215</f>
        <v>3215.0</v>
      </c>
      <c r="N308" s="34" t="s">
        <v>48</v>
      </c>
      <c r="O308" s="33" t="n">
        <f>2823</f>
        <v>2823.0</v>
      </c>
      <c r="P308" s="34" t="s">
        <v>50</v>
      </c>
      <c r="Q308" s="33" t="n">
        <f>2851</f>
        <v>2851.0</v>
      </c>
      <c r="R308" s="34" t="s">
        <v>50</v>
      </c>
      <c r="S308" s="35" t="n">
        <f>2990.05</f>
        <v>2990.05</v>
      </c>
      <c r="T308" s="32" t="n">
        <f>7513</f>
        <v>7513.0</v>
      </c>
      <c r="U308" s="32" t="str">
        <f>"－"</f>
        <v>－</v>
      </c>
      <c r="V308" s="32" t="n">
        <f>22589875</f>
        <v>2.2589875E7</v>
      </c>
      <c r="W308" s="32" t="str">
        <f>"－"</f>
        <v>－</v>
      </c>
      <c r="X308" s="36" t="n">
        <f>21</f>
        <v>21.0</v>
      </c>
    </row>
    <row r="309">
      <c r="A309" s="27" t="s">
        <v>42</v>
      </c>
      <c r="B309" s="27" t="s">
        <v>969</v>
      </c>
      <c r="C309" s="27" t="s">
        <v>970</v>
      </c>
      <c r="D309" s="27" t="s">
        <v>971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2336</f>
        <v>2336.0</v>
      </c>
      <c r="L309" s="34" t="s">
        <v>48</v>
      </c>
      <c r="M309" s="33" t="n">
        <f>2369</f>
        <v>2369.0</v>
      </c>
      <c r="N309" s="34" t="s">
        <v>107</v>
      </c>
      <c r="O309" s="33" t="n">
        <f>2149</f>
        <v>2149.0</v>
      </c>
      <c r="P309" s="34" t="s">
        <v>50</v>
      </c>
      <c r="Q309" s="33" t="n">
        <f>2150</f>
        <v>2150.0</v>
      </c>
      <c r="R309" s="34" t="s">
        <v>50</v>
      </c>
      <c r="S309" s="35" t="n">
        <f>2246.24</f>
        <v>2246.24</v>
      </c>
      <c r="T309" s="32" t="n">
        <f>61211</f>
        <v>61211.0</v>
      </c>
      <c r="U309" s="32" t="str">
        <f>"－"</f>
        <v>－</v>
      </c>
      <c r="V309" s="32" t="n">
        <f>138104002</f>
        <v>1.38104002E8</v>
      </c>
      <c r="W309" s="32" t="str">
        <f>"－"</f>
        <v>－</v>
      </c>
      <c r="X309" s="36" t="n">
        <f>21</f>
        <v>21.0</v>
      </c>
    </row>
    <row r="310">
      <c r="A310" s="27" t="s">
        <v>42</v>
      </c>
      <c r="B310" s="27" t="s">
        <v>972</v>
      </c>
      <c r="C310" s="27" t="s">
        <v>973</v>
      </c>
      <c r="D310" s="27" t="s">
        <v>974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10.0</v>
      </c>
      <c r="K310" s="33" t="n">
        <f>366.6</f>
        <v>366.6</v>
      </c>
      <c r="L310" s="34" t="s">
        <v>48</v>
      </c>
      <c r="M310" s="33" t="n">
        <f>373.2</f>
        <v>373.2</v>
      </c>
      <c r="N310" s="34" t="s">
        <v>57</v>
      </c>
      <c r="O310" s="33" t="n">
        <f>365.6</f>
        <v>365.6</v>
      </c>
      <c r="P310" s="34" t="s">
        <v>107</v>
      </c>
      <c r="Q310" s="33" t="n">
        <f>372</f>
        <v>372.0</v>
      </c>
      <c r="R310" s="34" t="s">
        <v>50</v>
      </c>
      <c r="S310" s="35" t="n">
        <f>370.03</f>
        <v>370.03</v>
      </c>
      <c r="T310" s="32" t="n">
        <f>7693510</f>
        <v>7693510.0</v>
      </c>
      <c r="U310" s="32" t="n">
        <f>15930</f>
        <v>15930.0</v>
      </c>
      <c r="V310" s="32" t="n">
        <f>2852925310</f>
        <v>2.85292531E9</v>
      </c>
      <c r="W310" s="32" t="n">
        <f>5880629</f>
        <v>5880629.0</v>
      </c>
      <c r="X310" s="36" t="n">
        <f>21</f>
        <v>21.0</v>
      </c>
    </row>
    <row r="311">
      <c r="A311" s="27" t="s">
        <v>42</v>
      </c>
      <c r="B311" s="27" t="s">
        <v>975</v>
      </c>
      <c r="C311" s="27" t="s">
        <v>976</v>
      </c>
      <c r="D311" s="27" t="s">
        <v>977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1121</f>
        <v>1121.0</v>
      </c>
      <c r="L311" s="34" t="s">
        <v>48</v>
      </c>
      <c r="M311" s="33" t="n">
        <f>1123</f>
        <v>1123.0</v>
      </c>
      <c r="N311" s="34" t="s">
        <v>48</v>
      </c>
      <c r="O311" s="33" t="n">
        <f>1051</f>
        <v>1051.0</v>
      </c>
      <c r="P311" s="34" t="s">
        <v>49</v>
      </c>
      <c r="Q311" s="33" t="n">
        <f>1068</f>
        <v>1068.0</v>
      </c>
      <c r="R311" s="34" t="s">
        <v>50</v>
      </c>
      <c r="S311" s="35" t="n">
        <f>1076.52</f>
        <v>1076.52</v>
      </c>
      <c r="T311" s="32" t="n">
        <f>16527001</f>
        <v>1.6527001E7</v>
      </c>
      <c r="U311" s="32" t="n">
        <f>1748101</f>
        <v>1748101.0</v>
      </c>
      <c r="V311" s="32" t="n">
        <f>17818640085</f>
        <v>1.7818640085E10</v>
      </c>
      <c r="W311" s="32" t="n">
        <f>1871003434</f>
        <v>1.871003434E9</v>
      </c>
      <c r="X311" s="36" t="n">
        <f>21</f>
        <v>21.0</v>
      </c>
    </row>
    <row r="312">
      <c r="A312" s="27" t="s">
        <v>42</v>
      </c>
      <c r="B312" s="27" t="s">
        <v>978</v>
      </c>
      <c r="C312" s="27" t="s">
        <v>979</v>
      </c>
      <c r="D312" s="27" t="s">
        <v>980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1780</f>
        <v>1780.0</v>
      </c>
      <c r="L312" s="34" t="s">
        <v>48</v>
      </c>
      <c r="M312" s="33" t="n">
        <f>1780</f>
        <v>1780.0</v>
      </c>
      <c r="N312" s="34" t="s">
        <v>48</v>
      </c>
      <c r="O312" s="33" t="n">
        <f>1687</f>
        <v>1687.0</v>
      </c>
      <c r="P312" s="34" t="s">
        <v>57</v>
      </c>
      <c r="Q312" s="33" t="n">
        <f>1703</f>
        <v>1703.0</v>
      </c>
      <c r="R312" s="34" t="s">
        <v>50</v>
      </c>
      <c r="S312" s="35" t="n">
        <f>1734.29</f>
        <v>1734.29</v>
      </c>
      <c r="T312" s="32" t="n">
        <f>64431</f>
        <v>64431.0</v>
      </c>
      <c r="U312" s="32" t="n">
        <f>2</f>
        <v>2.0</v>
      </c>
      <c r="V312" s="32" t="n">
        <f>111045634</f>
        <v>1.11045634E8</v>
      </c>
      <c r="W312" s="32" t="n">
        <f>3532</f>
        <v>3532.0</v>
      </c>
      <c r="X312" s="36" t="n">
        <f>21</f>
        <v>21.0</v>
      </c>
    </row>
    <row r="313">
      <c r="A313" s="27" t="s">
        <v>42</v>
      </c>
      <c r="B313" s="27" t="s">
        <v>981</v>
      </c>
      <c r="C313" s="27" t="s">
        <v>982</v>
      </c>
      <c r="D313" s="27" t="s">
        <v>983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2021</f>
        <v>2021.0</v>
      </c>
      <c r="L313" s="34" t="s">
        <v>48</v>
      </c>
      <c r="M313" s="33" t="n">
        <f>2030</f>
        <v>2030.0</v>
      </c>
      <c r="N313" s="34" t="s">
        <v>64</v>
      </c>
      <c r="O313" s="33" t="n">
        <f>1954</f>
        <v>1954.0</v>
      </c>
      <c r="P313" s="34" t="s">
        <v>215</v>
      </c>
      <c r="Q313" s="33" t="n">
        <f>1966</f>
        <v>1966.0</v>
      </c>
      <c r="R313" s="34" t="s">
        <v>50</v>
      </c>
      <c r="S313" s="35" t="n">
        <f>1985.38</f>
        <v>1985.38</v>
      </c>
      <c r="T313" s="32" t="n">
        <f>699858</f>
        <v>699858.0</v>
      </c>
      <c r="U313" s="32" t="n">
        <f>600000</f>
        <v>600000.0</v>
      </c>
      <c r="V313" s="32" t="n">
        <f>1378773625</f>
        <v>1.378773625E9</v>
      </c>
      <c r="W313" s="32" t="n">
        <f>1181054400</f>
        <v>1.1810544E9</v>
      </c>
      <c r="X313" s="36" t="n">
        <f>21</f>
        <v>21.0</v>
      </c>
    </row>
    <row r="314">
      <c r="A314" s="27" t="s">
        <v>42</v>
      </c>
      <c r="B314" s="27" t="s">
        <v>984</v>
      </c>
      <c r="C314" s="27" t="s">
        <v>985</v>
      </c>
      <c r="D314" s="27" t="s">
        <v>986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5800</f>
        <v>5800.0</v>
      </c>
      <c r="L314" s="34" t="s">
        <v>48</v>
      </c>
      <c r="M314" s="33" t="n">
        <f>5866</f>
        <v>5866.0</v>
      </c>
      <c r="N314" s="34" t="s">
        <v>48</v>
      </c>
      <c r="O314" s="33" t="n">
        <f>5099</f>
        <v>5099.0</v>
      </c>
      <c r="P314" s="34" t="s">
        <v>49</v>
      </c>
      <c r="Q314" s="33" t="n">
        <f>5182</f>
        <v>5182.0</v>
      </c>
      <c r="R314" s="34" t="s">
        <v>50</v>
      </c>
      <c r="S314" s="35" t="n">
        <f>5435.05</f>
        <v>5435.05</v>
      </c>
      <c r="T314" s="32" t="n">
        <f>1045942</f>
        <v>1045942.0</v>
      </c>
      <c r="U314" s="32" t="n">
        <f>192660</f>
        <v>192660.0</v>
      </c>
      <c r="V314" s="32" t="n">
        <f>5754189063</f>
        <v>5.754189063E9</v>
      </c>
      <c r="W314" s="32" t="n">
        <f>1095055410</f>
        <v>1.09505541E9</v>
      </c>
      <c r="X314" s="36" t="n">
        <f>21</f>
        <v>21.0</v>
      </c>
    </row>
    <row r="315">
      <c r="A315" s="27" t="s">
        <v>42</v>
      </c>
      <c r="B315" s="27" t="s">
        <v>987</v>
      </c>
      <c r="C315" s="27" t="s">
        <v>988</v>
      </c>
      <c r="D315" s="27" t="s">
        <v>989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3850</f>
        <v>3850.0</v>
      </c>
      <c r="L315" s="34" t="s">
        <v>48</v>
      </c>
      <c r="M315" s="33" t="n">
        <f>3908</f>
        <v>3908.0</v>
      </c>
      <c r="N315" s="34" t="s">
        <v>48</v>
      </c>
      <c r="O315" s="33" t="n">
        <f>3454</f>
        <v>3454.0</v>
      </c>
      <c r="P315" s="34" t="s">
        <v>49</v>
      </c>
      <c r="Q315" s="33" t="n">
        <f>3595</f>
        <v>3595.0</v>
      </c>
      <c r="R315" s="34" t="s">
        <v>50</v>
      </c>
      <c r="S315" s="35" t="n">
        <f>3665.62</f>
        <v>3665.62</v>
      </c>
      <c r="T315" s="32" t="n">
        <f>3780497</f>
        <v>3780497.0</v>
      </c>
      <c r="U315" s="32" t="n">
        <f>3440234</f>
        <v>3440234.0</v>
      </c>
      <c r="V315" s="32" t="n">
        <f>13881341003</f>
        <v>1.3881341003E10</v>
      </c>
      <c r="W315" s="32" t="n">
        <f>12625844900</f>
        <v>1.26258449E10</v>
      </c>
      <c r="X315" s="36" t="n">
        <f>21</f>
        <v>21.0</v>
      </c>
    </row>
    <row r="316">
      <c r="A316" s="27" t="s">
        <v>42</v>
      </c>
      <c r="B316" s="27" t="s">
        <v>990</v>
      </c>
      <c r="C316" s="27" t="s">
        <v>991</v>
      </c>
      <c r="D316" s="27" t="s">
        <v>992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2861</f>
        <v>2861.0</v>
      </c>
      <c r="L316" s="34" t="s">
        <v>48</v>
      </c>
      <c r="M316" s="33" t="n">
        <f>2861</f>
        <v>2861.0</v>
      </c>
      <c r="N316" s="34" t="s">
        <v>48</v>
      </c>
      <c r="O316" s="33" t="n">
        <f>2570</f>
        <v>2570.0</v>
      </c>
      <c r="P316" s="34" t="s">
        <v>49</v>
      </c>
      <c r="Q316" s="33" t="n">
        <f>2639</f>
        <v>2639.0</v>
      </c>
      <c r="R316" s="34" t="s">
        <v>50</v>
      </c>
      <c r="S316" s="35" t="n">
        <f>2690.19</f>
        <v>2690.19</v>
      </c>
      <c r="T316" s="32" t="n">
        <f>13317</f>
        <v>13317.0</v>
      </c>
      <c r="U316" s="32" t="n">
        <f>130</f>
        <v>130.0</v>
      </c>
      <c r="V316" s="32" t="n">
        <f>35913269</f>
        <v>3.5913269E7</v>
      </c>
      <c r="W316" s="32" t="n">
        <f>351790</f>
        <v>351790.0</v>
      </c>
      <c r="X316" s="36" t="n">
        <f>21</f>
        <v>21.0</v>
      </c>
    </row>
    <row r="317">
      <c r="A317" s="27" t="s">
        <v>42</v>
      </c>
      <c r="B317" s="27" t="s">
        <v>993</v>
      </c>
      <c r="C317" s="27" t="s">
        <v>994</v>
      </c>
      <c r="D317" s="27" t="s">
        <v>995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1390</f>
        <v>1390.0</v>
      </c>
      <c r="L317" s="34" t="s">
        <v>48</v>
      </c>
      <c r="M317" s="33" t="n">
        <f>1390</f>
        <v>1390.0</v>
      </c>
      <c r="N317" s="34" t="s">
        <v>48</v>
      </c>
      <c r="O317" s="33" t="n">
        <f>1306</f>
        <v>1306.0</v>
      </c>
      <c r="P317" s="34" t="s">
        <v>301</v>
      </c>
      <c r="Q317" s="33" t="n">
        <f>1356</f>
        <v>1356.0</v>
      </c>
      <c r="R317" s="34" t="s">
        <v>50</v>
      </c>
      <c r="S317" s="35" t="n">
        <f>1348.05</f>
        <v>1348.05</v>
      </c>
      <c r="T317" s="32" t="n">
        <f>9226</f>
        <v>9226.0</v>
      </c>
      <c r="U317" s="32" t="n">
        <f>80</f>
        <v>80.0</v>
      </c>
      <c r="V317" s="32" t="n">
        <f>12391163</f>
        <v>1.2391163E7</v>
      </c>
      <c r="W317" s="32" t="n">
        <f>107048</f>
        <v>107048.0</v>
      </c>
      <c r="X317" s="36" t="n">
        <f>21</f>
        <v>21.0</v>
      </c>
    </row>
    <row r="318">
      <c r="A318" s="27" t="s">
        <v>42</v>
      </c>
      <c r="B318" s="27" t="s">
        <v>996</v>
      </c>
      <c r="C318" s="27" t="s">
        <v>997</v>
      </c>
      <c r="D318" s="27" t="s">
        <v>998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3180</f>
        <v>3180.0</v>
      </c>
      <c r="L318" s="34" t="s">
        <v>48</v>
      </c>
      <c r="M318" s="33" t="n">
        <f>3260</f>
        <v>3260.0</v>
      </c>
      <c r="N318" s="34" t="s">
        <v>48</v>
      </c>
      <c r="O318" s="33" t="n">
        <f>2755</f>
        <v>2755.0</v>
      </c>
      <c r="P318" s="34" t="s">
        <v>117</v>
      </c>
      <c r="Q318" s="33" t="n">
        <f>2825</f>
        <v>2825.0</v>
      </c>
      <c r="R318" s="34" t="s">
        <v>50</v>
      </c>
      <c r="S318" s="35" t="n">
        <f>3015.05</f>
        <v>3015.05</v>
      </c>
      <c r="T318" s="32" t="n">
        <f>120389</f>
        <v>120389.0</v>
      </c>
      <c r="U318" s="32" t="str">
        <f>"－"</f>
        <v>－</v>
      </c>
      <c r="V318" s="32" t="n">
        <f>365670466</f>
        <v>3.65670466E8</v>
      </c>
      <c r="W318" s="32" t="str">
        <f>"－"</f>
        <v>－</v>
      </c>
      <c r="X318" s="36" t="n">
        <f>21</f>
        <v>21.0</v>
      </c>
    </row>
    <row r="319">
      <c r="A319" s="27" t="s">
        <v>42</v>
      </c>
      <c r="B319" s="27" t="s">
        <v>999</v>
      </c>
      <c r="C319" s="27" t="s">
        <v>1000</v>
      </c>
      <c r="D319" s="27" t="s">
        <v>1001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3518</f>
        <v>3518.0</v>
      </c>
      <c r="L319" s="34" t="s">
        <v>48</v>
      </c>
      <c r="M319" s="33" t="n">
        <f>3690</f>
        <v>3690.0</v>
      </c>
      <c r="N319" s="34" t="s">
        <v>71</v>
      </c>
      <c r="O319" s="33" t="n">
        <f>3351</f>
        <v>3351.0</v>
      </c>
      <c r="P319" s="34" t="s">
        <v>49</v>
      </c>
      <c r="Q319" s="33" t="n">
        <f>3429</f>
        <v>3429.0</v>
      </c>
      <c r="R319" s="34" t="s">
        <v>50</v>
      </c>
      <c r="S319" s="35" t="n">
        <f>3523.95</f>
        <v>3523.95</v>
      </c>
      <c r="T319" s="32" t="n">
        <f>218704</f>
        <v>218704.0</v>
      </c>
      <c r="U319" s="32" t="n">
        <f>71506</f>
        <v>71506.0</v>
      </c>
      <c r="V319" s="32" t="n">
        <f>773710963</f>
        <v>7.73710963E8</v>
      </c>
      <c r="W319" s="32" t="n">
        <f>251805318</f>
        <v>2.51805318E8</v>
      </c>
      <c r="X319" s="36" t="n">
        <f>21</f>
        <v>21.0</v>
      </c>
    </row>
    <row r="320">
      <c r="A320" s="27" t="s">
        <v>42</v>
      </c>
      <c r="B320" s="27" t="s">
        <v>1002</v>
      </c>
      <c r="C320" s="27" t="s">
        <v>1003</v>
      </c>
      <c r="D320" s="27" t="s">
        <v>1004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14485</f>
        <v>14485.0</v>
      </c>
      <c r="L320" s="34" t="s">
        <v>48</v>
      </c>
      <c r="M320" s="33" t="n">
        <f>14670</f>
        <v>14670.0</v>
      </c>
      <c r="N320" s="34" t="s">
        <v>107</v>
      </c>
      <c r="O320" s="33" t="n">
        <f>13380</f>
        <v>13380.0</v>
      </c>
      <c r="P320" s="34" t="s">
        <v>50</v>
      </c>
      <c r="Q320" s="33" t="n">
        <f>13560</f>
        <v>13560.0</v>
      </c>
      <c r="R320" s="34" t="s">
        <v>50</v>
      </c>
      <c r="S320" s="35" t="n">
        <f>14163.81</f>
        <v>14163.81</v>
      </c>
      <c r="T320" s="32" t="n">
        <f>827894</f>
        <v>827894.0</v>
      </c>
      <c r="U320" s="32" t="n">
        <f>730781</f>
        <v>730781.0</v>
      </c>
      <c r="V320" s="32" t="n">
        <f>11718743251</f>
        <v>1.1718743251E10</v>
      </c>
      <c r="W320" s="32" t="n">
        <f>10341973321</f>
        <v>1.0341973321E10</v>
      </c>
      <c r="X320" s="36" t="n">
        <f>21</f>
        <v>21.0</v>
      </c>
    </row>
    <row r="321">
      <c r="A321" s="27" t="s">
        <v>42</v>
      </c>
      <c r="B321" s="27" t="s">
        <v>1005</v>
      </c>
      <c r="C321" s="27" t="s">
        <v>1006</v>
      </c>
      <c r="D321" s="27" t="s">
        <v>1007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27680</f>
        <v>27680.0</v>
      </c>
      <c r="L321" s="34" t="s">
        <v>48</v>
      </c>
      <c r="M321" s="33" t="n">
        <f>28420</f>
        <v>28420.0</v>
      </c>
      <c r="N321" s="34" t="s">
        <v>276</v>
      </c>
      <c r="O321" s="33" t="n">
        <f>26095</f>
        <v>26095.0</v>
      </c>
      <c r="P321" s="34" t="s">
        <v>50</v>
      </c>
      <c r="Q321" s="33" t="n">
        <f>26390</f>
        <v>26390.0</v>
      </c>
      <c r="R321" s="34" t="s">
        <v>50</v>
      </c>
      <c r="S321" s="35" t="n">
        <f>27700</f>
        <v>27700.0</v>
      </c>
      <c r="T321" s="32" t="n">
        <f>257519</f>
        <v>257519.0</v>
      </c>
      <c r="U321" s="32" t="n">
        <f>16462</f>
        <v>16462.0</v>
      </c>
      <c r="V321" s="32" t="n">
        <f>7130787164</f>
        <v>7.130787164E9</v>
      </c>
      <c r="W321" s="32" t="n">
        <f>459024994</f>
        <v>4.59024994E8</v>
      </c>
      <c r="X321" s="36" t="n">
        <f>21</f>
        <v>21.0</v>
      </c>
    </row>
    <row r="322">
      <c r="A322" s="27" t="s">
        <v>42</v>
      </c>
      <c r="B322" s="27" t="s">
        <v>1008</v>
      </c>
      <c r="C322" s="27" t="s">
        <v>1009</v>
      </c>
      <c r="D322" s="27" t="s">
        <v>1010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15250</f>
        <v>15250.0</v>
      </c>
      <c r="L322" s="34" t="s">
        <v>48</v>
      </c>
      <c r="M322" s="33" t="n">
        <f>15565</f>
        <v>15565.0</v>
      </c>
      <c r="N322" s="34" t="s">
        <v>107</v>
      </c>
      <c r="O322" s="33" t="n">
        <f>14030</f>
        <v>14030.0</v>
      </c>
      <c r="P322" s="34" t="s">
        <v>50</v>
      </c>
      <c r="Q322" s="33" t="n">
        <f>14230</f>
        <v>14230.0</v>
      </c>
      <c r="R322" s="34" t="s">
        <v>50</v>
      </c>
      <c r="S322" s="35" t="n">
        <f>15033.1</f>
        <v>15033.1</v>
      </c>
      <c r="T322" s="32" t="n">
        <f>513387</f>
        <v>513387.0</v>
      </c>
      <c r="U322" s="32" t="n">
        <f>453351</f>
        <v>453351.0</v>
      </c>
      <c r="V322" s="32" t="n">
        <f>7501685503</f>
        <v>7.501685503E9</v>
      </c>
      <c r="W322" s="32" t="n">
        <f>6599842538</f>
        <v>6.599842538E9</v>
      </c>
      <c r="X322" s="36" t="n">
        <f>21</f>
        <v>21.0</v>
      </c>
    </row>
    <row r="323">
      <c r="A323" s="27" t="s">
        <v>42</v>
      </c>
      <c r="B323" s="27" t="s">
        <v>1011</v>
      </c>
      <c r="C323" s="27" t="s">
        <v>1012</v>
      </c>
      <c r="D323" s="27" t="s">
        <v>1013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10.0</v>
      </c>
      <c r="K323" s="33" t="n">
        <f>492.9</f>
        <v>492.9</v>
      </c>
      <c r="L323" s="34" t="s">
        <v>48</v>
      </c>
      <c r="M323" s="33" t="n">
        <f>500.3</f>
        <v>500.3</v>
      </c>
      <c r="N323" s="34" t="s">
        <v>64</v>
      </c>
      <c r="O323" s="33" t="n">
        <f>465</f>
        <v>465.0</v>
      </c>
      <c r="P323" s="34" t="s">
        <v>50</v>
      </c>
      <c r="Q323" s="33" t="n">
        <f>469.8</f>
        <v>469.8</v>
      </c>
      <c r="R323" s="34" t="s">
        <v>50</v>
      </c>
      <c r="S323" s="35" t="n">
        <f>487.43</f>
        <v>487.43</v>
      </c>
      <c r="T323" s="32" t="n">
        <f>4643950</f>
        <v>4643950.0</v>
      </c>
      <c r="U323" s="32" t="n">
        <f>1796270</f>
        <v>1796270.0</v>
      </c>
      <c r="V323" s="32" t="n">
        <f>2273077591</f>
        <v>2.273077591E9</v>
      </c>
      <c r="W323" s="32" t="n">
        <f>886384603</f>
        <v>8.86384603E8</v>
      </c>
      <c r="X323" s="36" t="n">
        <f>21</f>
        <v>21.0</v>
      </c>
    </row>
    <row r="324">
      <c r="A324" s="27" t="s">
        <v>42</v>
      </c>
      <c r="B324" s="27" t="s">
        <v>1014</v>
      </c>
      <c r="C324" s="27" t="s">
        <v>1015</v>
      </c>
      <c r="D324" s="27" t="s">
        <v>1016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2863</f>
        <v>2863.0</v>
      </c>
      <c r="L324" s="34" t="s">
        <v>48</v>
      </c>
      <c r="M324" s="33" t="n">
        <f>2902</f>
        <v>2902.0</v>
      </c>
      <c r="N324" s="34" t="s">
        <v>107</v>
      </c>
      <c r="O324" s="33" t="n">
        <f>2621</f>
        <v>2621.0</v>
      </c>
      <c r="P324" s="34" t="s">
        <v>50</v>
      </c>
      <c r="Q324" s="33" t="n">
        <f>2665</f>
        <v>2665.0</v>
      </c>
      <c r="R324" s="34" t="s">
        <v>50</v>
      </c>
      <c r="S324" s="35" t="n">
        <f>2785.62</f>
        <v>2785.62</v>
      </c>
      <c r="T324" s="32" t="n">
        <f>3434339</f>
        <v>3434339.0</v>
      </c>
      <c r="U324" s="32" t="n">
        <f>2889534</f>
        <v>2889534.0</v>
      </c>
      <c r="V324" s="32" t="n">
        <f>9617279390</f>
        <v>9.61727939E9</v>
      </c>
      <c r="W324" s="32" t="n">
        <f>8095130276</f>
        <v>8.095130276E9</v>
      </c>
      <c r="X324" s="36" t="n">
        <f>21</f>
        <v>21.0</v>
      </c>
    </row>
    <row r="325">
      <c r="A325" s="27" t="s">
        <v>42</v>
      </c>
      <c r="B325" s="27" t="s">
        <v>1017</v>
      </c>
      <c r="C325" s="27" t="s">
        <v>1018</v>
      </c>
      <c r="D325" s="27" t="s">
        <v>1019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4548</f>
        <v>4548.0</v>
      </c>
      <c r="L325" s="34" t="s">
        <v>48</v>
      </c>
      <c r="M325" s="33" t="n">
        <f>4658</f>
        <v>4658.0</v>
      </c>
      <c r="N325" s="34" t="s">
        <v>48</v>
      </c>
      <c r="O325" s="33" t="n">
        <f>4038</f>
        <v>4038.0</v>
      </c>
      <c r="P325" s="34" t="s">
        <v>117</v>
      </c>
      <c r="Q325" s="33" t="n">
        <f>4189</f>
        <v>4189.0</v>
      </c>
      <c r="R325" s="34" t="s">
        <v>57</v>
      </c>
      <c r="S325" s="35" t="n">
        <f>4331.1</f>
        <v>4331.1</v>
      </c>
      <c r="T325" s="32" t="n">
        <f>4514</f>
        <v>4514.0</v>
      </c>
      <c r="U325" s="32" t="str">
        <f>"－"</f>
        <v>－</v>
      </c>
      <c r="V325" s="32" t="n">
        <f>19516861</f>
        <v>1.9516861E7</v>
      </c>
      <c r="W325" s="32" t="str">
        <f>"－"</f>
        <v>－</v>
      </c>
      <c r="X325" s="36" t="n">
        <f>20</f>
        <v>20.0</v>
      </c>
    </row>
    <row r="326">
      <c r="A326" s="27" t="s">
        <v>42</v>
      </c>
      <c r="B326" s="27" t="s">
        <v>1020</v>
      </c>
      <c r="C326" s="27" t="s">
        <v>1021</v>
      </c>
      <c r="D326" s="27" t="s">
        <v>1022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2470</f>
        <v>2470.0</v>
      </c>
      <c r="L326" s="34" t="s">
        <v>48</v>
      </c>
      <c r="M326" s="33" t="n">
        <f>2500</f>
        <v>2500.0</v>
      </c>
      <c r="N326" s="34" t="s">
        <v>48</v>
      </c>
      <c r="O326" s="33" t="n">
        <f>2069</f>
        <v>2069.0</v>
      </c>
      <c r="P326" s="34" t="s">
        <v>49</v>
      </c>
      <c r="Q326" s="33" t="n">
        <f>2117</f>
        <v>2117.0</v>
      </c>
      <c r="R326" s="34" t="s">
        <v>50</v>
      </c>
      <c r="S326" s="35" t="n">
        <f>2255.52</f>
        <v>2255.52</v>
      </c>
      <c r="T326" s="32" t="n">
        <f>65571</f>
        <v>65571.0</v>
      </c>
      <c r="U326" s="32" t="n">
        <f>120</f>
        <v>120.0</v>
      </c>
      <c r="V326" s="32" t="n">
        <f>149148966</f>
        <v>1.49148966E8</v>
      </c>
      <c r="W326" s="32" t="n">
        <f>266118</f>
        <v>266118.0</v>
      </c>
      <c r="X326" s="36" t="n">
        <f>21</f>
        <v>21.0</v>
      </c>
    </row>
    <row r="327">
      <c r="A327" s="27" t="s">
        <v>42</v>
      </c>
      <c r="B327" s="27" t="s">
        <v>1023</v>
      </c>
      <c r="C327" s="27" t="s">
        <v>1024</v>
      </c>
      <c r="D327" s="27" t="s">
        <v>1025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2688</f>
        <v>2688.0</v>
      </c>
      <c r="L327" s="34" t="s">
        <v>48</v>
      </c>
      <c r="M327" s="33" t="n">
        <f>2690</f>
        <v>2690.0</v>
      </c>
      <c r="N327" s="34" t="s">
        <v>48</v>
      </c>
      <c r="O327" s="33" t="n">
        <f>2184</f>
        <v>2184.0</v>
      </c>
      <c r="P327" s="34" t="s">
        <v>57</v>
      </c>
      <c r="Q327" s="33" t="n">
        <f>2208</f>
        <v>2208.0</v>
      </c>
      <c r="R327" s="34" t="s">
        <v>50</v>
      </c>
      <c r="S327" s="35" t="n">
        <f>2397.43</f>
        <v>2397.43</v>
      </c>
      <c r="T327" s="32" t="n">
        <f>1540484</f>
        <v>1540484.0</v>
      </c>
      <c r="U327" s="32" t="n">
        <f>124275</f>
        <v>124275.0</v>
      </c>
      <c r="V327" s="32" t="n">
        <f>3658107417</f>
        <v>3.658107417E9</v>
      </c>
      <c r="W327" s="32" t="n">
        <f>289030911</f>
        <v>2.89030911E8</v>
      </c>
      <c r="X327" s="36" t="n">
        <f>21</f>
        <v>21.0</v>
      </c>
    </row>
    <row r="328">
      <c r="A328" s="27" t="s">
        <v>42</v>
      </c>
      <c r="B328" s="27" t="s">
        <v>1026</v>
      </c>
      <c r="C328" s="27" t="s">
        <v>1027</v>
      </c>
      <c r="D328" s="27" t="s">
        <v>1028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1783</f>
        <v>1783.0</v>
      </c>
      <c r="L328" s="34" t="s">
        <v>48</v>
      </c>
      <c r="M328" s="33" t="n">
        <f>1790</f>
        <v>1790.0</v>
      </c>
      <c r="N328" s="34" t="s">
        <v>64</v>
      </c>
      <c r="O328" s="33" t="n">
        <f>1611</f>
        <v>1611.0</v>
      </c>
      <c r="P328" s="34" t="s">
        <v>49</v>
      </c>
      <c r="Q328" s="33" t="n">
        <f>1691</f>
        <v>1691.0</v>
      </c>
      <c r="R328" s="34" t="s">
        <v>50</v>
      </c>
      <c r="S328" s="35" t="n">
        <f>1688.81</f>
        <v>1688.81</v>
      </c>
      <c r="T328" s="32" t="n">
        <f>15066</f>
        <v>15066.0</v>
      </c>
      <c r="U328" s="32" t="n">
        <f>140</f>
        <v>140.0</v>
      </c>
      <c r="V328" s="32" t="n">
        <f>25553607</f>
        <v>2.5553607E7</v>
      </c>
      <c r="W328" s="32" t="n">
        <f>235399</f>
        <v>235399.0</v>
      </c>
      <c r="X328" s="36" t="n">
        <f>21</f>
        <v>21.0</v>
      </c>
    </row>
    <row r="329">
      <c r="A329" s="27" t="s">
        <v>42</v>
      </c>
      <c r="B329" s="27" t="s">
        <v>1029</v>
      </c>
      <c r="C329" s="27" t="s">
        <v>1030</v>
      </c>
      <c r="D329" s="27" t="s">
        <v>1031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4068</f>
        <v>4068.0</v>
      </c>
      <c r="L329" s="34" t="s">
        <v>48</v>
      </c>
      <c r="M329" s="33" t="n">
        <f>4068</f>
        <v>4068.0</v>
      </c>
      <c r="N329" s="34" t="s">
        <v>48</v>
      </c>
      <c r="O329" s="33" t="n">
        <f>3707</f>
        <v>3707.0</v>
      </c>
      <c r="P329" s="34" t="s">
        <v>57</v>
      </c>
      <c r="Q329" s="33" t="n">
        <f>3776</f>
        <v>3776.0</v>
      </c>
      <c r="R329" s="34" t="s">
        <v>50</v>
      </c>
      <c r="S329" s="35" t="n">
        <f>3900.24</f>
        <v>3900.24</v>
      </c>
      <c r="T329" s="32" t="n">
        <f>738406</f>
        <v>738406.0</v>
      </c>
      <c r="U329" s="32" t="n">
        <f>282141</f>
        <v>282141.0</v>
      </c>
      <c r="V329" s="32" t="n">
        <f>2877103382</f>
        <v>2.877103382E9</v>
      </c>
      <c r="W329" s="32" t="n">
        <f>1094962410</f>
        <v>1.09496241E9</v>
      </c>
      <c r="X329" s="36" t="n">
        <f>21</f>
        <v>21.0</v>
      </c>
    </row>
    <row r="330">
      <c r="A330" s="27" t="s">
        <v>42</v>
      </c>
      <c r="B330" s="27" t="s">
        <v>1032</v>
      </c>
      <c r="C330" s="27" t="s">
        <v>1033</v>
      </c>
      <c r="D330" s="27" t="s">
        <v>1034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4370</f>
        <v>4370.0</v>
      </c>
      <c r="L330" s="34" t="s">
        <v>48</v>
      </c>
      <c r="M330" s="33" t="n">
        <f>4461</f>
        <v>4461.0</v>
      </c>
      <c r="N330" s="34" t="s">
        <v>48</v>
      </c>
      <c r="O330" s="33" t="n">
        <f>3997</f>
        <v>3997.0</v>
      </c>
      <c r="P330" s="34" t="s">
        <v>181</v>
      </c>
      <c r="Q330" s="33" t="n">
        <f>4101</f>
        <v>4101.0</v>
      </c>
      <c r="R330" s="34" t="s">
        <v>50</v>
      </c>
      <c r="S330" s="35" t="n">
        <f>4222.43</f>
        <v>4222.43</v>
      </c>
      <c r="T330" s="32" t="n">
        <f>1690403</f>
        <v>1690403.0</v>
      </c>
      <c r="U330" s="32" t="n">
        <f>1138570</f>
        <v>1138570.0</v>
      </c>
      <c r="V330" s="32" t="n">
        <f>7045625338</f>
        <v>7.045625338E9</v>
      </c>
      <c r="W330" s="32" t="n">
        <f>4744774993</f>
        <v>4.744774993E9</v>
      </c>
      <c r="X330" s="36" t="n">
        <f>21</f>
        <v>21.0</v>
      </c>
    </row>
    <row r="331">
      <c r="A331" s="27" t="s">
        <v>42</v>
      </c>
      <c r="B331" s="27" t="s">
        <v>1035</v>
      </c>
      <c r="C331" s="27" t="s">
        <v>1036</v>
      </c>
      <c r="D331" s="27" t="s">
        <v>1037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50950</f>
        <v>50950.0</v>
      </c>
      <c r="L331" s="34" t="s">
        <v>48</v>
      </c>
      <c r="M331" s="33" t="n">
        <f>50950</f>
        <v>50950.0</v>
      </c>
      <c r="N331" s="34" t="s">
        <v>48</v>
      </c>
      <c r="O331" s="33" t="n">
        <f>45300</f>
        <v>45300.0</v>
      </c>
      <c r="P331" s="34" t="s">
        <v>49</v>
      </c>
      <c r="Q331" s="33" t="n">
        <f>46730</f>
        <v>46730.0</v>
      </c>
      <c r="R331" s="34" t="s">
        <v>57</v>
      </c>
      <c r="S331" s="35" t="n">
        <f>47868.33</f>
        <v>47868.33</v>
      </c>
      <c r="T331" s="32" t="n">
        <f>41</f>
        <v>41.0</v>
      </c>
      <c r="U331" s="32" t="str">
        <f>"－"</f>
        <v>－</v>
      </c>
      <c r="V331" s="32" t="n">
        <f>1952950</f>
        <v>1952950.0</v>
      </c>
      <c r="W331" s="32" t="str">
        <f>"－"</f>
        <v>－</v>
      </c>
      <c r="X331" s="36" t="n">
        <f>18</f>
        <v>18.0</v>
      </c>
    </row>
    <row r="332">
      <c r="A332" s="27" t="s">
        <v>42</v>
      </c>
      <c r="B332" s="27" t="s">
        <v>1038</v>
      </c>
      <c r="C332" s="27" t="s">
        <v>1039</v>
      </c>
      <c r="D332" s="27" t="s">
        <v>1040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4080</f>
        <v>4080.0</v>
      </c>
      <c r="L332" s="34" t="s">
        <v>48</v>
      </c>
      <c r="M332" s="33" t="n">
        <f>4080</f>
        <v>4080.0</v>
      </c>
      <c r="N332" s="34" t="s">
        <v>48</v>
      </c>
      <c r="O332" s="33" t="n">
        <f>3552</f>
        <v>3552.0</v>
      </c>
      <c r="P332" s="34" t="s">
        <v>49</v>
      </c>
      <c r="Q332" s="33" t="n">
        <f>3637</f>
        <v>3637.0</v>
      </c>
      <c r="R332" s="34" t="s">
        <v>50</v>
      </c>
      <c r="S332" s="35" t="n">
        <f>3722.94</f>
        <v>3722.94</v>
      </c>
      <c r="T332" s="32" t="n">
        <f>9107</f>
        <v>9107.0</v>
      </c>
      <c r="U332" s="32" t="str">
        <f>"－"</f>
        <v>－</v>
      </c>
      <c r="V332" s="32" t="n">
        <f>34906513</f>
        <v>3.4906513E7</v>
      </c>
      <c r="W332" s="32" t="str">
        <f>"－"</f>
        <v>－</v>
      </c>
      <c r="X332" s="36" t="n">
        <f>17</f>
        <v>17.0</v>
      </c>
    </row>
    <row r="333">
      <c r="A333" s="27" t="s">
        <v>42</v>
      </c>
      <c r="B333" s="27" t="s">
        <v>1041</v>
      </c>
      <c r="C333" s="27" t="s">
        <v>1042</v>
      </c>
      <c r="D333" s="27" t="s">
        <v>1043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3370</f>
        <v>3370.0</v>
      </c>
      <c r="L333" s="34" t="s">
        <v>48</v>
      </c>
      <c r="M333" s="33" t="n">
        <f>3447</f>
        <v>3447.0</v>
      </c>
      <c r="N333" s="34" t="s">
        <v>64</v>
      </c>
      <c r="O333" s="33" t="n">
        <f>2849</f>
        <v>2849.0</v>
      </c>
      <c r="P333" s="34" t="s">
        <v>50</v>
      </c>
      <c r="Q333" s="33" t="n">
        <f>2910</f>
        <v>2910.0</v>
      </c>
      <c r="R333" s="34" t="s">
        <v>50</v>
      </c>
      <c r="S333" s="35" t="n">
        <f>3153.9</f>
        <v>3153.9</v>
      </c>
      <c r="T333" s="32" t="n">
        <f>32399891</f>
        <v>3.2399891E7</v>
      </c>
      <c r="U333" s="32" t="n">
        <f>543966</f>
        <v>543966.0</v>
      </c>
      <c r="V333" s="32" t="n">
        <f>102218383250</f>
        <v>1.0221838325E11</v>
      </c>
      <c r="W333" s="32" t="n">
        <f>1697802023</f>
        <v>1.697802023E9</v>
      </c>
      <c r="X333" s="36" t="n">
        <f>21</f>
        <v>21.0</v>
      </c>
    </row>
    <row r="334">
      <c r="A334" s="27" t="s">
        <v>42</v>
      </c>
      <c r="B334" s="27" t="s">
        <v>1044</v>
      </c>
      <c r="C334" s="27" t="s">
        <v>1045</v>
      </c>
      <c r="D334" s="27" t="s">
        <v>1046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2724</f>
        <v>2724.0</v>
      </c>
      <c r="L334" s="34" t="s">
        <v>48</v>
      </c>
      <c r="M334" s="33" t="n">
        <f>2724</f>
        <v>2724.0</v>
      </c>
      <c r="N334" s="34" t="s">
        <v>48</v>
      </c>
      <c r="O334" s="33" t="n">
        <f>2562</f>
        <v>2562.0</v>
      </c>
      <c r="P334" s="34" t="s">
        <v>181</v>
      </c>
      <c r="Q334" s="33" t="n">
        <f>2606</f>
        <v>2606.0</v>
      </c>
      <c r="R334" s="34" t="s">
        <v>50</v>
      </c>
      <c r="S334" s="35" t="n">
        <f>2630.48</f>
        <v>2630.48</v>
      </c>
      <c r="T334" s="32" t="n">
        <f>9258</f>
        <v>9258.0</v>
      </c>
      <c r="U334" s="32" t="str">
        <f>"－"</f>
        <v>－</v>
      </c>
      <c r="V334" s="32" t="n">
        <f>24193159</f>
        <v>2.4193159E7</v>
      </c>
      <c r="W334" s="32" t="str">
        <f>"－"</f>
        <v>－</v>
      </c>
      <c r="X334" s="36" t="n">
        <f>21</f>
        <v>21.0</v>
      </c>
    </row>
    <row r="335">
      <c r="A335" s="27" t="s">
        <v>42</v>
      </c>
      <c r="B335" s="27" t="s">
        <v>1047</v>
      </c>
      <c r="C335" s="27" t="s">
        <v>1048</v>
      </c>
      <c r="D335" s="27" t="s">
        <v>1049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4248</f>
        <v>4248.0</v>
      </c>
      <c r="L335" s="34" t="s">
        <v>48</v>
      </c>
      <c r="M335" s="33" t="n">
        <f>4428</f>
        <v>4428.0</v>
      </c>
      <c r="N335" s="34" t="s">
        <v>64</v>
      </c>
      <c r="O335" s="33" t="n">
        <f>3285</f>
        <v>3285.0</v>
      </c>
      <c r="P335" s="34" t="s">
        <v>49</v>
      </c>
      <c r="Q335" s="33" t="n">
        <f>3403</f>
        <v>3403.0</v>
      </c>
      <c r="R335" s="34" t="s">
        <v>50</v>
      </c>
      <c r="S335" s="35" t="n">
        <f>3709.95</f>
        <v>3709.95</v>
      </c>
      <c r="T335" s="32" t="n">
        <f>1298848</f>
        <v>1298848.0</v>
      </c>
      <c r="U335" s="32" t="n">
        <f>6868</f>
        <v>6868.0</v>
      </c>
      <c r="V335" s="32" t="n">
        <f>4982212663</f>
        <v>4.982212663E9</v>
      </c>
      <c r="W335" s="32" t="n">
        <f>27277071</f>
        <v>2.7277071E7</v>
      </c>
      <c r="X335" s="36" t="n">
        <f>21</f>
        <v>21.0</v>
      </c>
    </row>
    <row r="336">
      <c r="A336" s="27" t="s">
        <v>42</v>
      </c>
      <c r="B336" s="27" t="s">
        <v>1050</v>
      </c>
      <c r="C336" s="27" t="s">
        <v>1051</v>
      </c>
      <c r="D336" s="27" t="s">
        <v>1052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6115</f>
        <v>6115.0</v>
      </c>
      <c r="L336" s="34" t="s">
        <v>48</v>
      </c>
      <c r="M336" s="33" t="n">
        <f>6120</f>
        <v>6120.0</v>
      </c>
      <c r="N336" s="34" t="s">
        <v>64</v>
      </c>
      <c r="O336" s="33" t="n">
        <f>5941</f>
        <v>5941.0</v>
      </c>
      <c r="P336" s="34" t="s">
        <v>117</v>
      </c>
      <c r="Q336" s="33" t="n">
        <f>6008</f>
        <v>6008.0</v>
      </c>
      <c r="R336" s="34" t="s">
        <v>50</v>
      </c>
      <c r="S336" s="35" t="n">
        <f>6013.14</f>
        <v>6013.14</v>
      </c>
      <c r="T336" s="32" t="n">
        <f>108694</f>
        <v>108694.0</v>
      </c>
      <c r="U336" s="32" t="n">
        <f>450</f>
        <v>450.0</v>
      </c>
      <c r="V336" s="32" t="n">
        <f>652747718</f>
        <v>6.52747718E8</v>
      </c>
      <c r="W336" s="32" t="n">
        <f>2684700</f>
        <v>2684700.0</v>
      </c>
      <c r="X336" s="36" t="n">
        <f>21</f>
        <v>21.0</v>
      </c>
    </row>
    <row r="337">
      <c r="A337" s="27" t="s">
        <v>42</v>
      </c>
      <c r="B337" s="27" t="s">
        <v>1053</v>
      </c>
      <c r="C337" s="27" t="s">
        <v>1054</v>
      </c>
      <c r="D337" s="27" t="s">
        <v>1055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3590</f>
        <v>3590.0</v>
      </c>
      <c r="L337" s="34" t="s">
        <v>48</v>
      </c>
      <c r="M337" s="33" t="n">
        <f>3593</f>
        <v>3593.0</v>
      </c>
      <c r="N337" s="34" t="s">
        <v>48</v>
      </c>
      <c r="O337" s="33" t="n">
        <f>3426</f>
        <v>3426.0</v>
      </c>
      <c r="P337" s="34" t="s">
        <v>56</v>
      </c>
      <c r="Q337" s="33" t="n">
        <f>3453</f>
        <v>3453.0</v>
      </c>
      <c r="R337" s="34" t="s">
        <v>50</v>
      </c>
      <c r="S337" s="35" t="n">
        <f>3483.33</f>
        <v>3483.33</v>
      </c>
      <c r="T337" s="32" t="n">
        <f>2800586</f>
        <v>2800586.0</v>
      </c>
      <c r="U337" s="32" t="n">
        <f>2188580</f>
        <v>2188580.0</v>
      </c>
      <c r="V337" s="32" t="n">
        <f>9682622274</f>
        <v>9.682622274E9</v>
      </c>
      <c r="W337" s="32" t="n">
        <f>7552303772</f>
        <v>7.552303772E9</v>
      </c>
      <c r="X337" s="36" t="n">
        <f>21</f>
        <v>21.0</v>
      </c>
    </row>
    <row r="338">
      <c r="A338" s="27" t="s">
        <v>42</v>
      </c>
      <c r="B338" s="27" t="s">
        <v>1056</v>
      </c>
      <c r="C338" s="27" t="s">
        <v>1057</v>
      </c>
      <c r="D338" s="27" t="s">
        <v>1058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10.0</v>
      </c>
      <c r="K338" s="33" t="n">
        <f>607.8</f>
        <v>607.8</v>
      </c>
      <c r="L338" s="34" t="s">
        <v>48</v>
      </c>
      <c r="M338" s="33" t="n">
        <f>609</f>
        <v>609.0</v>
      </c>
      <c r="N338" s="34" t="s">
        <v>64</v>
      </c>
      <c r="O338" s="33" t="n">
        <f>590.7</f>
        <v>590.7</v>
      </c>
      <c r="P338" s="34" t="s">
        <v>49</v>
      </c>
      <c r="Q338" s="33" t="n">
        <f>596.1</f>
        <v>596.1</v>
      </c>
      <c r="R338" s="34" t="s">
        <v>50</v>
      </c>
      <c r="S338" s="35" t="n">
        <f>600.84</f>
        <v>600.84</v>
      </c>
      <c r="T338" s="32" t="n">
        <f>298590</f>
        <v>298590.0</v>
      </c>
      <c r="U338" s="32" t="str">
        <f>"－"</f>
        <v>－</v>
      </c>
      <c r="V338" s="32" t="n">
        <f>180524880</f>
        <v>1.8052488E8</v>
      </c>
      <c r="W338" s="32" t="str">
        <f>"－"</f>
        <v>－</v>
      </c>
      <c r="X338" s="36" t="n">
        <f>20</f>
        <v>20.0</v>
      </c>
    </row>
    <row r="339">
      <c r="A339" s="27" t="s">
        <v>42</v>
      </c>
      <c r="B339" s="27" t="s">
        <v>1059</v>
      </c>
      <c r="C339" s="27" t="s">
        <v>1060</v>
      </c>
      <c r="D339" s="27" t="s">
        <v>1061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9510</f>
        <v>9510.0</v>
      </c>
      <c r="L339" s="34" t="s">
        <v>48</v>
      </c>
      <c r="M339" s="33" t="n">
        <f>10150</f>
        <v>10150.0</v>
      </c>
      <c r="N339" s="34" t="s">
        <v>57</v>
      </c>
      <c r="O339" s="33" t="n">
        <f>9360</f>
        <v>9360.0</v>
      </c>
      <c r="P339" s="34" t="s">
        <v>64</v>
      </c>
      <c r="Q339" s="33" t="n">
        <f>10125</f>
        <v>10125.0</v>
      </c>
      <c r="R339" s="34" t="s">
        <v>50</v>
      </c>
      <c r="S339" s="35" t="n">
        <f>9768.19</f>
        <v>9768.19</v>
      </c>
      <c r="T339" s="32" t="n">
        <f>8705</f>
        <v>8705.0</v>
      </c>
      <c r="U339" s="32" t="str">
        <f>"－"</f>
        <v>－</v>
      </c>
      <c r="V339" s="32" t="n">
        <f>85000669</f>
        <v>8.5000669E7</v>
      </c>
      <c r="W339" s="32" t="str">
        <f>"－"</f>
        <v>－</v>
      </c>
      <c r="X339" s="36" t="n">
        <f>21</f>
        <v>21.0</v>
      </c>
    </row>
    <row r="340">
      <c r="A340" s="27" t="s">
        <v>42</v>
      </c>
      <c r="B340" s="27" t="s">
        <v>1062</v>
      </c>
      <c r="C340" s="27" t="s">
        <v>1063</v>
      </c>
      <c r="D340" s="27" t="s">
        <v>1064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1862</f>
        <v>1862.0</v>
      </c>
      <c r="L340" s="34" t="s">
        <v>48</v>
      </c>
      <c r="M340" s="33" t="n">
        <f>1910</f>
        <v>1910.0</v>
      </c>
      <c r="N340" s="34" t="s">
        <v>64</v>
      </c>
      <c r="O340" s="33" t="n">
        <f>1575</f>
        <v>1575.0</v>
      </c>
      <c r="P340" s="34" t="s">
        <v>50</v>
      </c>
      <c r="Q340" s="33" t="n">
        <f>1618</f>
        <v>1618.0</v>
      </c>
      <c r="R340" s="34" t="s">
        <v>50</v>
      </c>
      <c r="S340" s="35" t="n">
        <f>1754.29</f>
        <v>1754.29</v>
      </c>
      <c r="T340" s="32" t="n">
        <f>2642583</f>
        <v>2642583.0</v>
      </c>
      <c r="U340" s="32" t="n">
        <f>437658</f>
        <v>437658.0</v>
      </c>
      <c r="V340" s="32" t="n">
        <f>4626162899</f>
        <v>4.626162899E9</v>
      </c>
      <c r="W340" s="32" t="n">
        <f>768259322</f>
        <v>7.68259322E8</v>
      </c>
      <c r="X340" s="36" t="n">
        <f>21</f>
        <v>21.0</v>
      </c>
    </row>
    <row r="341">
      <c r="A341" s="27" t="s">
        <v>42</v>
      </c>
      <c r="B341" s="27" t="s">
        <v>1065</v>
      </c>
      <c r="C341" s="27" t="s">
        <v>1066</v>
      </c>
      <c r="D341" s="27" t="s">
        <v>1067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2980</f>
        <v>2980.0</v>
      </c>
      <c r="L341" s="34" t="s">
        <v>48</v>
      </c>
      <c r="M341" s="33" t="n">
        <f>3000</f>
        <v>3000.0</v>
      </c>
      <c r="N341" s="34" t="s">
        <v>181</v>
      </c>
      <c r="O341" s="33" t="n">
        <f>2765</f>
        <v>2765.0</v>
      </c>
      <c r="P341" s="34" t="s">
        <v>49</v>
      </c>
      <c r="Q341" s="33" t="n">
        <f>2849</f>
        <v>2849.0</v>
      </c>
      <c r="R341" s="34" t="s">
        <v>50</v>
      </c>
      <c r="S341" s="35" t="n">
        <f>2856.48</f>
        <v>2856.48</v>
      </c>
      <c r="T341" s="32" t="n">
        <f>3726</f>
        <v>3726.0</v>
      </c>
      <c r="U341" s="32" t="str">
        <f>"－"</f>
        <v>－</v>
      </c>
      <c r="V341" s="32" t="n">
        <f>10661838</f>
        <v>1.0661838E7</v>
      </c>
      <c r="W341" s="32" t="str">
        <f>"－"</f>
        <v>－</v>
      </c>
      <c r="X341" s="36" t="n">
        <f>21</f>
        <v>21.0</v>
      </c>
    </row>
    <row r="342">
      <c r="A342" s="27" t="s">
        <v>42</v>
      </c>
      <c r="B342" s="27" t="s">
        <v>1068</v>
      </c>
      <c r="C342" s="27" t="s">
        <v>1069</v>
      </c>
      <c r="D342" s="27" t="s">
        <v>1070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3245</f>
        <v>3245.0</v>
      </c>
      <c r="L342" s="34" t="s">
        <v>48</v>
      </c>
      <c r="M342" s="33" t="n">
        <f>3354</f>
        <v>3354.0</v>
      </c>
      <c r="N342" s="34" t="s">
        <v>64</v>
      </c>
      <c r="O342" s="33" t="n">
        <f>2919</f>
        <v>2919.0</v>
      </c>
      <c r="P342" s="34" t="s">
        <v>50</v>
      </c>
      <c r="Q342" s="33" t="n">
        <f>2942</f>
        <v>2942.0</v>
      </c>
      <c r="R342" s="34" t="s">
        <v>50</v>
      </c>
      <c r="S342" s="35" t="n">
        <f>3118.86</f>
        <v>3118.86</v>
      </c>
      <c r="T342" s="32" t="n">
        <f>5628358</f>
        <v>5628358.0</v>
      </c>
      <c r="U342" s="32" t="n">
        <f>5465010</f>
        <v>5465010.0</v>
      </c>
      <c r="V342" s="32" t="n">
        <f>17997975367</f>
        <v>1.7997975367E10</v>
      </c>
      <c r="W342" s="32" t="n">
        <f>17481633814</f>
        <v>1.7481633814E10</v>
      </c>
      <c r="X342" s="36" t="n">
        <f>21</f>
        <v>21.0</v>
      </c>
    </row>
    <row r="343">
      <c r="A343" s="27" t="s">
        <v>42</v>
      </c>
      <c r="B343" s="27" t="s">
        <v>1071</v>
      </c>
      <c r="C343" s="27" t="s">
        <v>1072</v>
      </c>
      <c r="D343" s="27" t="s">
        <v>1073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9060</f>
        <v>9060.0</v>
      </c>
      <c r="L343" s="34" t="s">
        <v>48</v>
      </c>
      <c r="M343" s="33" t="n">
        <f>9060</f>
        <v>9060.0</v>
      </c>
      <c r="N343" s="34" t="s">
        <v>48</v>
      </c>
      <c r="O343" s="33" t="n">
        <f>8888</f>
        <v>8888.0</v>
      </c>
      <c r="P343" s="34" t="s">
        <v>117</v>
      </c>
      <c r="Q343" s="33" t="n">
        <f>8978</f>
        <v>8978.0</v>
      </c>
      <c r="R343" s="34" t="s">
        <v>50</v>
      </c>
      <c r="S343" s="35" t="n">
        <f>8973.95</f>
        <v>8973.95</v>
      </c>
      <c r="T343" s="32" t="n">
        <f>142629</f>
        <v>142629.0</v>
      </c>
      <c r="U343" s="32" t="n">
        <f>113507</f>
        <v>113507.0</v>
      </c>
      <c r="V343" s="32" t="n">
        <f>1278753096</f>
        <v>1.278753096E9</v>
      </c>
      <c r="W343" s="32" t="n">
        <f>1017396871</f>
        <v>1.017396871E9</v>
      </c>
      <c r="X343" s="36" t="n">
        <f>20</f>
        <v>20.0</v>
      </c>
    </row>
    <row r="344">
      <c r="A344" s="27" t="s">
        <v>42</v>
      </c>
      <c r="B344" s="27" t="s">
        <v>1074</v>
      </c>
      <c r="C344" s="27" t="s">
        <v>1075</v>
      </c>
      <c r="D344" s="27" t="s">
        <v>1076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5317</f>
        <v>5317.0</v>
      </c>
      <c r="L344" s="34" t="s">
        <v>48</v>
      </c>
      <c r="M344" s="33" t="n">
        <f>5317</f>
        <v>5317.0</v>
      </c>
      <c r="N344" s="34" t="s">
        <v>48</v>
      </c>
      <c r="O344" s="33" t="n">
        <f>5129</f>
        <v>5129.0</v>
      </c>
      <c r="P344" s="34" t="s">
        <v>49</v>
      </c>
      <c r="Q344" s="33" t="n">
        <f>5167</f>
        <v>5167.0</v>
      </c>
      <c r="R344" s="34" t="s">
        <v>50</v>
      </c>
      <c r="S344" s="35" t="n">
        <f>5204.7</f>
        <v>5204.7</v>
      </c>
      <c r="T344" s="32" t="n">
        <f>427507</f>
        <v>427507.0</v>
      </c>
      <c r="U344" s="32" t="n">
        <f>400000</f>
        <v>400000.0</v>
      </c>
      <c r="V344" s="32" t="n">
        <f>2274175908</f>
        <v>2.274175908E9</v>
      </c>
      <c r="W344" s="32" t="n">
        <f>2129872000</f>
        <v>2.129872E9</v>
      </c>
      <c r="X344" s="36" t="n">
        <f>20</f>
        <v>20.0</v>
      </c>
    </row>
    <row r="345">
      <c r="A345" s="27" t="s">
        <v>42</v>
      </c>
      <c r="B345" s="27" t="s">
        <v>1077</v>
      </c>
      <c r="C345" s="27" t="s">
        <v>1078</v>
      </c>
      <c r="D345" s="27" t="s">
        <v>1079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1171</f>
        <v>1171.0</v>
      </c>
      <c r="L345" s="34" t="s">
        <v>48</v>
      </c>
      <c r="M345" s="33" t="n">
        <f>1200</f>
        <v>1200.0</v>
      </c>
      <c r="N345" s="34" t="s">
        <v>301</v>
      </c>
      <c r="O345" s="33" t="n">
        <f>1098</f>
        <v>1098.0</v>
      </c>
      <c r="P345" s="34" t="s">
        <v>50</v>
      </c>
      <c r="Q345" s="33" t="n">
        <f>1107</f>
        <v>1107.0</v>
      </c>
      <c r="R345" s="34" t="s">
        <v>50</v>
      </c>
      <c r="S345" s="35" t="n">
        <f>1148.62</f>
        <v>1148.62</v>
      </c>
      <c r="T345" s="32" t="n">
        <f>1125268</f>
        <v>1125268.0</v>
      </c>
      <c r="U345" s="32" t="str">
        <f>"－"</f>
        <v>－</v>
      </c>
      <c r="V345" s="32" t="n">
        <f>1285393528</f>
        <v>1.285393528E9</v>
      </c>
      <c r="W345" s="32" t="str">
        <f>"－"</f>
        <v>－</v>
      </c>
      <c r="X345" s="36" t="n">
        <f>21</f>
        <v>21.0</v>
      </c>
    </row>
    <row r="346">
      <c r="A346" s="27" t="s">
        <v>42</v>
      </c>
      <c r="B346" s="27" t="s">
        <v>1080</v>
      </c>
      <c r="C346" s="27" t="s">
        <v>1081</v>
      </c>
      <c r="D346" s="27" t="s">
        <v>1082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2230</f>
        <v>2230.0</v>
      </c>
      <c r="L346" s="34" t="s">
        <v>48</v>
      </c>
      <c r="M346" s="33" t="n">
        <f>2288</f>
        <v>2288.0</v>
      </c>
      <c r="N346" s="34" t="s">
        <v>222</v>
      </c>
      <c r="O346" s="33" t="n">
        <f>2100</f>
        <v>2100.0</v>
      </c>
      <c r="P346" s="34" t="s">
        <v>50</v>
      </c>
      <c r="Q346" s="33" t="n">
        <f>2124</f>
        <v>2124.0</v>
      </c>
      <c r="R346" s="34" t="s">
        <v>50</v>
      </c>
      <c r="S346" s="35" t="n">
        <f>2229.71</f>
        <v>2229.71</v>
      </c>
      <c r="T346" s="32" t="n">
        <f>1394267</f>
        <v>1394267.0</v>
      </c>
      <c r="U346" s="32" t="n">
        <f>15733</f>
        <v>15733.0</v>
      </c>
      <c r="V346" s="32" t="n">
        <f>3098006053</f>
        <v>3.098006053E9</v>
      </c>
      <c r="W346" s="32" t="n">
        <f>34697413</f>
        <v>3.4697413E7</v>
      </c>
      <c r="X346" s="36" t="n">
        <f>21</f>
        <v>21.0</v>
      </c>
    </row>
    <row r="347">
      <c r="A347" s="27" t="s">
        <v>42</v>
      </c>
      <c r="B347" s="27" t="s">
        <v>1083</v>
      </c>
      <c r="C347" s="27" t="s">
        <v>1084</v>
      </c>
      <c r="D347" s="27" t="s">
        <v>1085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1440</f>
        <v>1440.0</v>
      </c>
      <c r="L347" s="34" t="s">
        <v>48</v>
      </c>
      <c r="M347" s="33" t="n">
        <f>1472</f>
        <v>1472.0</v>
      </c>
      <c r="N347" s="34" t="s">
        <v>222</v>
      </c>
      <c r="O347" s="33" t="n">
        <f>1321</f>
        <v>1321.0</v>
      </c>
      <c r="P347" s="34" t="s">
        <v>50</v>
      </c>
      <c r="Q347" s="33" t="n">
        <f>1342</f>
        <v>1342.0</v>
      </c>
      <c r="R347" s="34" t="s">
        <v>50</v>
      </c>
      <c r="S347" s="35" t="n">
        <f>1418.38</f>
        <v>1418.38</v>
      </c>
      <c r="T347" s="32" t="n">
        <f>2148745</f>
        <v>2148745.0</v>
      </c>
      <c r="U347" s="32" t="n">
        <f>1151740</f>
        <v>1151740.0</v>
      </c>
      <c r="V347" s="32" t="n">
        <f>3037926443</f>
        <v>3.037926443E9</v>
      </c>
      <c r="W347" s="32" t="n">
        <f>1628781893</f>
        <v>1.628781893E9</v>
      </c>
      <c r="X347" s="36" t="n">
        <f>21</f>
        <v>21.0</v>
      </c>
    </row>
    <row r="348">
      <c r="A348" s="27" t="s">
        <v>42</v>
      </c>
      <c r="B348" s="27" t="s">
        <v>1086</v>
      </c>
      <c r="C348" s="27" t="s">
        <v>1087</v>
      </c>
      <c r="D348" s="27" t="s">
        <v>1088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14605</f>
        <v>14605.0</v>
      </c>
      <c r="L348" s="34" t="s">
        <v>48</v>
      </c>
      <c r="M348" s="33" t="n">
        <f>15835</f>
        <v>15835.0</v>
      </c>
      <c r="N348" s="34" t="s">
        <v>50</v>
      </c>
      <c r="O348" s="33" t="n">
        <f>14305</f>
        <v>14305.0</v>
      </c>
      <c r="P348" s="34" t="s">
        <v>107</v>
      </c>
      <c r="Q348" s="33" t="n">
        <f>15630</f>
        <v>15630.0</v>
      </c>
      <c r="R348" s="34" t="s">
        <v>50</v>
      </c>
      <c r="S348" s="35" t="n">
        <f>14842.14</f>
        <v>14842.14</v>
      </c>
      <c r="T348" s="32" t="n">
        <f>212769</f>
        <v>212769.0</v>
      </c>
      <c r="U348" s="32" t="n">
        <f>1096</f>
        <v>1096.0</v>
      </c>
      <c r="V348" s="32" t="n">
        <f>3159406370</f>
        <v>3.15940637E9</v>
      </c>
      <c r="W348" s="32" t="n">
        <f>16558635</f>
        <v>1.6558635E7</v>
      </c>
      <c r="X348" s="36" t="n">
        <f>21</f>
        <v>21.0</v>
      </c>
    </row>
    <row r="349">
      <c r="A349" s="27" t="s">
        <v>42</v>
      </c>
      <c r="B349" s="27" t="s">
        <v>1089</v>
      </c>
      <c r="C349" s="27" t="s">
        <v>1090</v>
      </c>
      <c r="D349" s="27" t="s">
        <v>1091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3850</f>
        <v>3850.0</v>
      </c>
      <c r="L349" s="34" t="s">
        <v>48</v>
      </c>
      <c r="M349" s="33" t="n">
        <f>3850</f>
        <v>3850.0</v>
      </c>
      <c r="N349" s="34" t="s">
        <v>48</v>
      </c>
      <c r="O349" s="33" t="n">
        <f>3695</f>
        <v>3695.0</v>
      </c>
      <c r="P349" s="34" t="s">
        <v>49</v>
      </c>
      <c r="Q349" s="33" t="n">
        <f>3746</f>
        <v>3746.0</v>
      </c>
      <c r="R349" s="34" t="s">
        <v>50</v>
      </c>
      <c r="S349" s="35" t="n">
        <f>3762.1</f>
        <v>3762.1</v>
      </c>
      <c r="T349" s="32" t="n">
        <f>297863</f>
        <v>297863.0</v>
      </c>
      <c r="U349" s="32" t="n">
        <f>237002</f>
        <v>237002.0</v>
      </c>
      <c r="V349" s="32" t="n">
        <f>1108275114</f>
        <v>1.108275114E9</v>
      </c>
      <c r="W349" s="32" t="n">
        <f>878172220</f>
        <v>8.7817222E8</v>
      </c>
      <c r="X349" s="36" t="n">
        <f>21</f>
        <v>21.0</v>
      </c>
    </row>
    <row r="350">
      <c r="A350" s="27" t="s">
        <v>42</v>
      </c>
      <c r="B350" s="27" t="s">
        <v>1092</v>
      </c>
      <c r="C350" s="27" t="s">
        <v>1093</v>
      </c>
      <c r="D350" s="27" t="s">
        <v>1094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5648</f>
        <v>5648.0</v>
      </c>
      <c r="L350" s="34" t="s">
        <v>48</v>
      </c>
      <c r="M350" s="33" t="n">
        <f>5700</f>
        <v>5700.0</v>
      </c>
      <c r="N350" s="34" t="s">
        <v>64</v>
      </c>
      <c r="O350" s="33" t="n">
        <f>5393</f>
        <v>5393.0</v>
      </c>
      <c r="P350" s="34" t="s">
        <v>57</v>
      </c>
      <c r="Q350" s="33" t="n">
        <f>5434</f>
        <v>5434.0</v>
      </c>
      <c r="R350" s="34" t="s">
        <v>50</v>
      </c>
      <c r="S350" s="35" t="n">
        <f>5546.81</f>
        <v>5546.81</v>
      </c>
      <c r="T350" s="32" t="n">
        <f>656992</f>
        <v>656992.0</v>
      </c>
      <c r="U350" s="32" t="n">
        <f>463506</f>
        <v>463506.0</v>
      </c>
      <c r="V350" s="32" t="n">
        <f>3590359282</f>
        <v>3.590359282E9</v>
      </c>
      <c r="W350" s="32" t="n">
        <f>2515730695</f>
        <v>2.515730695E9</v>
      </c>
      <c r="X350" s="36" t="n">
        <f>21</f>
        <v>21.0</v>
      </c>
    </row>
    <row r="351">
      <c r="A351" s="27" t="s">
        <v>42</v>
      </c>
      <c r="B351" s="27" t="s">
        <v>1095</v>
      </c>
      <c r="C351" s="27" t="s">
        <v>1096</v>
      </c>
      <c r="D351" s="27" t="s">
        <v>1097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1.0</v>
      </c>
      <c r="K351" s="33" t="n">
        <f>3015</f>
        <v>3015.0</v>
      </c>
      <c r="L351" s="34" t="s">
        <v>48</v>
      </c>
      <c r="M351" s="33" t="n">
        <f>3074</f>
        <v>3074.0</v>
      </c>
      <c r="N351" s="34" t="s">
        <v>107</v>
      </c>
      <c r="O351" s="33" t="n">
        <f>2770</f>
        <v>2770.0</v>
      </c>
      <c r="P351" s="34" t="s">
        <v>50</v>
      </c>
      <c r="Q351" s="33" t="n">
        <f>2808</f>
        <v>2808.0</v>
      </c>
      <c r="R351" s="34" t="s">
        <v>50</v>
      </c>
      <c r="S351" s="35" t="n">
        <f>2971.05</f>
        <v>2971.05</v>
      </c>
      <c r="T351" s="32" t="n">
        <f>1353332</f>
        <v>1353332.0</v>
      </c>
      <c r="U351" s="32" t="n">
        <f>588230</f>
        <v>588230.0</v>
      </c>
      <c r="V351" s="32" t="n">
        <f>3985743254</f>
        <v>3.985743254E9</v>
      </c>
      <c r="W351" s="32" t="n">
        <f>1739689869</f>
        <v>1.739689869E9</v>
      </c>
      <c r="X351" s="36" t="n">
        <f>21</f>
        <v>21.0</v>
      </c>
    </row>
    <row r="352">
      <c r="A352" s="27" t="s">
        <v>42</v>
      </c>
      <c r="B352" s="27" t="s">
        <v>1098</v>
      </c>
      <c r="C352" s="27" t="s">
        <v>1099</v>
      </c>
      <c r="D352" s="27" t="s">
        <v>1100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2378</f>
        <v>2378.0</v>
      </c>
      <c r="L352" s="34" t="s">
        <v>48</v>
      </c>
      <c r="M352" s="33" t="n">
        <f>2396</f>
        <v>2396.0</v>
      </c>
      <c r="N352" s="34" t="s">
        <v>107</v>
      </c>
      <c r="O352" s="33" t="n">
        <f>2183</f>
        <v>2183.0</v>
      </c>
      <c r="P352" s="34" t="s">
        <v>57</v>
      </c>
      <c r="Q352" s="33" t="n">
        <f>2222</f>
        <v>2222.0</v>
      </c>
      <c r="R352" s="34" t="s">
        <v>50</v>
      </c>
      <c r="S352" s="35" t="n">
        <f>2296.14</f>
        <v>2296.14</v>
      </c>
      <c r="T352" s="32" t="n">
        <f>2464827</f>
        <v>2464827.0</v>
      </c>
      <c r="U352" s="32" t="n">
        <f>1509731</f>
        <v>1509731.0</v>
      </c>
      <c r="V352" s="32" t="n">
        <f>5587561511</f>
        <v>5.587561511E9</v>
      </c>
      <c r="W352" s="32" t="n">
        <f>3426571246</f>
        <v>3.426571246E9</v>
      </c>
      <c r="X352" s="36" t="n">
        <f>21</f>
        <v>21.0</v>
      </c>
    </row>
    <row r="353">
      <c r="A353" s="27" t="s">
        <v>42</v>
      </c>
      <c r="B353" s="27" t="s">
        <v>1101</v>
      </c>
      <c r="C353" s="27" t="s">
        <v>1102</v>
      </c>
      <c r="D353" s="27" t="s">
        <v>1103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2835</f>
        <v>2835.0</v>
      </c>
      <c r="L353" s="34" t="s">
        <v>48</v>
      </c>
      <c r="M353" s="33" t="n">
        <f>2835</f>
        <v>2835.0</v>
      </c>
      <c r="N353" s="34" t="s">
        <v>48</v>
      </c>
      <c r="O353" s="33" t="n">
        <f>2482</f>
        <v>2482.0</v>
      </c>
      <c r="P353" s="34" t="s">
        <v>49</v>
      </c>
      <c r="Q353" s="33" t="n">
        <f>2540</f>
        <v>2540.0</v>
      </c>
      <c r="R353" s="34" t="s">
        <v>50</v>
      </c>
      <c r="S353" s="35" t="n">
        <f>2615.52</f>
        <v>2615.52</v>
      </c>
      <c r="T353" s="32" t="n">
        <f>47210</f>
        <v>47210.0</v>
      </c>
      <c r="U353" s="32" t="n">
        <f>40</f>
        <v>40.0</v>
      </c>
      <c r="V353" s="32" t="n">
        <f>123117007</f>
        <v>1.23117007E8</v>
      </c>
      <c r="W353" s="32" t="n">
        <f>105300</f>
        <v>105300.0</v>
      </c>
      <c r="X353" s="36" t="n">
        <f>21</f>
        <v>21.0</v>
      </c>
    </row>
    <row r="354">
      <c r="A354" s="27" t="s">
        <v>42</v>
      </c>
      <c r="B354" s="27" t="s">
        <v>1104</v>
      </c>
      <c r="C354" s="27" t="s">
        <v>1105</v>
      </c>
      <c r="D354" s="27" t="s">
        <v>1106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1.0</v>
      </c>
      <c r="K354" s="33" t="n">
        <f>2955</f>
        <v>2955.0</v>
      </c>
      <c r="L354" s="34" t="s">
        <v>48</v>
      </c>
      <c r="M354" s="33" t="n">
        <f>2971</f>
        <v>2971.0</v>
      </c>
      <c r="N354" s="34" t="s">
        <v>64</v>
      </c>
      <c r="O354" s="33" t="n">
        <f>2566</f>
        <v>2566.0</v>
      </c>
      <c r="P354" s="34" t="s">
        <v>49</v>
      </c>
      <c r="Q354" s="33" t="n">
        <f>2619</f>
        <v>2619.0</v>
      </c>
      <c r="R354" s="34" t="s">
        <v>50</v>
      </c>
      <c r="S354" s="35" t="n">
        <f>2715.52</f>
        <v>2715.52</v>
      </c>
      <c r="T354" s="32" t="n">
        <f>1813</f>
        <v>1813.0</v>
      </c>
      <c r="U354" s="32" t="str">
        <f>"－"</f>
        <v>－</v>
      </c>
      <c r="V354" s="32" t="n">
        <f>4986388</f>
        <v>4986388.0</v>
      </c>
      <c r="W354" s="32" t="str">
        <f>"－"</f>
        <v>－</v>
      </c>
      <c r="X354" s="36" t="n">
        <f>21</f>
        <v>21.0</v>
      </c>
    </row>
    <row r="355">
      <c r="A355" s="27" t="s">
        <v>42</v>
      </c>
      <c r="B355" s="27" t="s">
        <v>1107</v>
      </c>
      <c r="C355" s="27" t="s">
        <v>1108</v>
      </c>
      <c r="D355" s="27" t="s">
        <v>1109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1.0</v>
      </c>
      <c r="K355" s="33" t="n">
        <f>5425</f>
        <v>5425.0</v>
      </c>
      <c r="L355" s="34" t="s">
        <v>48</v>
      </c>
      <c r="M355" s="33" t="n">
        <f>5425</f>
        <v>5425.0</v>
      </c>
      <c r="N355" s="34" t="s">
        <v>48</v>
      </c>
      <c r="O355" s="33" t="n">
        <f>5018</f>
        <v>5018.0</v>
      </c>
      <c r="P355" s="34" t="s">
        <v>49</v>
      </c>
      <c r="Q355" s="33" t="n">
        <f>5199</f>
        <v>5199.0</v>
      </c>
      <c r="R355" s="34" t="s">
        <v>50</v>
      </c>
      <c r="S355" s="35" t="n">
        <f>5221</f>
        <v>5221.0</v>
      </c>
      <c r="T355" s="32" t="n">
        <f>78090</f>
        <v>78090.0</v>
      </c>
      <c r="U355" s="32" t="n">
        <f>50</f>
        <v>50.0</v>
      </c>
      <c r="V355" s="32" t="n">
        <f>407475748</f>
        <v>4.07475748E8</v>
      </c>
      <c r="W355" s="32" t="n">
        <f>260280</f>
        <v>260280.0</v>
      </c>
      <c r="X355" s="36" t="n">
        <f>21</f>
        <v>21.0</v>
      </c>
    </row>
    <row r="356">
      <c r="A356" s="27" t="s">
        <v>42</v>
      </c>
      <c r="B356" s="27" t="s">
        <v>1110</v>
      </c>
      <c r="C356" s="27" t="s">
        <v>1111</v>
      </c>
      <c r="D356" s="27" t="s">
        <v>1112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10.0</v>
      </c>
      <c r="K356" s="33" t="n">
        <f>371.1</f>
        <v>371.1</v>
      </c>
      <c r="L356" s="34" t="s">
        <v>48</v>
      </c>
      <c r="M356" s="33" t="n">
        <f>371.1</f>
        <v>371.1</v>
      </c>
      <c r="N356" s="34" t="s">
        <v>48</v>
      </c>
      <c r="O356" s="33" t="n">
        <f>325.8</f>
        <v>325.8</v>
      </c>
      <c r="P356" s="34" t="s">
        <v>49</v>
      </c>
      <c r="Q356" s="33" t="n">
        <f>331.5</f>
        <v>331.5</v>
      </c>
      <c r="R356" s="34" t="s">
        <v>50</v>
      </c>
      <c r="S356" s="35" t="n">
        <f>341.54</f>
        <v>341.54</v>
      </c>
      <c r="T356" s="32" t="n">
        <f>79880</f>
        <v>79880.0</v>
      </c>
      <c r="U356" s="32" t="n">
        <f>20</f>
        <v>20.0</v>
      </c>
      <c r="V356" s="32" t="n">
        <f>27474748</f>
        <v>2.7474748E7</v>
      </c>
      <c r="W356" s="32" t="n">
        <f>6558</f>
        <v>6558.0</v>
      </c>
      <c r="X356" s="36" t="n">
        <f>21</f>
        <v>21.0</v>
      </c>
    </row>
    <row r="357">
      <c r="A357" s="27" t="s">
        <v>42</v>
      </c>
      <c r="B357" s="27" t="s">
        <v>1113</v>
      </c>
      <c r="C357" s="27" t="s">
        <v>1114</v>
      </c>
      <c r="D357" s="27" t="s">
        <v>1115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10.0</v>
      </c>
      <c r="K357" s="33" t="n">
        <f>195.1</f>
        <v>195.1</v>
      </c>
      <c r="L357" s="34" t="s">
        <v>48</v>
      </c>
      <c r="M357" s="33" t="n">
        <f>197.4</f>
        <v>197.4</v>
      </c>
      <c r="N357" s="34" t="s">
        <v>48</v>
      </c>
      <c r="O357" s="33" t="n">
        <f>182</f>
        <v>182.0</v>
      </c>
      <c r="P357" s="34" t="s">
        <v>50</v>
      </c>
      <c r="Q357" s="33" t="n">
        <f>182</f>
        <v>182.0</v>
      </c>
      <c r="R357" s="34" t="s">
        <v>50</v>
      </c>
      <c r="S357" s="35" t="n">
        <f>190.98</f>
        <v>190.98</v>
      </c>
      <c r="T357" s="32" t="n">
        <f>540390</f>
        <v>540390.0</v>
      </c>
      <c r="U357" s="32" t="n">
        <f>27830</f>
        <v>27830.0</v>
      </c>
      <c r="V357" s="32" t="n">
        <f>103588911</f>
        <v>1.03588911E8</v>
      </c>
      <c r="W357" s="32" t="n">
        <f>5362615</f>
        <v>5362615.0</v>
      </c>
      <c r="X357" s="36" t="n">
        <f>21</f>
        <v>21.0</v>
      </c>
    </row>
    <row r="358">
      <c r="A358" s="27" t="s">
        <v>42</v>
      </c>
      <c r="B358" s="27" t="s">
        <v>1116</v>
      </c>
      <c r="C358" s="27" t="s">
        <v>1117</v>
      </c>
      <c r="D358" s="27" t="s">
        <v>1118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10.0</v>
      </c>
      <c r="K358" s="33" t="n">
        <f>642.4</f>
        <v>642.4</v>
      </c>
      <c r="L358" s="34" t="s">
        <v>48</v>
      </c>
      <c r="M358" s="33" t="n">
        <f>642.4</f>
        <v>642.4</v>
      </c>
      <c r="N358" s="34" t="s">
        <v>48</v>
      </c>
      <c r="O358" s="33" t="n">
        <f>621.1</f>
        <v>621.1</v>
      </c>
      <c r="P358" s="34" t="s">
        <v>117</v>
      </c>
      <c r="Q358" s="33" t="n">
        <f>625</f>
        <v>625.0</v>
      </c>
      <c r="R358" s="34" t="s">
        <v>50</v>
      </c>
      <c r="S358" s="35" t="n">
        <f>632.36</f>
        <v>632.36</v>
      </c>
      <c r="T358" s="32" t="n">
        <f>14380</f>
        <v>14380.0</v>
      </c>
      <c r="U358" s="32" t="str">
        <f>"－"</f>
        <v>－</v>
      </c>
      <c r="V358" s="32" t="n">
        <f>9125249</f>
        <v>9125249.0</v>
      </c>
      <c r="W358" s="32" t="str">
        <f>"－"</f>
        <v>－</v>
      </c>
      <c r="X358" s="36" t="n">
        <f>19</f>
        <v>19.0</v>
      </c>
    </row>
    <row r="359">
      <c r="A359" s="27" t="s">
        <v>42</v>
      </c>
      <c r="B359" s="27" t="s">
        <v>1119</v>
      </c>
      <c r="C359" s="27" t="s">
        <v>1120</v>
      </c>
      <c r="D359" s="27" t="s">
        <v>1121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1.0</v>
      </c>
      <c r="K359" s="33" t="n">
        <f>2162</f>
        <v>2162.0</v>
      </c>
      <c r="L359" s="34" t="s">
        <v>48</v>
      </c>
      <c r="M359" s="33" t="n">
        <f>2188</f>
        <v>2188.0</v>
      </c>
      <c r="N359" s="34" t="s">
        <v>48</v>
      </c>
      <c r="O359" s="33" t="n">
        <f>1913</f>
        <v>1913.0</v>
      </c>
      <c r="P359" s="34" t="s">
        <v>50</v>
      </c>
      <c r="Q359" s="33" t="n">
        <f>1930</f>
        <v>1930.0</v>
      </c>
      <c r="R359" s="34" t="s">
        <v>50</v>
      </c>
      <c r="S359" s="35" t="n">
        <f>2055.33</f>
        <v>2055.33</v>
      </c>
      <c r="T359" s="32" t="n">
        <f>267279</f>
        <v>267279.0</v>
      </c>
      <c r="U359" s="32" t="str">
        <f>"－"</f>
        <v>－</v>
      </c>
      <c r="V359" s="32" t="n">
        <f>549643124</f>
        <v>5.49643124E8</v>
      </c>
      <c r="W359" s="32" t="str">
        <f>"－"</f>
        <v>－</v>
      </c>
      <c r="X359" s="36" t="n">
        <f>21</f>
        <v>21.0</v>
      </c>
    </row>
    <row r="360">
      <c r="A360" s="27" t="s">
        <v>42</v>
      </c>
      <c r="B360" s="27" t="s">
        <v>1122</v>
      </c>
      <c r="C360" s="27" t="s">
        <v>1123</v>
      </c>
      <c r="D360" s="27" t="s">
        <v>1124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1.0</v>
      </c>
      <c r="K360" s="33" t="n">
        <f>1055</f>
        <v>1055.0</v>
      </c>
      <c r="L360" s="34" t="s">
        <v>48</v>
      </c>
      <c r="M360" s="33" t="n">
        <f>1070</f>
        <v>1070.0</v>
      </c>
      <c r="N360" s="34" t="s">
        <v>181</v>
      </c>
      <c r="O360" s="33" t="n">
        <f>976</f>
        <v>976.0</v>
      </c>
      <c r="P360" s="34" t="s">
        <v>50</v>
      </c>
      <c r="Q360" s="33" t="n">
        <f>976</f>
        <v>976.0</v>
      </c>
      <c r="R360" s="34" t="s">
        <v>50</v>
      </c>
      <c r="S360" s="35" t="n">
        <f>1028.14</f>
        <v>1028.14</v>
      </c>
      <c r="T360" s="32" t="n">
        <f>124383</f>
        <v>124383.0</v>
      </c>
      <c r="U360" s="32" t="n">
        <f>4</f>
        <v>4.0</v>
      </c>
      <c r="V360" s="32" t="n">
        <f>128224188</f>
        <v>1.28224188E8</v>
      </c>
      <c r="W360" s="32" t="n">
        <f>4086</f>
        <v>4086.0</v>
      </c>
      <c r="X360" s="36" t="n">
        <f>21</f>
        <v>21.0</v>
      </c>
    </row>
    <row r="361">
      <c r="A361" s="27" t="s">
        <v>42</v>
      </c>
      <c r="B361" s="27" t="s">
        <v>1125</v>
      </c>
      <c r="C361" s="27" t="s">
        <v>1126</v>
      </c>
      <c r="D361" s="27" t="s">
        <v>1127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10.0</v>
      </c>
      <c r="K361" s="33" t="n">
        <f>679.8</f>
        <v>679.8</v>
      </c>
      <c r="L361" s="34" t="s">
        <v>48</v>
      </c>
      <c r="M361" s="33" t="n">
        <f>681.5</f>
        <v>681.5</v>
      </c>
      <c r="N361" s="34" t="s">
        <v>48</v>
      </c>
      <c r="O361" s="33" t="n">
        <f>664.1</f>
        <v>664.1</v>
      </c>
      <c r="P361" s="34" t="s">
        <v>56</v>
      </c>
      <c r="Q361" s="33" t="n">
        <f>668</f>
        <v>668.0</v>
      </c>
      <c r="R361" s="34" t="s">
        <v>50</v>
      </c>
      <c r="S361" s="35" t="n">
        <f>671.41</f>
        <v>671.41</v>
      </c>
      <c r="T361" s="32" t="n">
        <f>882030</f>
        <v>882030.0</v>
      </c>
      <c r="U361" s="32" t="n">
        <f>117920</f>
        <v>117920.0</v>
      </c>
      <c r="V361" s="32" t="n">
        <f>592939877</f>
        <v>5.92939877E8</v>
      </c>
      <c r="W361" s="32" t="n">
        <f>78329248</f>
        <v>7.8329248E7</v>
      </c>
      <c r="X361" s="36" t="n">
        <f>21</f>
        <v>21.0</v>
      </c>
    </row>
    <row r="362">
      <c r="A362" s="27" t="s">
        <v>42</v>
      </c>
      <c r="B362" s="27" t="s">
        <v>1128</v>
      </c>
      <c r="C362" s="27" t="s">
        <v>1129</v>
      </c>
      <c r="D362" s="27" t="s">
        <v>1130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10.0</v>
      </c>
      <c r="K362" s="33" t="n">
        <f>645.4</f>
        <v>645.4</v>
      </c>
      <c r="L362" s="34" t="s">
        <v>48</v>
      </c>
      <c r="M362" s="33" t="n">
        <f>650.2</f>
        <v>650.2</v>
      </c>
      <c r="N362" s="34" t="s">
        <v>48</v>
      </c>
      <c r="O362" s="33" t="n">
        <f>631</f>
        <v>631.0</v>
      </c>
      <c r="P362" s="34" t="s">
        <v>57</v>
      </c>
      <c r="Q362" s="33" t="n">
        <f>634.7</f>
        <v>634.7</v>
      </c>
      <c r="R362" s="34" t="s">
        <v>50</v>
      </c>
      <c r="S362" s="35" t="n">
        <f>638.76</f>
        <v>638.76</v>
      </c>
      <c r="T362" s="32" t="n">
        <f>6912860</f>
        <v>6912860.0</v>
      </c>
      <c r="U362" s="32" t="n">
        <f>3385230</f>
        <v>3385230.0</v>
      </c>
      <c r="V362" s="32" t="n">
        <f>4414081941</f>
        <v>4.414081941E9</v>
      </c>
      <c r="W362" s="32" t="n">
        <f>2148426721</f>
        <v>2.148426721E9</v>
      </c>
      <c r="X362" s="36" t="n">
        <f>21</f>
        <v>21.0</v>
      </c>
    </row>
    <row r="363">
      <c r="A363" s="27" t="s">
        <v>42</v>
      </c>
      <c r="B363" s="27" t="s">
        <v>1131</v>
      </c>
      <c r="C363" s="27" t="s">
        <v>1132</v>
      </c>
      <c r="D363" s="27" t="s">
        <v>1133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1410</f>
        <v>1410.0</v>
      </c>
      <c r="L363" s="34" t="s">
        <v>48</v>
      </c>
      <c r="M363" s="33" t="n">
        <f>1420</f>
        <v>1420.0</v>
      </c>
      <c r="N363" s="34" t="s">
        <v>48</v>
      </c>
      <c r="O363" s="33" t="n">
        <f>1250</f>
        <v>1250.0</v>
      </c>
      <c r="P363" s="34" t="s">
        <v>49</v>
      </c>
      <c r="Q363" s="33" t="n">
        <f>1323</f>
        <v>1323.0</v>
      </c>
      <c r="R363" s="34" t="s">
        <v>50</v>
      </c>
      <c r="S363" s="35" t="n">
        <f>1334</f>
        <v>1334.0</v>
      </c>
      <c r="T363" s="32" t="n">
        <f>56055</f>
        <v>56055.0</v>
      </c>
      <c r="U363" s="32" t="str">
        <f>"－"</f>
        <v>－</v>
      </c>
      <c r="V363" s="32" t="n">
        <f>75008892</f>
        <v>7.5008892E7</v>
      </c>
      <c r="W363" s="32" t="str">
        <f>"－"</f>
        <v>－</v>
      </c>
      <c r="X363" s="36" t="n">
        <f>21</f>
        <v>21.0</v>
      </c>
    </row>
    <row r="364">
      <c r="A364" s="27" t="s">
        <v>42</v>
      </c>
      <c r="B364" s="27" t="s">
        <v>1134</v>
      </c>
      <c r="C364" s="27" t="s">
        <v>1135</v>
      </c>
      <c r="D364" s="27" t="s">
        <v>1136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1.0</v>
      </c>
      <c r="K364" s="33" t="n">
        <f>3080</f>
        <v>3080.0</v>
      </c>
      <c r="L364" s="34" t="s">
        <v>48</v>
      </c>
      <c r="M364" s="33" t="n">
        <f>3106</f>
        <v>3106.0</v>
      </c>
      <c r="N364" s="34" t="s">
        <v>107</v>
      </c>
      <c r="O364" s="33" t="n">
        <f>2724</f>
        <v>2724.0</v>
      </c>
      <c r="P364" s="34" t="s">
        <v>57</v>
      </c>
      <c r="Q364" s="33" t="n">
        <f>2795</f>
        <v>2795.0</v>
      </c>
      <c r="R364" s="34" t="s">
        <v>50</v>
      </c>
      <c r="S364" s="35" t="n">
        <f>2874.19</f>
        <v>2874.19</v>
      </c>
      <c r="T364" s="32" t="n">
        <f>189241</f>
        <v>189241.0</v>
      </c>
      <c r="U364" s="32" t="n">
        <f>1463</f>
        <v>1463.0</v>
      </c>
      <c r="V364" s="32" t="n">
        <f>546137508</f>
        <v>5.46137508E8</v>
      </c>
      <c r="W364" s="32" t="n">
        <f>4224674</f>
        <v>4224674.0</v>
      </c>
      <c r="X364" s="36" t="n">
        <f>21</f>
        <v>21.0</v>
      </c>
    </row>
    <row r="365">
      <c r="A365" s="27" t="s">
        <v>42</v>
      </c>
      <c r="B365" s="27" t="s">
        <v>1137</v>
      </c>
      <c r="C365" s="27" t="s">
        <v>1138</v>
      </c>
      <c r="D365" s="27" t="s">
        <v>1139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3221</f>
        <v>3221.0</v>
      </c>
      <c r="L365" s="34" t="s">
        <v>48</v>
      </c>
      <c r="M365" s="33" t="n">
        <f>3228</f>
        <v>3228.0</v>
      </c>
      <c r="N365" s="34" t="s">
        <v>48</v>
      </c>
      <c r="O365" s="33" t="n">
        <f>2819</f>
        <v>2819.0</v>
      </c>
      <c r="P365" s="34" t="s">
        <v>57</v>
      </c>
      <c r="Q365" s="33" t="n">
        <f>2914</f>
        <v>2914.0</v>
      </c>
      <c r="R365" s="34" t="s">
        <v>50</v>
      </c>
      <c r="S365" s="35" t="n">
        <f>3008.19</f>
        <v>3008.19</v>
      </c>
      <c r="T365" s="32" t="n">
        <f>514756</f>
        <v>514756.0</v>
      </c>
      <c r="U365" s="32" t="n">
        <f>168210</f>
        <v>168210.0</v>
      </c>
      <c r="V365" s="32" t="n">
        <f>1575262147</f>
        <v>1.575262147E9</v>
      </c>
      <c r="W365" s="32" t="n">
        <f>520519754</f>
        <v>5.20519754E8</v>
      </c>
      <c r="X365" s="36" t="n">
        <f>21</f>
        <v>21.0</v>
      </c>
    </row>
    <row r="366">
      <c r="A366" s="27" t="s">
        <v>42</v>
      </c>
      <c r="B366" s="27" t="s">
        <v>1140</v>
      </c>
      <c r="C366" s="27" t="s">
        <v>1141</v>
      </c>
      <c r="D366" s="27" t="s">
        <v>1142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1.0</v>
      </c>
      <c r="K366" s="33" t="n">
        <f>5999</f>
        <v>5999.0</v>
      </c>
      <c r="L366" s="34" t="s">
        <v>48</v>
      </c>
      <c r="M366" s="33" t="n">
        <f>6040</f>
        <v>6040.0</v>
      </c>
      <c r="N366" s="34" t="s">
        <v>48</v>
      </c>
      <c r="O366" s="33" t="n">
        <f>5727</f>
        <v>5727.0</v>
      </c>
      <c r="P366" s="34" t="s">
        <v>50</v>
      </c>
      <c r="Q366" s="33" t="n">
        <f>5752</f>
        <v>5752.0</v>
      </c>
      <c r="R366" s="34" t="s">
        <v>50</v>
      </c>
      <c r="S366" s="35" t="n">
        <f>5824.29</f>
        <v>5824.29</v>
      </c>
      <c r="T366" s="32" t="n">
        <f>35128</f>
        <v>35128.0</v>
      </c>
      <c r="U366" s="32" t="str">
        <f>"－"</f>
        <v>－</v>
      </c>
      <c r="V366" s="32" t="n">
        <f>205818313</f>
        <v>2.05818313E8</v>
      </c>
      <c r="W366" s="32" t="str">
        <f>"－"</f>
        <v>－</v>
      </c>
      <c r="X366" s="36" t="n">
        <f>21</f>
        <v>21.0</v>
      </c>
    </row>
    <row r="367">
      <c r="A367" s="27" t="s">
        <v>42</v>
      </c>
      <c r="B367" s="27" t="s">
        <v>1143</v>
      </c>
      <c r="C367" s="27" t="s">
        <v>1144</v>
      </c>
      <c r="D367" s="27" t="s">
        <v>1145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1.0</v>
      </c>
      <c r="K367" s="33" t="n">
        <f>4095</f>
        <v>4095.0</v>
      </c>
      <c r="L367" s="34" t="s">
        <v>48</v>
      </c>
      <c r="M367" s="33" t="n">
        <f>4095</f>
        <v>4095.0</v>
      </c>
      <c r="N367" s="34" t="s">
        <v>48</v>
      </c>
      <c r="O367" s="33" t="n">
        <f>3918</f>
        <v>3918.0</v>
      </c>
      <c r="P367" s="34" t="s">
        <v>57</v>
      </c>
      <c r="Q367" s="33" t="n">
        <f>3937</f>
        <v>3937.0</v>
      </c>
      <c r="R367" s="34" t="s">
        <v>50</v>
      </c>
      <c r="S367" s="35" t="n">
        <f>3994</f>
        <v>3994.0</v>
      </c>
      <c r="T367" s="32" t="n">
        <f>120920</f>
        <v>120920.0</v>
      </c>
      <c r="U367" s="32" t="n">
        <f>66000</f>
        <v>66000.0</v>
      </c>
      <c r="V367" s="32" t="n">
        <f>487745918</f>
        <v>4.87745918E8</v>
      </c>
      <c r="W367" s="32" t="n">
        <f>265498200</f>
        <v>2.654982E8</v>
      </c>
      <c r="X367" s="36" t="n">
        <f>13</f>
        <v>13.0</v>
      </c>
    </row>
    <row r="368">
      <c r="A368" s="27" t="s">
        <v>42</v>
      </c>
      <c r="B368" s="27" t="s">
        <v>1146</v>
      </c>
      <c r="C368" s="27" t="s">
        <v>1147</v>
      </c>
      <c r="D368" s="27" t="s">
        <v>1148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1.0</v>
      </c>
      <c r="K368" s="33" t="n">
        <f>1346</f>
        <v>1346.0</v>
      </c>
      <c r="L368" s="34" t="s">
        <v>48</v>
      </c>
      <c r="M368" s="33" t="n">
        <f>1400</f>
        <v>1400.0</v>
      </c>
      <c r="N368" s="34" t="s">
        <v>107</v>
      </c>
      <c r="O368" s="33" t="n">
        <f>1217</f>
        <v>1217.0</v>
      </c>
      <c r="P368" s="34" t="s">
        <v>57</v>
      </c>
      <c r="Q368" s="33" t="n">
        <f>1237</f>
        <v>1237.0</v>
      </c>
      <c r="R368" s="34" t="s">
        <v>50</v>
      </c>
      <c r="S368" s="35" t="n">
        <f>1290.62</f>
        <v>1290.62</v>
      </c>
      <c r="T368" s="32" t="n">
        <f>124755</f>
        <v>124755.0</v>
      </c>
      <c r="U368" s="32" t="str">
        <f>"－"</f>
        <v>－</v>
      </c>
      <c r="V368" s="32" t="n">
        <f>159924079</f>
        <v>1.59924079E8</v>
      </c>
      <c r="W368" s="32" t="str">
        <f>"－"</f>
        <v>－</v>
      </c>
      <c r="X368" s="36" t="n">
        <f>21</f>
        <v>21.0</v>
      </c>
    </row>
    <row r="369">
      <c r="A369" s="27" t="s">
        <v>42</v>
      </c>
      <c r="B369" s="27" t="s">
        <v>1149</v>
      </c>
      <c r="C369" s="27" t="s">
        <v>1150</v>
      </c>
      <c r="D369" s="27" t="s">
        <v>1151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1210</f>
        <v>1210.0</v>
      </c>
      <c r="L369" s="34" t="s">
        <v>48</v>
      </c>
      <c r="M369" s="33" t="n">
        <f>1237</f>
        <v>1237.0</v>
      </c>
      <c r="N369" s="34" t="s">
        <v>238</v>
      </c>
      <c r="O369" s="33" t="n">
        <f>1176</f>
        <v>1176.0</v>
      </c>
      <c r="P369" s="34" t="s">
        <v>50</v>
      </c>
      <c r="Q369" s="33" t="n">
        <f>1184</f>
        <v>1184.0</v>
      </c>
      <c r="R369" s="34" t="s">
        <v>50</v>
      </c>
      <c r="S369" s="35" t="n">
        <f>1213.48</f>
        <v>1213.48</v>
      </c>
      <c r="T369" s="32" t="n">
        <f>7466154</f>
        <v>7466154.0</v>
      </c>
      <c r="U369" s="32" t="n">
        <f>1793</f>
        <v>1793.0</v>
      </c>
      <c r="V369" s="32" t="n">
        <f>9031864463</f>
        <v>9.031864463E9</v>
      </c>
      <c r="W369" s="32" t="n">
        <f>2146777</f>
        <v>2146777.0</v>
      </c>
      <c r="X369" s="36" t="n">
        <f>21</f>
        <v>21.0</v>
      </c>
    </row>
    <row r="370">
      <c r="A370" s="27" t="s">
        <v>42</v>
      </c>
      <c r="B370" s="27" t="s">
        <v>1152</v>
      </c>
      <c r="C370" s="27" t="s">
        <v>1153</v>
      </c>
      <c r="D370" s="27" t="s">
        <v>1154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1013</f>
        <v>1013.0</v>
      </c>
      <c r="L370" s="34" t="s">
        <v>48</v>
      </c>
      <c r="M370" s="33" t="n">
        <f>1020</f>
        <v>1020.0</v>
      </c>
      <c r="N370" s="34" t="s">
        <v>64</v>
      </c>
      <c r="O370" s="33" t="n">
        <f>975</f>
        <v>975.0</v>
      </c>
      <c r="P370" s="34" t="s">
        <v>49</v>
      </c>
      <c r="Q370" s="33" t="n">
        <f>983</f>
        <v>983.0</v>
      </c>
      <c r="R370" s="34" t="s">
        <v>50</v>
      </c>
      <c r="S370" s="35" t="n">
        <f>997.71</f>
        <v>997.71</v>
      </c>
      <c r="T370" s="32" t="n">
        <f>1106196</f>
        <v>1106196.0</v>
      </c>
      <c r="U370" s="32" t="str">
        <f>"－"</f>
        <v>－</v>
      </c>
      <c r="V370" s="32" t="n">
        <f>1101015596</f>
        <v>1.101015596E9</v>
      </c>
      <c r="W370" s="32" t="str">
        <f>"－"</f>
        <v>－</v>
      </c>
      <c r="X370" s="36" t="n">
        <f>21</f>
        <v>21.0</v>
      </c>
    </row>
    <row r="371">
      <c r="A371" s="27" t="s">
        <v>42</v>
      </c>
      <c r="B371" s="27" t="s">
        <v>1155</v>
      </c>
      <c r="C371" s="27" t="s">
        <v>1156</v>
      </c>
      <c r="D371" s="27" t="s">
        <v>1157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1639</f>
        <v>1639.0</v>
      </c>
      <c r="L371" s="34" t="s">
        <v>48</v>
      </c>
      <c r="M371" s="33" t="n">
        <f>1639</f>
        <v>1639.0</v>
      </c>
      <c r="N371" s="34" t="s">
        <v>48</v>
      </c>
      <c r="O371" s="33" t="n">
        <f>1445</f>
        <v>1445.0</v>
      </c>
      <c r="P371" s="34" t="s">
        <v>181</v>
      </c>
      <c r="Q371" s="33" t="n">
        <f>1476</f>
        <v>1476.0</v>
      </c>
      <c r="R371" s="34" t="s">
        <v>50</v>
      </c>
      <c r="S371" s="35" t="n">
        <f>1530.52</f>
        <v>1530.52</v>
      </c>
      <c r="T371" s="32" t="n">
        <f>81522</f>
        <v>81522.0</v>
      </c>
      <c r="U371" s="32" t="str">
        <f>"－"</f>
        <v>－</v>
      </c>
      <c r="V371" s="32" t="n">
        <f>125652451</f>
        <v>1.25652451E8</v>
      </c>
      <c r="W371" s="32" t="str">
        <f>"－"</f>
        <v>－</v>
      </c>
      <c r="X371" s="36" t="n">
        <f>21</f>
        <v>21.0</v>
      </c>
    </row>
    <row r="372">
      <c r="A372" s="27" t="s">
        <v>42</v>
      </c>
      <c r="B372" s="27" t="s">
        <v>1158</v>
      </c>
      <c r="C372" s="27" t="s">
        <v>1159</v>
      </c>
      <c r="D372" s="27" t="s">
        <v>1160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1105</f>
        <v>1105.0</v>
      </c>
      <c r="L372" s="34" t="s">
        <v>48</v>
      </c>
      <c r="M372" s="33" t="n">
        <f>1116</f>
        <v>1116.0</v>
      </c>
      <c r="N372" s="34" t="s">
        <v>222</v>
      </c>
      <c r="O372" s="33" t="n">
        <f>1065</f>
        <v>1065.0</v>
      </c>
      <c r="P372" s="34" t="s">
        <v>57</v>
      </c>
      <c r="Q372" s="33" t="n">
        <f>1070</f>
        <v>1070.0</v>
      </c>
      <c r="R372" s="34" t="s">
        <v>50</v>
      </c>
      <c r="S372" s="35" t="n">
        <f>1095.33</f>
        <v>1095.33</v>
      </c>
      <c r="T372" s="32" t="n">
        <f>1561113</f>
        <v>1561113.0</v>
      </c>
      <c r="U372" s="32" t="n">
        <f>172</f>
        <v>172.0</v>
      </c>
      <c r="V372" s="32" t="n">
        <f>1707085190</f>
        <v>1.70708519E9</v>
      </c>
      <c r="W372" s="32" t="n">
        <f>187769</f>
        <v>187769.0</v>
      </c>
      <c r="X372" s="36" t="n">
        <f>21</f>
        <v>21.0</v>
      </c>
    </row>
    <row r="373">
      <c r="A373" s="27" t="s">
        <v>42</v>
      </c>
      <c r="B373" s="27" t="s">
        <v>1161</v>
      </c>
      <c r="C373" s="27" t="s">
        <v>1162</v>
      </c>
      <c r="D373" s="27" t="s">
        <v>1163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55260</f>
        <v>55260.0</v>
      </c>
      <c r="L373" s="34" t="s">
        <v>48</v>
      </c>
      <c r="M373" s="33" t="n">
        <f>57460</f>
        <v>57460.0</v>
      </c>
      <c r="N373" s="34" t="s">
        <v>107</v>
      </c>
      <c r="O373" s="33" t="n">
        <f>46440</f>
        <v>46440.0</v>
      </c>
      <c r="P373" s="34" t="s">
        <v>50</v>
      </c>
      <c r="Q373" s="33" t="n">
        <f>47810</f>
        <v>47810.0</v>
      </c>
      <c r="R373" s="34" t="s">
        <v>50</v>
      </c>
      <c r="S373" s="35" t="n">
        <f>53553.81</f>
        <v>53553.81</v>
      </c>
      <c r="T373" s="32" t="n">
        <f>302950</f>
        <v>302950.0</v>
      </c>
      <c r="U373" s="32" t="n">
        <f>2719</f>
        <v>2719.0</v>
      </c>
      <c r="V373" s="32" t="n">
        <f>16127064059</f>
        <v>1.6127064059E10</v>
      </c>
      <c r="W373" s="32" t="n">
        <f>144894529</f>
        <v>1.44894529E8</v>
      </c>
      <c r="X373" s="36" t="n">
        <f>21</f>
        <v>21.0</v>
      </c>
    </row>
    <row r="374">
      <c r="A374" s="27" t="s">
        <v>42</v>
      </c>
      <c r="B374" s="27" t="s">
        <v>1164</v>
      </c>
      <c r="C374" s="27" t="s">
        <v>1165</v>
      </c>
      <c r="D374" s="27" t="s">
        <v>1166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11260</f>
        <v>11260.0</v>
      </c>
      <c r="L374" s="34" t="s">
        <v>48</v>
      </c>
      <c r="M374" s="33" t="n">
        <f>13150</f>
        <v>13150.0</v>
      </c>
      <c r="N374" s="34" t="s">
        <v>50</v>
      </c>
      <c r="O374" s="33" t="n">
        <f>10805</f>
        <v>10805.0</v>
      </c>
      <c r="P374" s="34" t="s">
        <v>107</v>
      </c>
      <c r="Q374" s="33" t="n">
        <f>12815</f>
        <v>12815.0</v>
      </c>
      <c r="R374" s="34" t="s">
        <v>50</v>
      </c>
      <c r="S374" s="35" t="n">
        <f>11550.24</f>
        <v>11550.24</v>
      </c>
      <c r="T374" s="32" t="n">
        <f>1420708</f>
        <v>1420708.0</v>
      </c>
      <c r="U374" s="32" t="n">
        <f>8266</f>
        <v>8266.0</v>
      </c>
      <c r="V374" s="32" t="n">
        <f>16786338829</f>
        <v>1.6786338829E10</v>
      </c>
      <c r="W374" s="32" t="n">
        <f>95614109</f>
        <v>9.5614109E7</v>
      </c>
      <c r="X374" s="36" t="n">
        <f>21</f>
        <v>21.0</v>
      </c>
    </row>
    <row r="375">
      <c r="A375" s="27" t="s">
        <v>42</v>
      </c>
      <c r="B375" s="27" t="s">
        <v>1167</v>
      </c>
      <c r="C375" s="27" t="s">
        <v>1168</v>
      </c>
      <c r="D375" s="27" t="s">
        <v>1169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2812</f>
        <v>2812.0</v>
      </c>
      <c r="L375" s="34" t="s">
        <v>48</v>
      </c>
      <c r="M375" s="33" t="n">
        <f>2812</f>
        <v>2812.0</v>
      </c>
      <c r="N375" s="34" t="s">
        <v>48</v>
      </c>
      <c r="O375" s="33" t="n">
        <f>2463</f>
        <v>2463.0</v>
      </c>
      <c r="P375" s="34" t="s">
        <v>49</v>
      </c>
      <c r="Q375" s="33" t="n">
        <f>2527</f>
        <v>2527.0</v>
      </c>
      <c r="R375" s="34" t="s">
        <v>57</v>
      </c>
      <c r="S375" s="35" t="n">
        <f>2600.9</f>
        <v>2600.9</v>
      </c>
      <c r="T375" s="32" t="n">
        <f>329</f>
        <v>329.0</v>
      </c>
      <c r="U375" s="32" t="str">
        <f>"－"</f>
        <v>－</v>
      </c>
      <c r="V375" s="32" t="n">
        <f>877456</f>
        <v>877456.0</v>
      </c>
      <c r="W375" s="32" t="str">
        <f>"－"</f>
        <v>－</v>
      </c>
      <c r="X375" s="36" t="n">
        <f>10</f>
        <v>10.0</v>
      </c>
    </row>
    <row r="376">
      <c r="A376" s="27" t="s">
        <v>42</v>
      </c>
      <c r="B376" s="27" t="s">
        <v>1170</v>
      </c>
      <c r="C376" s="27" t="s">
        <v>1171</v>
      </c>
      <c r="D376" s="27" t="s">
        <v>1172</v>
      </c>
      <c r="E376" s="28" t="s">
        <v>46</v>
      </c>
      <c r="F376" s="29" t="s">
        <v>46</v>
      </c>
      <c r="G376" s="30" t="s">
        <v>46</v>
      </c>
      <c r="H376" s="31"/>
      <c r="I376" s="31" t="s">
        <v>47</v>
      </c>
      <c r="J376" s="32" t="n">
        <v>1.0</v>
      </c>
      <c r="K376" s="33" t="n">
        <f>9570</f>
        <v>9570.0</v>
      </c>
      <c r="L376" s="34" t="s">
        <v>48</v>
      </c>
      <c r="M376" s="33" t="n">
        <f>10230</f>
        <v>10230.0</v>
      </c>
      <c r="N376" s="34" t="s">
        <v>56</v>
      </c>
      <c r="O376" s="33" t="n">
        <f>9400</f>
        <v>9400.0</v>
      </c>
      <c r="P376" s="34" t="s">
        <v>107</v>
      </c>
      <c r="Q376" s="33" t="n">
        <f>10070</f>
        <v>10070.0</v>
      </c>
      <c r="R376" s="34" t="s">
        <v>50</v>
      </c>
      <c r="S376" s="35" t="n">
        <f>9803.43</f>
        <v>9803.43</v>
      </c>
      <c r="T376" s="32" t="n">
        <f>2317</f>
        <v>2317.0</v>
      </c>
      <c r="U376" s="32" t="n">
        <f>9</f>
        <v>9.0</v>
      </c>
      <c r="V376" s="32" t="n">
        <f>22380115</f>
        <v>2.2380115E7</v>
      </c>
      <c r="W376" s="32" t="n">
        <f>91840</f>
        <v>91840.0</v>
      </c>
      <c r="X376" s="36" t="n">
        <f>21</f>
        <v>21.0</v>
      </c>
    </row>
    <row r="377">
      <c r="A377" s="27" t="s">
        <v>42</v>
      </c>
      <c r="B377" s="27" t="s">
        <v>1173</v>
      </c>
      <c r="C377" s="27" t="s">
        <v>1174</v>
      </c>
      <c r="D377" s="27" t="s">
        <v>1175</v>
      </c>
      <c r="E377" s="28" t="s">
        <v>46</v>
      </c>
      <c r="F377" s="29" t="s">
        <v>46</v>
      </c>
      <c r="G377" s="30" t="s">
        <v>46</v>
      </c>
      <c r="H377" s="31"/>
      <c r="I377" s="31" t="s">
        <v>47</v>
      </c>
      <c r="J377" s="32" t="n">
        <v>1.0</v>
      </c>
      <c r="K377" s="33" t="n">
        <f>124400</f>
        <v>124400.0</v>
      </c>
      <c r="L377" s="34" t="s">
        <v>48</v>
      </c>
      <c r="M377" s="33" t="n">
        <f>124600</f>
        <v>124600.0</v>
      </c>
      <c r="N377" s="34" t="s">
        <v>48</v>
      </c>
      <c r="O377" s="33" t="n">
        <f>119300</f>
        <v>119300.0</v>
      </c>
      <c r="P377" s="34" t="s">
        <v>50</v>
      </c>
      <c r="Q377" s="33" t="n">
        <f>119300</f>
        <v>119300.0</v>
      </c>
      <c r="R377" s="34" t="s">
        <v>50</v>
      </c>
      <c r="S377" s="35" t="n">
        <f>122157.14</f>
        <v>122157.14</v>
      </c>
      <c r="T377" s="32" t="n">
        <f>17533</f>
        <v>17533.0</v>
      </c>
      <c r="U377" s="32" t="n">
        <f>2627</f>
        <v>2627.0</v>
      </c>
      <c r="V377" s="32" t="n">
        <f>2140650489</f>
        <v>2.140650489E9</v>
      </c>
      <c r="W377" s="32" t="n">
        <f>320251389</f>
        <v>3.20251389E8</v>
      </c>
      <c r="X377" s="36" t="n">
        <f>21</f>
        <v>21.0</v>
      </c>
    </row>
    <row r="378">
      <c r="A378" s="27" t="s">
        <v>42</v>
      </c>
      <c r="B378" s="27" t="s">
        <v>1176</v>
      </c>
      <c r="C378" s="27" t="s">
        <v>1177</v>
      </c>
      <c r="D378" s="27" t="s">
        <v>1178</v>
      </c>
      <c r="E378" s="28" t="s">
        <v>46</v>
      </c>
      <c r="F378" s="29" t="s">
        <v>46</v>
      </c>
      <c r="G378" s="30" t="s">
        <v>46</v>
      </c>
      <c r="H378" s="31" t="s">
        <v>1179</v>
      </c>
      <c r="I378" s="31" t="s">
        <v>416</v>
      </c>
      <c r="J378" s="32" t="n">
        <v>1.0</v>
      </c>
      <c r="K378" s="33" t="n">
        <f>126000</f>
        <v>126000.0</v>
      </c>
      <c r="L378" s="34" t="s">
        <v>48</v>
      </c>
      <c r="M378" s="33" t="n">
        <f>128700</f>
        <v>128700.0</v>
      </c>
      <c r="N378" s="34" t="s">
        <v>260</v>
      </c>
      <c r="O378" s="33" t="n">
        <f>124400</f>
        <v>124400.0</v>
      </c>
      <c r="P378" s="34" t="s">
        <v>56</v>
      </c>
      <c r="Q378" s="33" t="n">
        <f>125100</f>
        <v>125100.0</v>
      </c>
      <c r="R378" s="34" t="s">
        <v>50</v>
      </c>
      <c r="S378" s="35" t="n">
        <f>126033.33</f>
        <v>126033.33</v>
      </c>
      <c r="T378" s="32" t="n">
        <f>68156</f>
        <v>68156.0</v>
      </c>
      <c r="U378" s="32" t="n">
        <f>10730</f>
        <v>10730.0</v>
      </c>
      <c r="V378" s="32" t="n">
        <f>8553658682</f>
        <v>8.553658682E9</v>
      </c>
      <c r="W378" s="32" t="n">
        <f>1347487282</f>
        <v>1.347487282E9</v>
      </c>
      <c r="X378" s="36" t="n">
        <f>21</f>
        <v>21.0</v>
      </c>
    </row>
    <row r="379">
      <c r="A379" s="27" t="s">
        <v>42</v>
      </c>
      <c r="B379" s="27" t="s">
        <v>1180</v>
      </c>
      <c r="C379" s="27" t="s">
        <v>1181</v>
      </c>
      <c r="D379" s="27" t="s">
        <v>1182</v>
      </c>
      <c r="E379" s="28" t="s">
        <v>46</v>
      </c>
      <c r="F379" s="29" t="s">
        <v>46</v>
      </c>
      <c r="G379" s="30" t="s">
        <v>46</v>
      </c>
      <c r="H379" s="31"/>
      <c r="I379" s="31" t="s">
        <v>47</v>
      </c>
      <c r="J379" s="32" t="n">
        <v>1.0</v>
      </c>
      <c r="K379" s="33" t="n">
        <f>128800</f>
        <v>128800.0</v>
      </c>
      <c r="L379" s="34" t="s">
        <v>48</v>
      </c>
      <c r="M379" s="33" t="n">
        <f>130500</f>
        <v>130500.0</v>
      </c>
      <c r="N379" s="34" t="s">
        <v>48</v>
      </c>
      <c r="O379" s="33" t="n">
        <f>120600</f>
        <v>120600.0</v>
      </c>
      <c r="P379" s="34" t="s">
        <v>50</v>
      </c>
      <c r="Q379" s="33" t="n">
        <f>120800</f>
        <v>120800.0</v>
      </c>
      <c r="R379" s="34" t="s">
        <v>50</v>
      </c>
      <c r="S379" s="35" t="n">
        <f>126728.57</f>
        <v>126728.57</v>
      </c>
      <c r="T379" s="32" t="n">
        <f>54542</f>
        <v>54542.0</v>
      </c>
      <c r="U379" s="32" t="n">
        <f>13149</f>
        <v>13149.0</v>
      </c>
      <c r="V379" s="32" t="n">
        <f>6908453624</f>
        <v>6.908453624E9</v>
      </c>
      <c r="W379" s="32" t="n">
        <f>1666512724</f>
        <v>1.666512724E9</v>
      </c>
      <c r="X379" s="36" t="n">
        <f>21</f>
        <v>21.0</v>
      </c>
    </row>
    <row r="380">
      <c r="A380" s="27" t="s">
        <v>42</v>
      </c>
      <c r="B380" s="27" t="s">
        <v>1183</v>
      </c>
      <c r="C380" s="27" t="s">
        <v>1184</v>
      </c>
      <c r="D380" s="27" t="s">
        <v>1185</v>
      </c>
      <c r="E380" s="28" t="s">
        <v>46</v>
      </c>
      <c r="F380" s="29" t="s">
        <v>46</v>
      </c>
      <c r="G380" s="30" t="s">
        <v>46</v>
      </c>
      <c r="H380" s="31"/>
      <c r="I380" s="31" t="s">
        <v>416</v>
      </c>
      <c r="J380" s="32" t="n">
        <v>1.0</v>
      </c>
      <c r="K380" s="33" t="n">
        <f>112600</f>
        <v>112600.0</v>
      </c>
      <c r="L380" s="34" t="s">
        <v>48</v>
      </c>
      <c r="M380" s="33" t="n">
        <f>113100</f>
        <v>113100.0</v>
      </c>
      <c r="N380" s="34" t="s">
        <v>48</v>
      </c>
      <c r="O380" s="33" t="n">
        <f>105600</f>
        <v>105600.0</v>
      </c>
      <c r="P380" s="34" t="s">
        <v>50</v>
      </c>
      <c r="Q380" s="33" t="n">
        <f>106000</f>
        <v>106000.0</v>
      </c>
      <c r="R380" s="34" t="s">
        <v>50</v>
      </c>
      <c r="S380" s="35" t="n">
        <f>110071.43</f>
        <v>110071.43</v>
      </c>
      <c r="T380" s="32" t="n">
        <f>36932</f>
        <v>36932.0</v>
      </c>
      <c r="U380" s="32" t="n">
        <f>4089</f>
        <v>4089.0</v>
      </c>
      <c r="V380" s="32" t="n">
        <f>4054047093</f>
        <v>4.054047093E9</v>
      </c>
      <c r="W380" s="32" t="n">
        <f>448705493</f>
        <v>4.48705493E8</v>
      </c>
      <c r="X380" s="36" t="n">
        <f>21</f>
        <v>21.0</v>
      </c>
    </row>
    <row r="381">
      <c r="A381" s="27" t="s">
        <v>42</v>
      </c>
      <c r="B381" s="27" t="s">
        <v>1186</v>
      </c>
      <c r="C381" s="27" t="s">
        <v>1187</v>
      </c>
      <c r="D381" s="27" t="s">
        <v>1188</v>
      </c>
      <c r="E381" s="28" t="s">
        <v>46</v>
      </c>
      <c r="F381" s="29" t="s">
        <v>46</v>
      </c>
      <c r="G381" s="30" t="s">
        <v>46</v>
      </c>
      <c r="H381" s="31"/>
      <c r="I381" s="31" t="s">
        <v>47</v>
      </c>
      <c r="J381" s="32" t="n">
        <v>10.0</v>
      </c>
      <c r="K381" s="33" t="n">
        <f>229.4</f>
        <v>229.4</v>
      </c>
      <c r="L381" s="34" t="s">
        <v>48</v>
      </c>
      <c r="M381" s="33" t="n">
        <f>235.7</f>
        <v>235.7</v>
      </c>
      <c r="N381" s="34" t="s">
        <v>276</v>
      </c>
      <c r="O381" s="33" t="n">
        <f>217</f>
        <v>217.0</v>
      </c>
      <c r="P381" s="34" t="s">
        <v>57</v>
      </c>
      <c r="Q381" s="33" t="n">
        <f>219.3</f>
        <v>219.3</v>
      </c>
      <c r="R381" s="34" t="s">
        <v>50</v>
      </c>
      <c r="S381" s="35" t="n">
        <f>229.45</f>
        <v>229.45</v>
      </c>
      <c r="T381" s="32" t="n">
        <f>3728010</f>
        <v>3728010.0</v>
      </c>
      <c r="U381" s="32" t="str">
        <f>"－"</f>
        <v>－</v>
      </c>
      <c r="V381" s="32" t="n">
        <f>851468742</f>
        <v>8.51468742E8</v>
      </c>
      <c r="W381" s="32" t="str">
        <f>"－"</f>
        <v>－</v>
      </c>
      <c r="X381" s="36" t="n">
        <f>21</f>
        <v>21.0</v>
      </c>
    </row>
    <row r="382">
      <c r="A382" s="27" t="s">
        <v>42</v>
      </c>
      <c r="B382" s="27" t="s">
        <v>1189</v>
      </c>
      <c r="C382" s="27" t="s">
        <v>1190</v>
      </c>
      <c r="D382" s="27" t="s">
        <v>1191</v>
      </c>
      <c r="E382" s="28" t="s">
        <v>46</v>
      </c>
      <c r="F382" s="29" t="s">
        <v>46</v>
      </c>
      <c r="G382" s="30" t="s">
        <v>46</v>
      </c>
      <c r="H382" s="31"/>
      <c r="I382" s="31" t="s">
        <v>47</v>
      </c>
      <c r="J382" s="32" t="n">
        <v>10.0</v>
      </c>
      <c r="K382" s="33" t="n">
        <f>399.6</f>
        <v>399.6</v>
      </c>
      <c r="L382" s="34" t="s">
        <v>48</v>
      </c>
      <c r="M382" s="33" t="n">
        <f>401.3</f>
        <v>401.3</v>
      </c>
      <c r="N382" s="34" t="s">
        <v>64</v>
      </c>
      <c r="O382" s="33" t="n">
        <f>321.1</f>
        <v>321.1</v>
      </c>
      <c r="P382" s="34" t="s">
        <v>49</v>
      </c>
      <c r="Q382" s="33" t="n">
        <f>344.9</f>
        <v>344.9</v>
      </c>
      <c r="R382" s="34" t="s">
        <v>50</v>
      </c>
      <c r="S382" s="35" t="n">
        <f>368.33</f>
        <v>368.33</v>
      </c>
      <c r="T382" s="32" t="n">
        <f>156905830</f>
        <v>1.5690583E8</v>
      </c>
      <c r="U382" s="32" t="n">
        <f>8858350</f>
        <v>8858350.0</v>
      </c>
      <c r="V382" s="32" t="n">
        <f>56972153389</f>
        <v>5.6972153389E10</v>
      </c>
      <c r="W382" s="32" t="n">
        <f>2982655931</f>
        <v>2.982655931E9</v>
      </c>
      <c r="X382" s="36" t="n">
        <f>21</f>
        <v>21.0</v>
      </c>
    </row>
    <row r="383">
      <c r="A383" s="27" t="s">
        <v>42</v>
      </c>
      <c r="B383" s="27" t="s">
        <v>1192</v>
      </c>
      <c r="C383" s="27" t="s">
        <v>1193</v>
      </c>
      <c r="D383" s="27" t="s">
        <v>1194</v>
      </c>
      <c r="E383" s="28" t="s">
        <v>46</v>
      </c>
      <c r="F383" s="29" t="s">
        <v>46</v>
      </c>
      <c r="G383" s="30" t="s">
        <v>46</v>
      </c>
      <c r="H383" s="31"/>
      <c r="I383" s="31" t="s">
        <v>47</v>
      </c>
      <c r="J383" s="32" t="n">
        <v>1.0</v>
      </c>
      <c r="K383" s="33" t="n">
        <f>1609</f>
        <v>1609.0</v>
      </c>
      <c r="L383" s="34" t="s">
        <v>48</v>
      </c>
      <c r="M383" s="33" t="n">
        <f>1609</f>
        <v>1609.0</v>
      </c>
      <c r="N383" s="34" t="s">
        <v>48</v>
      </c>
      <c r="O383" s="33" t="n">
        <f>1372</f>
        <v>1372.0</v>
      </c>
      <c r="P383" s="34" t="s">
        <v>49</v>
      </c>
      <c r="Q383" s="33" t="n">
        <f>1442</f>
        <v>1442.0</v>
      </c>
      <c r="R383" s="34" t="s">
        <v>50</v>
      </c>
      <c r="S383" s="35" t="n">
        <f>1468.81</f>
        <v>1468.81</v>
      </c>
      <c r="T383" s="32" t="n">
        <f>3430129</f>
        <v>3430129.0</v>
      </c>
      <c r="U383" s="32" t="n">
        <f>524200</f>
        <v>524200.0</v>
      </c>
      <c r="V383" s="32" t="n">
        <f>5010939075</f>
        <v>5.010939075E9</v>
      </c>
      <c r="W383" s="32" t="n">
        <f>777861781</f>
        <v>7.77861781E8</v>
      </c>
      <c r="X383" s="36" t="n">
        <f>21</f>
        <v>21.0</v>
      </c>
    </row>
    <row r="384">
      <c r="A384" s="27" t="s">
        <v>42</v>
      </c>
      <c r="B384" s="27" t="s">
        <v>1195</v>
      </c>
      <c r="C384" s="27" t="s">
        <v>1196</v>
      </c>
      <c r="D384" s="27" t="s">
        <v>1197</v>
      </c>
      <c r="E384" s="28" t="s">
        <v>46</v>
      </c>
      <c r="F384" s="29" t="s">
        <v>46</v>
      </c>
      <c r="G384" s="30" t="s">
        <v>46</v>
      </c>
      <c r="H384" s="31"/>
      <c r="I384" s="31" t="s">
        <v>47</v>
      </c>
      <c r="J384" s="32" t="n">
        <v>1.0</v>
      </c>
      <c r="K384" s="33" t="n">
        <f>2070</f>
        <v>2070.0</v>
      </c>
      <c r="L384" s="34" t="s">
        <v>48</v>
      </c>
      <c r="M384" s="33" t="n">
        <f>2207</f>
        <v>2207.0</v>
      </c>
      <c r="N384" s="34" t="s">
        <v>276</v>
      </c>
      <c r="O384" s="33" t="n">
        <f>1937</f>
        <v>1937.0</v>
      </c>
      <c r="P384" s="34" t="s">
        <v>50</v>
      </c>
      <c r="Q384" s="33" t="n">
        <f>1962</f>
        <v>1962.0</v>
      </c>
      <c r="R384" s="34" t="s">
        <v>50</v>
      </c>
      <c r="S384" s="35" t="n">
        <f>2119.57</f>
        <v>2119.57</v>
      </c>
      <c r="T384" s="32" t="n">
        <f>7374729</f>
        <v>7374729.0</v>
      </c>
      <c r="U384" s="32" t="n">
        <f>245944</f>
        <v>245944.0</v>
      </c>
      <c r="V384" s="32" t="n">
        <f>15590053199</f>
        <v>1.5590053199E10</v>
      </c>
      <c r="W384" s="32" t="n">
        <f>525057618</f>
        <v>5.25057618E8</v>
      </c>
      <c r="X384" s="36" t="n">
        <f>21</f>
        <v>21.0</v>
      </c>
    </row>
    <row r="385">
      <c r="A385" s="27" t="s">
        <v>42</v>
      </c>
      <c r="B385" s="27" t="s">
        <v>1198</v>
      </c>
      <c r="C385" s="27" t="s">
        <v>1199</v>
      </c>
      <c r="D385" s="27" t="s">
        <v>1200</v>
      </c>
      <c r="E385" s="28" t="s">
        <v>46</v>
      </c>
      <c r="F385" s="29" t="s">
        <v>46</v>
      </c>
      <c r="G385" s="30" t="s">
        <v>46</v>
      </c>
      <c r="H385" s="31"/>
      <c r="I385" s="31" t="s">
        <v>47</v>
      </c>
      <c r="J385" s="32" t="n">
        <v>10.0</v>
      </c>
      <c r="K385" s="33" t="n">
        <f>618.3</f>
        <v>618.3</v>
      </c>
      <c r="L385" s="34" t="s">
        <v>48</v>
      </c>
      <c r="M385" s="33" t="n">
        <f>824.2</f>
        <v>824.2</v>
      </c>
      <c r="N385" s="34" t="s">
        <v>50</v>
      </c>
      <c r="O385" s="33" t="n">
        <f>591.7</f>
        <v>591.7</v>
      </c>
      <c r="P385" s="34" t="s">
        <v>107</v>
      </c>
      <c r="Q385" s="33" t="n">
        <f>778.7</f>
        <v>778.7</v>
      </c>
      <c r="R385" s="34" t="s">
        <v>50</v>
      </c>
      <c r="S385" s="35" t="n">
        <f>695.3</f>
        <v>695.3</v>
      </c>
      <c r="T385" s="32" t="n">
        <f>41446330</f>
        <v>4.144633E7</v>
      </c>
      <c r="U385" s="32" t="n">
        <f>11380</f>
        <v>11380.0</v>
      </c>
      <c r="V385" s="32" t="n">
        <f>28431598948</f>
        <v>2.8431598948E10</v>
      </c>
      <c r="W385" s="32" t="n">
        <f>7916016</f>
        <v>7916016.0</v>
      </c>
      <c r="X385" s="36" t="n">
        <f>21</f>
        <v>21.0</v>
      </c>
    </row>
    <row r="386">
      <c r="A386" s="27" t="s">
        <v>42</v>
      </c>
      <c r="B386" s="27" t="s">
        <v>1201</v>
      </c>
      <c r="C386" s="27" t="s">
        <v>1202</v>
      </c>
      <c r="D386" s="27" t="s">
        <v>1203</v>
      </c>
      <c r="E386" s="28" t="s">
        <v>46</v>
      </c>
      <c r="F386" s="29" t="s">
        <v>46</v>
      </c>
      <c r="G386" s="30" t="s">
        <v>46</v>
      </c>
      <c r="H386" s="31"/>
      <c r="I386" s="31" t="s">
        <v>47</v>
      </c>
      <c r="J386" s="32" t="n">
        <v>1.0</v>
      </c>
      <c r="K386" s="33" t="n">
        <f>137400</f>
        <v>137400.0</v>
      </c>
      <c r="L386" s="34" t="s">
        <v>48</v>
      </c>
      <c r="M386" s="33" t="n">
        <f>138500</f>
        <v>138500.0</v>
      </c>
      <c r="N386" s="34" t="s">
        <v>48</v>
      </c>
      <c r="O386" s="33" t="n">
        <f>130400</f>
        <v>130400.0</v>
      </c>
      <c r="P386" s="34" t="s">
        <v>215</v>
      </c>
      <c r="Q386" s="33" t="n">
        <f>133400</f>
        <v>133400.0</v>
      </c>
      <c r="R386" s="34" t="s">
        <v>50</v>
      </c>
      <c r="S386" s="35" t="n">
        <f>135785.71</f>
        <v>135785.71</v>
      </c>
      <c r="T386" s="32" t="n">
        <f>176838</f>
        <v>176838.0</v>
      </c>
      <c r="U386" s="32" t="n">
        <f>43154</f>
        <v>43154.0</v>
      </c>
      <c r="V386" s="32" t="n">
        <f>23982976283</f>
        <v>2.3982976283E10</v>
      </c>
      <c r="W386" s="32" t="n">
        <f>5853348783</f>
        <v>5.853348783E9</v>
      </c>
      <c r="X386" s="36" t="n">
        <f>21</f>
        <v>21.0</v>
      </c>
    </row>
    <row r="387">
      <c r="A387" s="27" t="s">
        <v>42</v>
      </c>
      <c r="B387" s="27" t="s">
        <v>1204</v>
      </c>
      <c r="C387" s="27" t="s">
        <v>1205</v>
      </c>
      <c r="D387" s="27" t="s">
        <v>1206</v>
      </c>
      <c r="E387" s="28" t="s">
        <v>46</v>
      </c>
      <c r="F387" s="29" t="s">
        <v>46</v>
      </c>
      <c r="G387" s="30" t="s">
        <v>46</v>
      </c>
      <c r="H387" s="31"/>
      <c r="I387" s="31" t="s">
        <v>47</v>
      </c>
      <c r="J387" s="32" t="n">
        <v>1.0</v>
      </c>
      <c r="K387" s="33" t="n">
        <f>146600</f>
        <v>146600.0</v>
      </c>
      <c r="L387" s="34" t="s">
        <v>48</v>
      </c>
      <c r="M387" s="33" t="n">
        <f>147500</f>
        <v>147500.0</v>
      </c>
      <c r="N387" s="34" t="s">
        <v>48</v>
      </c>
      <c r="O387" s="33" t="n">
        <f>132300</f>
        <v>132300.0</v>
      </c>
      <c r="P387" s="34" t="s">
        <v>50</v>
      </c>
      <c r="Q387" s="33" t="n">
        <f>132300</f>
        <v>132300.0</v>
      </c>
      <c r="R387" s="34" t="s">
        <v>50</v>
      </c>
      <c r="S387" s="35" t="n">
        <f>141747.62</f>
        <v>141747.62</v>
      </c>
      <c r="T387" s="32" t="n">
        <f>154850</f>
        <v>154850.0</v>
      </c>
      <c r="U387" s="32" t="n">
        <f>42831</f>
        <v>42831.0</v>
      </c>
      <c r="V387" s="32" t="n">
        <f>21927374720</f>
        <v>2.192737472E10</v>
      </c>
      <c r="W387" s="32" t="n">
        <f>6072838920</f>
        <v>6.07283892E9</v>
      </c>
      <c r="X387" s="36" t="n">
        <f>21</f>
        <v>21.0</v>
      </c>
    </row>
    <row r="388">
      <c r="A388" s="27" t="s">
        <v>42</v>
      </c>
      <c r="B388" s="27" t="s">
        <v>1207</v>
      </c>
      <c r="C388" s="27" t="s">
        <v>1208</v>
      </c>
      <c r="D388" s="27" t="s">
        <v>1209</v>
      </c>
      <c r="E388" s="28" t="s">
        <v>46</v>
      </c>
      <c r="F388" s="29" t="s">
        <v>46</v>
      </c>
      <c r="G388" s="30" t="s">
        <v>46</v>
      </c>
      <c r="H388" s="31"/>
      <c r="I388" s="31" t="s">
        <v>47</v>
      </c>
      <c r="J388" s="32" t="n">
        <v>1.0</v>
      </c>
      <c r="K388" s="33" t="n">
        <f>151000</f>
        <v>151000.0</v>
      </c>
      <c r="L388" s="34" t="s">
        <v>48</v>
      </c>
      <c r="M388" s="33" t="n">
        <f>152500</f>
        <v>152500.0</v>
      </c>
      <c r="N388" s="34" t="s">
        <v>107</v>
      </c>
      <c r="O388" s="33" t="n">
        <f>140400</f>
        <v>140400.0</v>
      </c>
      <c r="P388" s="34" t="s">
        <v>50</v>
      </c>
      <c r="Q388" s="33" t="n">
        <f>140800</f>
        <v>140800.0</v>
      </c>
      <c r="R388" s="34" t="s">
        <v>50</v>
      </c>
      <c r="S388" s="35" t="n">
        <f>148338.1</f>
        <v>148338.1</v>
      </c>
      <c r="T388" s="32" t="n">
        <f>216472</f>
        <v>216472.0</v>
      </c>
      <c r="U388" s="32" t="n">
        <f>54235</f>
        <v>54235.0</v>
      </c>
      <c r="V388" s="32" t="n">
        <f>32067493150</f>
        <v>3.206749315E10</v>
      </c>
      <c r="W388" s="32" t="n">
        <f>8049618550</f>
        <v>8.04961855E9</v>
      </c>
      <c r="X388" s="36" t="n">
        <f>21</f>
        <v>21.0</v>
      </c>
    </row>
    <row r="389">
      <c r="A389" s="27" t="s">
        <v>42</v>
      </c>
      <c r="B389" s="27" t="s">
        <v>1210</v>
      </c>
      <c r="C389" s="27" t="s">
        <v>1211</v>
      </c>
      <c r="D389" s="27" t="s">
        <v>1212</v>
      </c>
      <c r="E389" s="28" t="s">
        <v>46</v>
      </c>
      <c r="F389" s="29" t="s">
        <v>46</v>
      </c>
      <c r="G389" s="30" t="s">
        <v>46</v>
      </c>
      <c r="H389" s="31"/>
      <c r="I389" s="31" t="s">
        <v>47</v>
      </c>
      <c r="J389" s="32" t="n">
        <v>1.0</v>
      </c>
      <c r="K389" s="33" t="n">
        <f>172000</f>
        <v>172000.0</v>
      </c>
      <c r="L389" s="34" t="s">
        <v>48</v>
      </c>
      <c r="M389" s="33" t="n">
        <f>173800</f>
        <v>173800.0</v>
      </c>
      <c r="N389" s="34" t="s">
        <v>48</v>
      </c>
      <c r="O389" s="33" t="n">
        <f>161600</f>
        <v>161600.0</v>
      </c>
      <c r="P389" s="34" t="s">
        <v>57</v>
      </c>
      <c r="Q389" s="33" t="n">
        <f>161600</f>
        <v>161600.0</v>
      </c>
      <c r="R389" s="34" t="s">
        <v>50</v>
      </c>
      <c r="S389" s="35" t="n">
        <f>168614.29</f>
        <v>168614.29</v>
      </c>
      <c r="T389" s="32" t="n">
        <f>194158</f>
        <v>194158.0</v>
      </c>
      <c r="U389" s="32" t="n">
        <f>40968</f>
        <v>40968.0</v>
      </c>
      <c r="V389" s="32" t="n">
        <f>32725805015</f>
        <v>3.2725805015E10</v>
      </c>
      <c r="W389" s="32" t="n">
        <f>6911761415</f>
        <v>6.911761415E9</v>
      </c>
      <c r="X389" s="36" t="n">
        <f>21</f>
        <v>21.0</v>
      </c>
    </row>
    <row r="390">
      <c r="A390" s="27" t="s">
        <v>42</v>
      </c>
      <c r="B390" s="27" t="s">
        <v>1213</v>
      </c>
      <c r="C390" s="27" t="s">
        <v>1214</v>
      </c>
      <c r="D390" s="27" t="s">
        <v>1215</v>
      </c>
      <c r="E390" s="28" t="s">
        <v>46</v>
      </c>
      <c r="F390" s="29" t="s">
        <v>46</v>
      </c>
      <c r="G390" s="30" t="s">
        <v>46</v>
      </c>
      <c r="H390" s="31"/>
      <c r="I390" s="31" t="s">
        <v>47</v>
      </c>
      <c r="J390" s="32" t="n">
        <v>1.0</v>
      </c>
      <c r="K390" s="33" t="n">
        <f>149300</f>
        <v>149300.0</v>
      </c>
      <c r="L390" s="34" t="s">
        <v>48</v>
      </c>
      <c r="M390" s="33" t="n">
        <f>150500</f>
        <v>150500.0</v>
      </c>
      <c r="N390" s="34" t="s">
        <v>48</v>
      </c>
      <c r="O390" s="33" t="n">
        <f>139800</f>
        <v>139800.0</v>
      </c>
      <c r="P390" s="34" t="s">
        <v>50</v>
      </c>
      <c r="Q390" s="33" t="n">
        <f>139800</f>
        <v>139800.0</v>
      </c>
      <c r="R390" s="34" t="s">
        <v>50</v>
      </c>
      <c r="S390" s="35" t="n">
        <f>145938.1</f>
        <v>145938.1</v>
      </c>
      <c r="T390" s="32" t="n">
        <f>149380</f>
        <v>149380.0</v>
      </c>
      <c r="U390" s="32" t="n">
        <f>33826</f>
        <v>33826.0</v>
      </c>
      <c r="V390" s="32" t="n">
        <f>21778904653</f>
        <v>2.1778904653E10</v>
      </c>
      <c r="W390" s="32" t="n">
        <f>4933522753</f>
        <v>4.933522753E9</v>
      </c>
      <c r="X390" s="36" t="n">
        <f>21</f>
        <v>21.0</v>
      </c>
    </row>
    <row r="391">
      <c r="A391" s="27" t="s">
        <v>42</v>
      </c>
      <c r="B391" s="27" t="s">
        <v>1216</v>
      </c>
      <c r="C391" s="27" t="s">
        <v>1217</v>
      </c>
      <c r="D391" s="27" t="s">
        <v>1218</v>
      </c>
      <c r="E391" s="28" t="s">
        <v>46</v>
      </c>
      <c r="F391" s="29" t="s">
        <v>46</v>
      </c>
      <c r="G391" s="30" t="s">
        <v>46</v>
      </c>
      <c r="H391" s="31"/>
      <c r="I391" s="31" t="s">
        <v>47</v>
      </c>
      <c r="J391" s="32" t="n">
        <v>1.0</v>
      </c>
      <c r="K391" s="33" t="n">
        <f>140000</f>
        <v>140000.0</v>
      </c>
      <c r="L391" s="34" t="s">
        <v>48</v>
      </c>
      <c r="M391" s="33" t="n">
        <f>140400</f>
        <v>140400.0</v>
      </c>
      <c r="N391" s="34" t="s">
        <v>48</v>
      </c>
      <c r="O391" s="33" t="n">
        <f>129500</f>
        <v>129500.0</v>
      </c>
      <c r="P391" s="34" t="s">
        <v>50</v>
      </c>
      <c r="Q391" s="33" t="n">
        <f>129500</f>
        <v>129500.0</v>
      </c>
      <c r="R391" s="34" t="s">
        <v>50</v>
      </c>
      <c r="S391" s="35" t="n">
        <f>136361.9</f>
        <v>136361.9</v>
      </c>
      <c r="T391" s="32" t="n">
        <f>490222</f>
        <v>490222.0</v>
      </c>
      <c r="U391" s="32" t="n">
        <f>147090</f>
        <v>147090.0</v>
      </c>
      <c r="V391" s="32" t="n">
        <f>66877225800</f>
        <v>6.68772258E10</v>
      </c>
      <c r="W391" s="32" t="n">
        <f>20148047600</f>
        <v>2.01480476E10</v>
      </c>
      <c r="X391" s="36" t="n">
        <f>21</f>
        <v>21.0</v>
      </c>
    </row>
    <row r="392">
      <c r="A392" s="27" t="s">
        <v>42</v>
      </c>
      <c r="B392" s="27" t="s">
        <v>1219</v>
      </c>
      <c r="C392" s="27" t="s">
        <v>1220</v>
      </c>
      <c r="D392" s="27" t="s">
        <v>1221</v>
      </c>
      <c r="E392" s="28" t="s">
        <v>46</v>
      </c>
      <c r="F392" s="29" t="s">
        <v>46</v>
      </c>
      <c r="G392" s="30" t="s">
        <v>46</v>
      </c>
      <c r="H392" s="31"/>
      <c r="I392" s="31" t="s">
        <v>47</v>
      </c>
      <c r="J392" s="32" t="n">
        <v>1.0</v>
      </c>
      <c r="K392" s="33" t="n">
        <f>111000</f>
        <v>111000.0</v>
      </c>
      <c r="L392" s="34" t="s">
        <v>48</v>
      </c>
      <c r="M392" s="33" t="n">
        <f>112800</f>
        <v>112800.0</v>
      </c>
      <c r="N392" s="34" t="s">
        <v>238</v>
      </c>
      <c r="O392" s="33" t="n">
        <f>108200</f>
        <v>108200.0</v>
      </c>
      <c r="P392" s="34" t="s">
        <v>50</v>
      </c>
      <c r="Q392" s="33" t="n">
        <f>108200</f>
        <v>108200.0</v>
      </c>
      <c r="R392" s="34" t="s">
        <v>50</v>
      </c>
      <c r="S392" s="35" t="n">
        <f>110647.62</f>
        <v>110647.62</v>
      </c>
      <c r="T392" s="32" t="n">
        <f>156604</f>
        <v>156604.0</v>
      </c>
      <c r="U392" s="32" t="n">
        <f>42229</f>
        <v>42229.0</v>
      </c>
      <c r="V392" s="32" t="n">
        <f>17318289905</f>
        <v>1.7318289905E10</v>
      </c>
      <c r="W392" s="32" t="n">
        <f>4666815305</f>
        <v>4.666815305E9</v>
      </c>
      <c r="X392" s="36" t="n">
        <f>21</f>
        <v>21.0</v>
      </c>
    </row>
    <row r="393">
      <c r="A393" s="27" t="s">
        <v>42</v>
      </c>
      <c r="B393" s="27" t="s">
        <v>1222</v>
      </c>
      <c r="C393" s="27" t="s">
        <v>1223</v>
      </c>
      <c r="D393" s="27" t="s">
        <v>1224</v>
      </c>
      <c r="E393" s="28" t="s">
        <v>46</v>
      </c>
      <c r="F393" s="29" t="s">
        <v>46</v>
      </c>
      <c r="G393" s="30" t="s">
        <v>46</v>
      </c>
      <c r="H393" s="31"/>
      <c r="I393" s="31" t="s">
        <v>47</v>
      </c>
      <c r="J393" s="32" t="n">
        <v>1.0</v>
      </c>
      <c r="K393" s="33" t="n">
        <f>91400</f>
        <v>91400.0</v>
      </c>
      <c r="L393" s="34" t="s">
        <v>48</v>
      </c>
      <c r="M393" s="33" t="n">
        <f>93500</f>
        <v>93500.0</v>
      </c>
      <c r="N393" s="34" t="s">
        <v>107</v>
      </c>
      <c r="O393" s="33" t="n">
        <f>85200</f>
        <v>85200.0</v>
      </c>
      <c r="P393" s="34" t="s">
        <v>50</v>
      </c>
      <c r="Q393" s="33" t="n">
        <f>85200</f>
        <v>85200.0</v>
      </c>
      <c r="R393" s="34" t="s">
        <v>50</v>
      </c>
      <c r="S393" s="35" t="n">
        <f>90880.95</f>
        <v>90880.95</v>
      </c>
      <c r="T393" s="32" t="n">
        <f>524787</f>
        <v>524787.0</v>
      </c>
      <c r="U393" s="32" t="n">
        <f>161964</f>
        <v>161964.0</v>
      </c>
      <c r="V393" s="32" t="n">
        <f>47538362994</f>
        <v>4.7538362994E10</v>
      </c>
      <c r="W393" s="32" t="n">
        <f>14703077294</f>
        <v>1.4703077294E10</v>
      </c>
      <c r="X393" s="36" t="n">
        <f>21</f>
        <v>21.0</v>
      </c>
    </row>
    <row r="394">
      <c r="A394" s="27" t="s">
        <v>42</v>
      </c>
      <c r="B394" s="27" t="s">
        <v>1225</v>
      </c>
      <c r="C394" s="27" t="s">
        <v>1226</v>
      </c>
      <c r="D394" s="27" t="s">
        <v>1227</v>
      </c>
      <c r="E394" s="28" t="s">
        <v>46</v>
      </c>
      <c r="F394" s="29" t="s">
        <v>46</v>
      </c>
      <c r="G394" s="30" t="s">
        <v>46</v>
      </c>
      <c r="H394" s="31"/>
      <c r="I394" s="31" t="s">
        <v>47</v>
      </c>
      <c r="J394" s="32" t="n">
        <v>1.0</v>
      </c>
      <c r="K394" s="33" t="n">
        <f>270000</f>
        <v>270000.0</v>
      </c>
      <c r="L394" s="34" t="s">
        <v>48</v>
      </c>
      <c r="M394" s="33" t="n">
        <f>272800</f>
        <v>272800.0</v>
      </c>
      <c r="N394" s="34" t="s">
        <v>48</v>
      </c>
      <c r="O394" s="33" t="n">
        <f>241600</f>
        <v>241600.0</v>
      </c>
      <c r="P394" s="34" t="s">
        <v>50</v>
      </c>
      <c r="Q394" s="33" t="n">
        <f>242000</f>
        <v>242000.0</v>
      </c>
      <c r="R394" s="34" t="s">
        <v>50</v>
      </c>
      <c r="S394" s="35" t="n">
        <f>256319.05</f>
        <v>256319.05</v>
      </c>
      <c r="T394" s="32" t="n">
        <f>58698</f>
        <v>58698.0</v>
      </c>
      <c r="U394" s="32" t="n">
        <f>12559</f>
        <v>12559.0</v>
      </c>
      <c r="V394" s="32" t="n">
        <f>15096663887</f>
        <v>1.5096663887E10</v>
      </c>
      <c r="W394" s="32" t="n">
        <f>3245143587</f>
        <v>3.245143587E9</v>
      </c>
      <c r="X394" s="36" t="n">
        <f>21</f>
        <v>21.0</v>
      </c>
    </row>
    <row r="395">
      <c r="A395" s="27" t="s">
        <v>42</v>
      </c>
      <c r="B395" s="27" t="s">
        <v>1228</v>
      </c>
      <c r="C395" s="27" t="s">
        <v>1229</v>
      </c>
      <c r="D395" s="27" t="s">
        <v>1230</v>
      </c>
      <c r="E395" s="28" t="s">
        <v>46</v>
      </c>
      <c r="F395" s="29" t="s">
        <v>46</v>
      </c>
      <c r="G395" s="30" t="s">
        <v>46</v>
      </c>
      <c r="H395" s="31"/>
      <c r="I395" s="31" t="s">
        <v>47</v>
      </c>
      <c r="J395" s="32" t="n">
        <v>1.0</v>
      </c>
      <c r="K395" s="33" t="n">
        <f>1431</f>
        <v>1431.0</v>
      </c>
      <c r="L395" s="34" t="s">
        <v>48</v>
      </c>
      <c r="M395" s="33" t="n">
        <f>1480</f>
        <v>1480.0</v>
      </c>
      <c r="N395" s="34" t="s">
        <v>64</v>
      </c>
      <c r="O395" s="33" t="n">
        <f>1284</f>
        <v>1284.0</v>
      </c>
      <c r="P395" s="34" t="s">
        <v>49</v>
      </c>
      <c r="Q395" s="33" t="n">
        <f>1287</f>
        <v>1287.0</v>
      </c>
      <c r="R395" s="34" t="s">
        <v>50</v>
      </c>
      <c r="S395" s="35" t="n">
        <f>1357.19</f>
        <v>1357.19</v>
      </c>
      <c r="T395" s="32" t="n">
        <f>53619</f>
        <v>53619.0</v>
      </c>
      <c r="U395" s="32" t="n">
        <f>2</f>
        <v>2.0</v>
      </c>
      <c r="V395" s="32" t="n">
        <f>73600000</f>
        <v>7.36E7</v>
      </c>
      <c r="W395" s="32" t="n">
        <f>2680</f>
        <v>2680.0</v>
      </c>
      <c r="X395" s="36" t="n">
        <f>21</f>
        <v>21.0</v>
      </c>
    </row>
    <row r="396">
      <c r="A396" s="27" t="s">
        <v>42</v>
      </c>
      <c r="B396" s="27" t="s">
        <v>1231</v>
      </c>
      <c r="C396" s="27" t="s">
        <v>1232</v>
      </c>
      <c r="D396" s="27" t="s">
        <v>1233</v>
      </c>
      <c r="E396" s="28" t="s">
        <v>46</v>
      </c>
      <c r="F396" s="29" t="s">
        <v>46</v>
      </c>
      <c r="G396" s="30" t="s">
        <v>46</v>
      </c>
      <c r="H396" s="31"/>
      <c r="I396" s="31" t="s">
        <v>47</v>
      </c>
      <c r="J396" s="32" t="n">
        <v>1.0</v>
      </c>
      <c r="K396" s="33" t="n">
        <f>89900</f>
        <v>89900.0</v>
      </c>
      <c r="L396" s="34" t="s">
        <v>48</v>
      </c>
      <c r="M396" s="33" t="n">
        <f>90600</f>
        <v>90600.0</v>
      </c>
      <c r="N396" s="34" t="s">
        <v>48</v>
      </c>
      <c r="O396" s="33" t="n">
        <f>78500</f>
        <v>78500.0</v>
      </c>
      <c r="P396" s="34" t="s">
        <v>50</v>
      </c>
      <c r="Q396" s="33" t="n">
        <f>78800</f>
        <v>78800.0</v>
      </c>
      <c r="R396" s="34" t="s">
        <v>50</v>
      </c>
      <c r="S396" s="35" t="n">
        <f>83400</f>
        <v>83400.0</v>
      </c>
      <c r="T396" s="32" t="n">
        <f>284128</f>
        <v>284128.0</v>
      </c>
      <c r="U396" s="32" t="n">
        <f>52908</f>
        <v>52908.0</v>
      </c>
      <c r="V396" s="32" t="n">
        <f>23396860328</f>
        <v>2.3396860328E10</v>
      </c>
      <c r="W396" s="32" t="n">
        <f>4396751328</f>
        <v>4.396751328E9</v>
      </c>
      <c r="X396" s="36" t="n">
        <f>21</f>
        <v>21.0</v>
      </c>
    </row>
    <row r="397">
      <c r="A397" s="27" t="s">
        <v>42</v>
      </c>
      <c r="B397" s="27" t="s">
        <v>1234</v>
      </c>
      <c r="C397" s="27" t="s">
        <v>1235</v>
      </c>
      <c r="D397" s="27" t="s">
        <v>1236</v>
      </c>
      <c r="E397" s="28" t="s">
        <v>46</v>
      </c>
      <c r="F397" s="29" t="s">
        <v>46</v>
      </c>
      <c r="G397" s="30" t="s">
        <v>46</v>
      </c>
      <c r="H397" s="31"/>
      <c r="I397" s="31" t="s">
        <v>47</v>
      </c>
      <c r="J397" s="32" t="n">
        <v>1.0</v>
      </c>
      <c r="K397" s="33" t="n">
        <f>136100</f>
        <v>136100.0</v>
      </c>
      <c r="L397" s="34" t="s">
        <v>48</v>
      </c>
      <c r="M397" s="33" t="n">
        <f>137500</f>
        <v>137500.0</v>
      </c>
      <c r="N397" s="34" t="s">
        <v>48</v>
      </c>
      <c r="O397" s="33" t="n">
        <f>124600</f>
        <v>124600.0</v>
      </c>
      <c r="P397" s="34" t="s">
        <v>57</v>
      </c>
      <c r="Q397" s="33" t="n">
        <f>124700</f>
        <v>124700.0</v>
      </c>
      <c r="R397" s="34" t="s">
        <v>50</v>
      </c>
      <c r="S397" s="35" t="n">
        <f>132714.29</f>
        <v>132714.29</v>
      </c>
      <c r="T397" s="32" t="n">
        <f>133628</f>
        <v>133628.0</v>
      </c>
      <c r="U397" s="32" t="n">
        <f>29077</f>
        <v>29077.0</v>
      </c>
      <c r="V397" s="32" t="n">
        <f>17671273335</f>
        <v>1.7671273335E10</v>
      </c>
      <c r="W397" s="32" t="n">
        <f>3853975535</f>
        <v>3.853975535E9</v>
      </c>
      <c r="X397" s="36" t="n">
        <f>21</f>
        <v>21.0</v>
      </c>
    </row>
    <row r="398">
      <c r="A398" s="27" t="s">
        <v>42</v>
      </c>
      <c r="B398" s="27" t="s">
        <v>1237</v>
      </c>
      <c r="C398" s="27" t="s">
        <v>1238</v>
      </c>
      <c r="D398" s="27" t="s">
        <v>1239</v>
      </c>
      <c r="E398" s="28" t="s">
        <v>46</v>
      </c>
      <c r="F398" s="29" t="s">
        <v>46</v>
      </c>
      <c r="G398" s="30" t="s">
        <v>46</v>
      </c>
      <c r="H398" s="31"/>
      <c r="I398" s="31" t="s">
        <v>47</v>
      </c>
      <c r="J398" s="32" t="n">
        <v>1.0</v>
      </c>
      <c r="K398" s="33" t="n">
        <f>171800</f>
        <v>171800.0</v>
      </c>
      <c r="L398" s="34" t="s">
        <v>48</v>
      </c>
      <c r="M398" s="33" t="n">
        <f>172800</f>
        <v>172800.0</v>
      </c>
      <c r="N398" s="34" t="s">
        <v>107</v>
      </c>
      <c r="O398" s="33" t="n">
        <f>160800</f>
        <v>160800.0</v>
      </c>
      <c r="P398" s="34" t="s">
        <v>50</v>
      </c>
      <c r="Q398" s="33" t="n">
        <f>160800</f>
        <v>160800.0</v>
      </c>
      <c r="R398" s="34" t="s">
        <v>50</v>
      </c>
      <c r="S398" s="35" t="n">
        <f>168600</f>
        <v>168600.0</v>
      </c>
      <c r="T398" s="32" t="n">
        <f>88632</f>
        <v>88632.0</v>
      </c>
      <c r="U398" s="32" t="n">
        <f>20168</f>
        <v>20168.0</v>
      </c>
      <c r="V398" s="32" t="n">
        <f>14927549684</f>
        <v>1.4927549684E10</v>
      </c>
      <c r="W398" s="32" t="n">
        <f>3404987284</f>
        <v>3.404987284E9</v>
      </c>
      <c r="X398" s="36" t="n">
        <f>21</f>
        <v>21.0</v>
      </c>
    </row>
    <row r="399">
      <c r="A399" s="27" t="s">
        <v>42</v>
      </c>
      <c r="B399" s="27" t="s">
        <v>1240</v>
      </c>
      <c r="C399" s="27" t="s">
        <v>1241</v>
      </c>
      <c r="D399" s="27" t="s">
        <v>1242</v>
      </c>
      <c r="E399" s="28" t="s">
        <v>46</v>
      </c>
      <c r="F399" s="29" t="s">
        <v>46</v>
      </c>
      <c r="G399" s="30" t="s">
        <v>46</v>
      </c>
      <c r="H399" s="31"/>
      <c r="I399" s="31" t="s">
        <v>47</v>
      </c>
      <c r="J399" s="32" t="n">
        <v>1.0</v>
      </c>
      <c r="K399" s="33" t="n">
        <f>93100</f>
        <v>93100.0</v>
      </c>
      <c r="L399" s="34" t="s">
        <v>48</v>
      </c>
      <c r="M399" s="33" t="n">
        <f>94200</f>
        <v>94200.0</v>
      </c>
      <c r="N399" s="34" t="s">
        <v>48</v>
      </c>
      <c r="O399" s="33" t="n">
        <f>88300</f>
        <v>88300.0</v>
      </c>
      <c r="P399" s="34" t="s">
        <v>50</v>
      </c>
      <c r="Q399" s="33" t="n">
        <f>88700</f>
        <v>88700.0</v>
      </c>
      <c r="R399" s="34" t="s">
        <v>50</v>
      </c>
      <c r="S399" s="35" t="n">
        <f>92104.76</f>
        <v>92104.76</v>
      </c>
      <c r="T399" s="32" t="n">
        <f>215984</f>
        <v>215984.0</v>
      </c>
      <c r="U399" s="32" t="n">
        <f>44507</f>
        <v>44507.0</v>
      </c>
      <c r="V399" s="32" t="n">
        <f>19937231236</f>
        <v>1.9937231236E10</v>
      </c>
      <c r="W399" s="32" t="n">
        <f>4118561636</f>
        <v>4.118561636E9</v>
      </c>
      <c r="X399" s="36" t="n">
        <f>21</f>
        <v>21.0</v>
      </c>
    </row>
    <row r="400">
      <c r="A400" s="27" t="s">
        <v>42</v>
      </c>
      <c r="B400" s="27" t="s">
        <v>1243</v>
      </c>
      <c r="C400" s="27" t="s">
        <v>1244</v>
      </c>
      <c r="D400" s="27" t="s">
        <v>1245</v>
      </c>
      <c r="E400" s="28" t="s">
        <v>46</v>
      </c>
      <c r="F400" s="29" t="s">
        <v>46</v>
      </c>
      <c r="G400" s="30" t="s">
        <v>46</v>
      </c>
      <c r="H400" s="31"/>
      <c r="I400" s="31" t="s">
        <v>47</v>
      </c>
      <c r="J400" s="32" t="n">
        <v>1.0</v>
      </c>
      <c r="K400" s="33" t="n">
        <f>94100</f>
        <v>94100.0</v>
      </c>
      <c r="L400" s="34" t="s">
        <v>48</v>
      </c>
      <c r="M400" s="33" t="n">
        <f>94900</f>
        <v>94900.0</v>
      </c>
      <c r="N400" s="34" t="s">
        <v>48</v>
      </c>
      <c r="O400" s="33" t="n">
        <f>89000</f>
        <v>89000.0</v>
      </c>
      <c r="P400" s="34" t="s">
        <v>49</v>
      </c>
      <c r="Q400" s="33" t="n">
        <f>89600</f>
        <v>89600.0</v>
      </c>
      <c r="R400" s="34" t="s">
        <v>50</v>
      </c>
      <c r="S400" s="35" t="n">
        <f>91738.1</f>
        <v>91738.1</v>
      </c>
      <c r="T400" s="32" t="n">
        <f>298035</f>
        <v>298035.0</v>
      </c>
      <c r="U400" s="32" t="n">
        <f>65816</f>
        <v>65816.0</v>
      </c>
      <c r="V400" s="32" t="n">
        <f>27283473752</f>
        <v>2.7283473752E10</v>
      </c>
      <c r="W400" s="32" t="n">
        <f>6015506552</f>
        <v>6.015506552E9</v>
      </c>
      <c r="X400" s="36" t="n">
        <f>21</f>
        <v>21.0</v>
      </c>
    </row>
    <row r="401">
      <c r="A401" s="27" t="s">
        <v>42</v>
      </c>
      <c r="B401" s="27" t="s">
        <v>1246</v>
      </c>
      <c r="C401" s="27" t="s">
        <v>1247</v>
      </c>
      <c r="D401" s="27" t="s">
        <v>1248</v>
      </c>
      <c r="E401" s="28" t="s">
        <v>46</v>
      </c>
      <c r="F401" s="29" t="s">
        <v>46</v>
      </c>
      <c r="G401" s="30" t="s">
        <v>46</v>
      </c>
      <c r="H401" s="31"/>
      <c r="I401" s="31" t="s">
        <v>416</v>
      </c>
      <c r="J401" s="32" t="n">
        <v>1.0</v>
      </c>
      <c r="K401" s="33" t="n">
        <f>148900</f>
        <v>148900.0</v>
      </c>
      <c r="L401" s="34" t="s">
        <v>48</v>
      </c>
      <c r="M401" s="33" t="n">
        <f>149400</f>
        <v>149400.0</v>
      </c>
      <c r="N401" s="34" t="s">
        <v>48</v>
      </c>
      <c r="O401" s="33" t="n">
        <f>138400</f>
        <v>138400.0</v>
      </c>
      <c r="P401" s="34" t="s">
        <v>57</v>
      </c>
      <c r="Q401" s="33" t="n">
        <f>138500</f>
        <v>138500.0</v>
      </c>
      <c r="R401" s="34" t="s">
        <v>50</v>
      </c>
      <c r="S401" s="35" t="n">
        <f>143433.33</f>
        <v>143433.33</v>
      </c>
      <c r="T401" s="32" t="n">
        <f>23976</f>
        <v>23976.0</v>
      </c>
      <c r="U401" s="32" t="n">
        <f>3365</f>
        <v>3365.0</v>
      </c>
      <c r="V401" s="32" t="n">
        <f>3439691970</f>
        <v>3.43969197E9</v>
      </c>
      <c r="W401" s="32" t="n">
        <f>481945770</f>
        <v>4.8194577E8</v>
      </c>
      <c r="X401" s="36" t="n">
        <f>21</f>
        <v>21.0</v>
      </c>
    </row>
    <row r="402">
      <c r="A402" s="27" t="s">
        <v>42</v>
      </c>
      <c r="B402" s="27" t="s">
        <v>1249</v>
      </c>
      <c r="C402" s="27" t="s">
        <v>1250</v>
      </c>
      <c r="D402" s="27" t="s">
        <v>1251</v>
      </c>
      <c r="E402" s="28" t="s">
        <v>46</v>
      </c>
      <c r="F402" s="29" t="s">
        <v>46</v>
      </c>
      <c r="G402" s="30" t="s">
        <v>46</v>
      </c>
      <c r="H402" s="31"/>
      <c r="I402" s="31" t="s">
        <v>47</v>
      </c>
      <c r="J402" s="32" t="n">
        <v>1.0</v>
      </c>
      <c r="K402" s="33" t="n">
        <f>128000</f>
        <v>128000.0</v>
      </c>
      <c r="L402" s="34" t="s">
        <v>48</v>
      </c>
      <c r="M402" s="33" t="n">
        <f>130300</f>
        <v>130300.0</v>
      </c>
      <c r="N402" s="34" t="s">
        <v>48</v>
      </c>
      <c r="O402" s="33" t="n">
        <f>116100</f>
        <v>116100.0</v>
      </c>
      <c r="P402" s="34" t="s">
        <v>50</v>
      </c>
      <c r="Q402" s="33" t="n">
        <f>116100</f>
        <v>116100.0</v>
      </c>
      <c r="R402" s="34" t="s">
        <v>50</v>
      </c>
      <c r="S402" s="35" t="n">
        <f>123461.9</f>
        <v>123461.9</v>
      </c>
      <c r="T402" s="32" t="n">
        <f>23781</f>
        <v>23781.0</v>
      </c>
      <c r="U402" s="32" t="n">
        <f>3364</f>
        <v>3364.0</v>
      </c>
      <c r="V402" s="32" t="n">
        <f>2929687603</f>
        <v>2.929687603E9</v>
      </c>
      <c r="W402" s="32" t="n">
        <f>413885203</f>
        <v>4.13885203E8</v>
      </c>
      <c r="X402" s="36" t="n">
        <f>21</f>
        <v>21.0</v>
      </c>
    </row>
    <row r="403">
      <c r="A403" s="27" t="s">
        <v>42</v>
      </c>
      <c r="B403" s="27" t="s">
        <v>1252</v>
      </c>
      <c r="C403" s="27" t="s">
        <v>1253</v>
      </c>
      <c r="D403" s="27" t="s">
        <v>1254</v>
      </c>
      <c r="E403" s="28" t="s">
        <v>46</v>
      </c>
      <c r="F403" s="29" t="s">
        <v>46</v>
      </c>
      <c r="G403" s="30" t="s">
        <v>46</v>
      </c>
      <c r="H403" s="31"/>
      <c r="I403" s="31" t="s">
        <v>47</v>
      </c>
      <c r="J403" s="32" t="n">
        <v>1.0</v>
      </c>
      <c r="K403" s="33" t="n">
        <f>115000</f>
        <v>115000.0</v>
      </c>
      <c r="L403" s="34" t="s">
        <v>48</v>
      </c>
      <c r="M403" s="33" t="n">
        <f>115800</f>
        <v>115800.0</v>
      </c>
      <c r="N403" s="34" t="s">
        <v>64</v>
      </c>
      <c r="O403" s="33" t="n">
        <f>104700</f>
        <v>104700.0</v>
      </c>
      <c r="P403" s="34" t="s">
        <v>57</v>
      </c>
      <c r="Q403" s="33" t="n">
        <f>105000</f>
        <v>105000.0</v>
      </c>
      <c r="R403" s="34" t="s">
        <v>50</v>
      </c>
      <c r="S403" s="35" t="n">
        <f>111228.57</f>
        <v>111228.57</v>
      </c>
      <c r="T403" s="32" t="n">
        <f>24926</f>
        <v>24926.0</v>
      </c>
      <c r="U403" s="32" t="n">
        <f>3668</f>
        <v>3668.0</v>
      </c>
      <c r="V403" s="32" t="n">
        <f>2760863264</f>
        <v>2.760863264E9</v>
      </c>
      <c r="W403" s="32" t="n">
        <f>405351564</f>
        <v>4.05351564E8</v>
      </c>
      <c r="X403" s="36" t="n">
        <f>21</f>
        <v>21.0</v>
      </c>
    </row>
    <row r="404">
      <c r="A404" s="27" t="s">
        <v>42</v>
      </c>
      <c r="B404" s="27" t="s">
        <v>1255</v>
      </c>
      <c r="C404" s="27" t="s">
        <v>1256</v>
      </c>
      <c r="D404" s="27" t="s">
        <v>1257</v>
      </c>
      <c r="E404" s="28" t="s">
        <v>46</v>
      </c>
      <c r="F404" s="29" t="s">
        <v>46</v>
      </c>
      <c r="G404" s="30" t="s">
        <v>46</v>
      </c>
      <c r="H404" s="31"/>
      <c r="I404" s="31" t="s">
        <v>416</v>
      </c>
      <c r="J404" s="32" t="n">
        <v>1.0</v>
      </c>
      <c r="K404" s="33" t="n">
        <f>15350</f>
        <v>15350.0</v>
      </c>
      <c r="L404" s="34" t="s">
        <v>48</v>
      </c>
      <c r="M404" s="33" t="n">
        <f>15430</f>
        <v>15430.0</v>
      </c>
      <c r="N404" s="34" t="s">
        <v>48</v>
      </c>
      <c r="O404" s="33" t="n">
        <f>13505</f>
        <v>13505.0</v>
      </c>
      <c r="P404" s="34" t="s">
        <v>49</v>
      </c>
      <c r="Q404" s="33" t="n">
        <f>14000</f>
        <v>14000.0</v>
      </c>
      <c r="R404" s="34" t="s">
        <v>50</v>
      </c>
      <c r="S404" s="35" t="n">
        <f>14292.38</f>
        <v>14292.38</v>
      </c>
      <c r="T404" s="32" t="n">
        <f>30299</f>
        <v>30299.0</v>
      </c>
      <c r="U404" s="32" t="str">
        <f>"－"</f>
        <v>－</v>
      </c>
      <c r="V404" s="32" t="n">
        <f>435215365</f>
        <v>4.35215365E8</v>
      </c>
      <c r="W404" s="32" t="str">
        <f>"－"</f>
        <v>－</v>
      </c>
      <c r="X404" s="36" t="n">
        <f>21</f>
        <v>21.0</v>
      </c>
    </row>
    <row r="405">
      <c r="A405" s="27" t="s">
        <v>42</v>
      </c>
      <c r="B405" s="27" t="s">
        <v>1258</v>
      </c>
      <c r="C405" s="27" t="s">
        <v>1259</v>
      </c>
      <c r="D405" s="27" t="s">
        <v>1260</v>
      </c>
      <c r="E405" s="28" t="s">
        <v>46</v>
      </c>
      <c r="F405" s="29" t="s">
        <v>46</v>
      </c>
      <c r="G405" s="30" t="s">
        <v>46</v>
      </c>
      <c r="H405" s="31"/>
      <c r="I405" s="31" t="s">
        <v>47</v>
      </c>
      <c r="J405" s="32" t="n">
        <v>1.0</v>
      </c>
      <c r="K405" s="33" t="n">
        <f>166100</f>
        <v>166100.0</v>
      </c>
      <c r="L405" s="34" t="s">
        <v>48</v>
      </c>
      <c r="M405" s="33" t="n">
        <f>167600</f>
        <v>167600.0</v>
      </c>
      <c r="N405" s="34" t="s">
        <v>48</v>
      </c>
      <c r="O405" s="33" t="n">
        <f>156000</f>
        <v>156000.0</v>
      </c>
      <c r="P405" s="34" t="s">
        <v>50</v>
      </c>
      <c r="Q405" s="33" t="n">
        <f>156200</f>
        <v>156200.0</v>
      </c>
      <c r="R405" s="34" t="s">
        <v>50</v>
      </c>
      <c r="S405" s="35" t="n">
        <f>162728.57</f>
        <v>162728.57</v>
      </c>
      <c r="T405" s="32" t="n">
        <f>342885</f>
        <v>342885.0</v>
      </c>
      <c r="U405" s="32" t="n">
        <f>133869</f>
        <v>133869.0</v>
      </c>
      <c r="V405" s="32" t="n">
        <f>55891645480</f>
        <v>5.589164548E10</v>
      </c>
      <c r="W405" s="32" t="n">
        <f>21923873580</f>
        <v>2.192387358E10</v>
      </c>
      <c r="X405" s="36" t="n">
        <f>21</f>
        <v>21.0</v>
      </c>
    </row>
    <row r="406">
      <c r="A406" s="27" t="s">
        <v>42</v>
      </c>
      <c r="B406" s="27" t="s">
        <v>1261</v>
      </c>
      <c r="C406" s="27" t="s">
        <v>1262</v>
      </c>
      <c r="D406" s="27" t="s">
        <v>1263</v>
      </c>
      <c r="E406" s="28" t="s">
        <v>46</v>
      </c>
      <c r="F406" s="29" t="s">
        <v>46</v>
      </c>
      <c r="G406" s="30" t="s">
        <v>46</v>
      </c>
      <c r="H406" s="31"/>
      <c r="I406" s="31" t="s">
        <v>416</v>
      </c>
      <c r="J406" s="32" t="n">
        <v>1.0</v>
      </c>
      <c r="K406" s="33" t="n">
        <f>122200</f>
        <v>122200.0</v>
      </c>
      <c r="L406" s="34" t="s">
        <v>48</v>
      </c>
      <c r="M406" s="33" t="n">
        <f>123800</f>
        <v>123800.0</v>
      </c>
      <c r="N406" s="34" t="s">
        <v>48</v>
      </c>
      <c r="O406" s="33" t="n">
        <f>109100</f>
        <v>109100.0</v>
      </c>
      <c r="P406" s="34" t="s">
        <v>50</v>
      </c>
      <c r="Q406" s="33" t="n">
        <f>109100</f>
        <v>109100.0</v>
      </c>
      <c r="R406" s="34" t="s">
        <v>50</v>
      </c>
      <c r="S406" s="35" t="n">
        <f>117133.33</f>
        <v>117133.33</v>
      </c>
      <c r="T406" s="32" t="n">
        <f>47551</f>
        <v>47551.0</v>
      </c>
      <c r="U406" s="32" t="n">
        <f>3266</f>
        <v>3266.0</v>
      </c>
      <c r="V406" s="32" t="n">
        <f>5543841200</f>
        <v>5.5438412E9</v>
      </c>
      <c r="W406" s="32" t="n">
        <f>381020900</f>
        <v>3.810209E8</v>
      </c>
      <c r="X406" s="36" t="n">
        <f>21</f>
        <v>21.0</v>
      </c>
    </row>
    <row r="407">
      <c r="A407" s="27" t="s">
        <v>42</v>
      </c>
      <c r="B407" s="27" t="s">
        <v>1264</v>
      </c>
      <c r="C407" s="27" t="s">
        <v>1265</v>
      </c>
      <c r="D407" s="27" t="s">
        <v>1266</v>
      </c>
      <c r="E407" s="28" t="s">
        <v>46</v>
      </c>
      <c r="F407" s="29" t="s">
        <v>46</v>
      </c>
      <c r="G407" s="30" t="s">
        <v>46</v>
      </c>
      <c r="H407" s="31"/>
      <c r="I407" s="31" t="s">
        <v>47</v>
      </c>
      <c r="J407" s="32" t="n">
        <v>1.0</v>
      </c>
      <c r="K407" s="33" t="n">
        <f>153200</f>
        <v>153200.0</v>
      </c>
      <c r="L407" s="34" t="s">
        <v>48</v>
      </c>
      <c r="M407" s="33" t="n">
        <f>158900</f>
        <v>158900.0</v>
      </c>
      <c r="N407" s="34" t="s">
        <v>107</v>
      </c>
      <c r="O407" s="33" t="n">
        <f>148200</f>
        <v>148200.0</v>
      </c>
      <c r="P407" s="34" t="s">
        <v>57</v>
      </c>
      <c r="Q407" s="33" t="n">
        <f>148300</f>
        <v>148300.0</v>
      </c>
      <c r="R407" s="34" t="s">
        <v>50</v>
      </c>
      <c r="S407" s="35" t="n">
        <f>155195.24</f>
        <v>155195.24</v>
      </c>
      <c r="T407" s="32" t="n">
        <f>211100</f>
        <v>211100.0</v>
      </c>
      <c r="U407" s="32" t="n">
        <f>64490</f>
        <v>64490.0</v>
      </c>
      <c r="V407" s="32" t="n">
        <f>32594791133</f>
        <v>3.2594791133E10</v>
      </c>
      <c r="W407" s="32" t="n">
        <f>9968317033</f>
        <v>9.968317033E9</v>
      </c>
      <c r="X407" s="36" t="n">
        <f>21</f>
        <v>21.0</v>
      </c>
    </row>
    <row r="408">
      <c r="A408" s="27" t="s">
        <v>42</v>
      </c>
      <c r="B408" s="27" t="s">
        <v>1267</v>
      </c>
      <c r="C408" s="27" t="s">
        <v>1268</v>
      </c>
      <c r="D408" s="27" t="s">
        <v>1269</v>
      </c>
      <c r="E408" s="28" t="s">
        <v>46</v>
      </c>
      <c r="F408" s="29" t="s">
        <v>46</v>
      </c>
      <c r="G408" s="30" t="s">
        <v>46</v>
      </c>
      <c r="H408" s="31"/>
      <c r="I408" s="31" t="s">
        <v>47</v>
      </c>
      <c r="J408" s="32" t="n">
        <v>1.0</v>
      </c>
      <c r="K408" s="33" t="n">
        <f>60300</f>
        <v>60300.0</v>
      </c>
      <c r="L408" s="34" t="s">
        <v>48</v>
      </c>
      <c r="M408" s="33" t="n">
        <f>60600</f>
        <v>60600.0</v>
      </c>
      <c r="N408" s="34" t="s">
        <v>48</v>
      </c>
      <c r="O408" s="33" t="n">
        <f>54700</f>
        <v>54700.0</v>
      </c>
      <c r="P408" s="34" t="s">
        <v>57</v>
      </c>
      <c r="Q408" s="33" t="n">
        <f>55100</f>
        <v>55100.0</v>
      </c>
      <c r="R408" s="34" t="s">
        <v>50</v>
      </c>
      <c r="S408" s="35" t="n">
        <f>58338.1</f>
        <v>58338.1</v>
      </c>
      <c r="T408" s="32" t="n">
        <f>203993</f>
        <v>203993.0</v>
      </c>
      <c r="U408" s="32" t="n">
        <f>47088</f>
        <v>47088.0</v>
      </c>
      <c r="V408" s="32" t="n">
        <f>11823414506</f>
        <v>1.1823414506E10</v>
      </c>
      <c r="W408" s="32" t="n">
        <f>2719746406</f>
        <v>2.719746406E9</v>
      </c>
      <c r="X408" s="36" t="n">
        <f>21</f>
        <v>21.0</v>
      </c>
    </row>
    <row r="409">
      <c r="A409" s="27" t="s">
        <v>42</v>
      </c>
      <c r="B409" s="27" t="s">
        <v>1270</v>
      </c>
      <c r="C409" s="27" t="s">
        <v>1271</v>
      </c>
      <c r="D409" s="27" t="s">
        <v>1272</v>
      </c>
      <c r="E409" s="28" t="s">
        <v>46</v>
      </c>
      <c r="F409" s="29" t="s">
        <v>46</v>
      </c>
      <c r="G409" s="30" t="s">
        <v>46</v>
      </c>
      <c r="H409" s="31"/>
      <c r="I409" s="31" t="s">
        <v>47</v>
      </c>
      <c r="J409" s="32" t="n">
        <v>1.0</v>
      </c>
      <c r="K409" s="33" t="n">
        <f>3460</f>
        <v>3460.0</v>
      </c>
      <c r="L409" s="34" t="s">
        <v>48</v>
      </c>
      <c r="M409" s="33" t="n">
        <f>3620</f>
        <v>3620.0</v>
      </c>
      <c r="N409" s="34" t="s">
        <v>276</v>
      </c>
      <c r="O409" s="33" t="n">
        <f>3206</f>
        <v>3206.0</v>
      </c>
      <c r="P409" s="34" t="s">
        <v>50</v>
      </c>
      <c r="Q409" s="33" t="n">
        <f>3265</f>
        <v>3265.0</v>
      </c>
      <c r="R409" s="34" t="s">
        <v>50</v>
      </c>
      <c r="S409" s="35" t="n">
        <f>3485.62</f>
        <v>3485.62</v>
      </c>
      <c r="T409" s="32" t="n">
        <f>187593</f>
        <v>187593.0</v>
      </c>
      <c r="U409" s="32" t="n">
        <f>47</f>
        <v>47.0</v>
      </c>
      <c r="V409" s="32" t="n">
        <f>651522064</f>
        <v>6.51522064E8</v>
      </c>
      <c r="W409" s="32" t="n">
        <f>164933</f>
        <v>164933.0</v>
      </c>
      <c r="X409" s="36" t="n">
        <f>21</f>
        <v>21.0</v>
      </c>
    </row>
    <row r="410">
      <c r="A410" s="27" t="s">
        <v>42</v>
      </c>
      <c r="B410" s="27" t="s">
        <v>1273</v>
      </c>
      <c r="C410" s="27" t="s">
        <v>1274</v>
      </c>
      <c r="D410" s="27" t="s">
        <v>1275</v>
      </c>
      <c r="E410" s="28" t="s">
        <v>46</v>
      </c>
      <c r="F410" s="29" t="s">
        <v>46</v>
      </c>
      <c r="G410" s="30" t="s">
        <v>46</v>
      </c>
      <c r="H410" s="31"/>
      <c r="I410" s="31" t="s">
        <v>416</v>
      </c>
      <c r="J410" s="32" t="n">
        <v>1.0</v>
      </c>
      <c r="K410" s="33" t="n">
        <f>107900</f>
        <v>107900.0</v>
      </c>
      <c r="L410" s="34" t="s">
        <v>48</v>
      </c>
      <c r="M410" s="33" t="n">
        <f>111500</f>
        <v>111500.0</v>
      </c>
      <c r="N410" s="34" t="s">
        <v>56</v>
      </c>
      <c r="O410" s="33" t="n">
        <f>104300</f>
        <v>104300.0</v>
      </c>
      <c r="P410" s="34" t="s">
        <v>181</v>
      </c>
      <c r="Q410" s="33" t="n">
        <f>107900</f>
        <v>107900.0</v>
      </c>
      <c r="R410" s="34" t="s">
        <v>50</v>
      </c>
      <c r="S410" s="35" t="n">
        <f>108304.76</f>
        <v>108304.76</v>
      </c>
      <c r="T410" s="32" t="n">
        <f>25403</f>
        <v>25403.0</v>
      </c>
      <c r="U410" s="32" t="n">
        <f>2408</f>
        <v>2408.0</v>
      </c>
      <c r="V410" s="32" t="n">
        <f>2745371044</f>
        <v>2.745371044E9</v>
      </c>
      <c r="W410" s="32" t="n">
        <f>260329844</f>
        <v>2.60329844E8</v>
      </c>
      <c r="X410" s="36" t="n">
        <f>21</f>
        <v>21.0</v>
      </c>
    </row>
    <row r="411">
      <c r="A411" s="27" t="s">
        <v>42</v>
      </c>
      <c r="B411" s="27" t="s">
        <v>1276</v>
      </c>
      <c r="C411" s="27" t="s">
        <v>1277</v>
      </c>
      <c r="D411" s="27" t="s">
        <v>1278</v>
      </c>
      <c r="E411" s="28" t="s">
        <v>46</v>
      </c>
      <c r="F411" s="29" t="s">
        <v>46</v>
      </c>
      <c r="G411" s="30" t="s">
        <v>46</v>
      </c>
      <c r="H411" s="31"/>
      <c r="I411" s="31" t="s">
        <v>47</v>
      </c>
      <c r="J411" s="32" t="n">
        <v>1.0</v>
      </c>
      <c r="K411" s="33" t="n">
        <f>117200</f>
        <v>117200.0</v>
      </c>
      <c r="L411" s="34" t="s">
        <v>48</v>
      </c>
      <c r="M411" s="33" t="n">
        <f>121300</f>
        <v>121300.0</v>
      </c>
      <c r="N411" s="34" t="s">
        <v>238</v>
      </c>
      <c r="O411" s="33" t="n">
        <f>112200</f>
        <v>112200.0</v>
      </c>
      <c r="P411" s="34" t="s">
        <v>50</v>
      </c>
      <c r="Q411" s="33" t="n">
        <f>112600</f>
        <v>112600.0</v>
      </c>
      <c r="R411" s="34" t="s">
        <v>50</v>
      </c>
      <c r="S411" s="35" t="n">
        <f>117652.38</f>
        <v>117652.38</v>
      </c>
      <c r="T411" s="32" t="n">
        <f>422290</f>
        <v>422290.0</v>
      </c>
      <c r="U411" s="32" t="n">
        <f>78707</f>
        <v>78707.0</v>
      </c>
      <c r="V411" s="32" t="n">
        <f>49756517697</f>
        <v>4.9756517697E10</v>
      </c>
      <c r="W411" s="32" t="n">
        <f>9279961397</f>
        <v>9.279961397E9</v>
      </c>
      <c r="X411" s="36" t="n">
        <f>21</f>
        <v>21.0</v>
      </c>
    </row>
    <row r="412">
      <c r="A412" s="27" t="s">
        <v>42</v>
      </c>
      <c r="B412" s="27" t="s">
        <v>1279</v>
      </c>
      <c r="C412" s="27" t="s">
        <v>1280</v>
      </c>
      <c r="D412" s="27" t="s">
        <v>1281</v>
      </c>
      <c r="E412" s="28" t="s">
        <v>46</v>
      </c>
      <c r="F412" s="29" t="s">
        <v>46</v>
      </c>
      <c r="G412" s="30" t="s">
        <v>46</v>
      </c>
      <c r="H412" s="31"/>
      <c r="I412" s="31" t="s">
        <v>416</v>
      </c>
      <c r="J412" s="32" t="n">
        <v>1.0</v>
      </c>
      <c r="K412" s="33" t="n">
        <f>75200</f>
        <v>75200.0</v>
      </c>
      <c r="L412" s="34" t="s">
        <v>48</v>
      </c>
      <c r="M412" s="33" t="n">
        <f>75300</f>
        <v>75300.0</v>
      </c>
      <c r="N412" s="34" t="s">
        <v>48</v>
      </c>
      <c r="O412" s="33" t="n">
        <f>68400</f>
        <v>68400.0</v>
      </c>
      <c r="P412" s="34" t="s">
        <v>57</v>
      </c>
      <c r="Q412" s="33" t="n">
        <f>68400</f>
        <v>68400.0</v>
      </c>
      <c r="R412" s="34" t="s">
        <v>50</v>
      </c>
      <c r="S412" s="35" t="n">
        <f>71852.38</f>
        <v>71852.38</v>
      </c>
      <c r="T412" s="32" t="n">
        <f>52672</f>
        <v>52672.0</v>
      </c>
      <c r="U412" s="32" t="n">
        <f>4502</f>
        <v>4502.0</v>
      </c>
      <c r="V412" s="32" t="n">
        <f>3786423545</f>
        <v>3.786423545E9</v>
      </c>
      <c r="W412" s="32" t="n">
        <f>322977745</f>
        <v>3.22977745E8</v>
      </c>
      <c r="X412" s="36" t="n">
        <f>21</f>
        <v>21.0</v>
      </c>
    </row>
    <row r="413">
      <c r="A413" s="27" t="s">
        <v>42</v>
      </c>
      <c r="B413" s="27" t="s">
        <v>1282</v>
      </c>
      <c r="C413" s="27" t="s">
        <v>1283</v>
      </c>
      <c r="D413" s="27" t="s">
        <v>1284</v>
      </c>
      <c r="E413" s="28" t="s">
        <v>46</v>
      </c>
      <c r="F413" s="29" t="s">
        <v>46</v>
      </c>
      <c r="G413" s="30" t="s">
        <v>46</v>
      </c>
      <c r="H413" s="31"/>
      <c r="I413" s="31" t="s">
        <v>47</v>
      </c>
      <c r="J413" s="32" t="n">
        <v>1.0</v>
      </c>
      <c r="K413" s="33" t="n">
        <f>50600</f>
        <v>50600.0</v>
      </c>
      <c r="L413" s="34" t="s">
        <v>48</v>
      </c>
      <c r="M413" s="33" t="n">
        <f>51200</f>
        <v>51200.0</v>
      </c>
      <c r="N413" s="34" t="s">
        <v>48</v>
      </c>
      <c r="O413" s="33" t="n">
        <f>47600</f>
        <v>47600.0</v>
      </c>
      <c r="P413" s="34" t="s">
        <v>50</v>
      </c>
      <c r="Q413" s="33" t="n">
        <f>47600</f>
        <v>47600.0</v>
      </c>
      <c r="R413" s="34" t="s">
        <v>50</v>
      </c>
      <c r="S413" s="35" t="n">
        <f>49450</f>
        <v>49450.0</v>
      </c>
      <c r="T413" s="32" t="n">
        <f>109837</f>
        <v>109837.0</v>
      </c>
      <c r="U413" s="32" t="n">
        <f>17714</f>
        <v>17714.0</v>
      </c>
      <c r="V413" s="32" t="n">
        <f>5421367310</f>
        <v>5.42136731E9</v>
      </c>
      <c r="W413" s="32" t="n">
        <f>874758510</f>
        <v>8.7475851E8</v>
      </c>
      <c r="X413" s="36" t="n">
        <f>21</f>
        <v>21.0</v>
      </c>
    </row>
    <row r="414">
      <c r="A414" s="27" t="s">
        <v>42</v>
      </c>
      <c r="B414" s="27" t="s">
        <v>1285</v>
      </c>
      <c r="C414" s="27" t="s">
        <v>1286</v>
      </c>
      <c r="D414" s="27" t="s">
        <v>1287</v>
      </c>
      <c r="E414" s="28" t="s">
        <v>46</v>
      </c>
      <c r="F414" s="29" t="s">
        <v>46</v>
      </c>
      <c r="G414" s="30" t="s">
        <v>46</v>
      </c>
      <c r="H414" s="31"/>
      <c r="I414" s="31" t="s">
        <v>47</v>
      </c>
      <c r="J414" s="32" t="n">
        <v>1.0</v>
      </c>
      <c r="K414" s="33" t="n">
        <f>129700</f>
        <v>129700.0</v>
      </c>
      <c r="L414" s="34" t="s">
        <v>48</v>
      </c>
      <c r="M414" s="33" t="n">
        <f>130500</f>
        <v>130500.0</v>
      </c>
      <c r="N414" s="34" t="s">
        <v>48</v>
      </c>
      <c r="O414" s="33" t="n">
        <f>124100</f>
        <v>124100.0</v>
      </c>
      <c r="P414" s="34" t="s">
        <v>50</v>
      </c>
      <c r="Q414" s="33" t="n">
        <f>124300</f>
        <v>124300.0</v>
      </c>
      <c r="R414" s="34" t="s">
        <v>50</v>
      </c>
      <c r="S414" s="35" t="n">
        <f>128014.29</f>
        <v>128014.29</v>
      </c>
      <c r="T414" s="32" t="n">
        <f>113156</f>
        <v>113156.0</v>
      </c>
      <c r="U414" s="32" t="n">
        <f>34855</f>
        <v>34855.0</v>
      </c>
      <c r="V414" s="32" t="n">
        <f>14477808522</f>
        <v>1.4477808522E10</v>
      </c>
      <c r="W414" s="32" t="n">
        <f>4471517822</f>
        <v>4.471517822E9</v>
      </c>
      <c r="X414" s="36" t="n">
        <f>21</f>
        <v>21.0</v>
      </c>
    </row>
    <row r="415">
      <c r="A415" s="27" t="s">
        <v>42</v>
      </c>
      <c r="B415" s="27" t="s">
        <v>1288</v>
      </c>
      <c r="C415" s="27" t="s">
        <v>1289</v>
      </c>
      <c r="D415" s="27" t="s">
        <v>1290</v>
      </c>
      <c r="E415" s="28" t="s">
        <v>46</v>
      </c>
      <c r="F415" s="29" t="s">
        <v>46</v>
      </c>
      <c r="G415" s="30" t="s">
        <v>46</v>
      </c>
      <c r="H415" s="31"/>
      <c r="I415" s="31" t="s">
        <v>47</v>
      </c>
      <c r="J415" s="32" t="n">
        <v>1.0</v>
      </c>
      <c r="K415" s="33" t="n">
        <f>164300</f>
        <v>164300.0</v>
      </c>
      <c r="L415" s="34" t="s">
        <v>48</v>
      </c>
      <c r="M415" s="33" t="n">
        <f>167600</f>
        <v>167600.0</v>
      </c>
      <c r="N415" s="34" t="s">
        <v>238</v>
      </c>
      <c r="O415" s="33" t="n">
        <f>158500</f>
        <v>158500.0</v>
      </c>
      <c r="P415" s="34" t="s">
        <v>50</v>
      </c>
      <c r="Q415" s="33" t="n">
        <f>159000</f>
        <v>159000.0</v>
      </c>
      <c r="R415" s="34" t="s">
        <v>50</v>
      </c>
      <c r="S415" s="35" t="n">
        <f>164109.52</f>
        <v>164109.52</v>
      </c>
      <c r="T415" s="32" t="n">
        <f>43243</f>
        <v>43243.0</v>
      </c>
      <c r="U415" s="32" t="n">
        <f>10139</f>
        <v>10139.0</v>
      </c>
      <c r="V415" s="32" t="n">
        <f>7083846464</f>
        <v>7.083846464E9</v>
      </c>
      <c r="W415" s="32" t="n">
        <f>1661709164</f>
        <v>1.661709164E9</v>
      </c>
      <c r="X415" s="36" t="n">
        <f>21</f>
        <v>21.0</v>
      </c>
    </row>
    <row r="416">
      <c r="A416" s="27" t="s">
        <v>42</v>
      </c>
      <c r="B416" s="27" t="s">
        <v>1291</v>
      </c>
      <c r="C416" s="27" t="s">
        <v>1292</v>
      </c>
      <c r="D416" s="27" t="s">
        <v>1293</v>
      </c>
      <c r="E416" s="28" t="s">
        <v>46</v>
      </c>
      <c r="F416" s="29" t="s">
        <v>46</v>
      </c>
      <c r="G416" s="30" t="s">
        <v>46</v>
      </c>
      <c r="H416" s="31"/>
      <c r="I416" s="31" t="s">
        <v>416</v>
      </c>
      <c r="J416" s="32" t="n">
        <v>1.0</v>
      </c>
      <c r="K416" s="33" t="n">
        <f>114400</f>
        <v>114400.0</v>
      </c>
      <c r="L416" s="34" t="s">
        <v>48</v>
      </c>
      <c r="M416" s="33" t="n">
        <f>114400</f>
        <v>114400.0</v>
      </c>
      <c r="N416" s="34" t="s">
        <v>48</v>
      </c>
      <c r="O416" s="33" t="n">
        <f>109200</f>
        <v>109200.0</v>
      </c>
      <c r="P416" s="34" t="s">
        <v>50</v>
      </c>
      <c r="Q416" s="33" t="n">
        <f>109600</f>
        <v>109600.0</v>
      </c>
      <c r="R416" s="34" t="s">
        <v>50</v>
      </c>
      <c r="S416" s="35" t="n">
        <f>111752.38</f>
        <v>111752.38</v>
      </c>
      <c r="T416" s="32" t="n">
        <f>35320</f>
        <v>35320.0</v>
      </c>
      <c r="U416" s="32" t="n">
        <f>3248</f>
        <v>3248.0</v>
      </c>
      <c r="V416" s="32" t="n">
        <f>3939959106</f>
        <v>3.939959106E9</v>
      </c>
      <c r="W416" s="32" t="n">
        <f>362407906</f>
        <v>3.62407906E8</v>
      </c>
      <c r="X416" s="36" t="n">
        <f>21</f>
        <v>21.0</v>
      </c>
    </row>
    <row r="417">
      <c r="A417" s="27" t="s">
        <v>42</v>
      </c>
      <c r="B417" s="27" t="s">
        <v>1294</v>
      </c>
      <c r="C417" s="27" t="s">
        <v>1295</v>
      </c>
      <c r="D417" s="27" t="s">
        <v>1296</v>
      </c>
      <c r="E417" s="28" t="s">
        <v>46</v>
      </c>
      <c r="F417" s="29" t="s">
        <v>46</v>
      </c>
      <c r="G417" s="30" t="s">
        <v>46</v>
      </c>
      <c r="H417" s="31"/>
      <c r="I417" s="31" t="s">
        <v>47</v>
      </c>
      <c r="J417" s="32" t="n">
        <v>10.0</v>
      </c>
      <c r="K417" s="33" t="n">
        <f>286.6</f>
        <v>286.6</v>
      </c>
      <c r="L417" s="34" t="s">
        <v>48</v>
      </c>
      <c r="M417" s="33" t="n">
        <f>287.4</f>
        <v>287.4</v>
      </c>
      <c r="N417" s="34" t="s">
        <v>48</v>
      </c>
      <c r="O417" s="33" t="n">
        <f>253.1</f>
        <v>253.1</v>
      </c>
      <c r="P417" s="34" t="s">
        <v>49</v>
      </c>
      <c r="Q417" s="33" t="n">
        <f>264.5</f>
        <v>264.5</v>
      </c>
      <c r="R417" s="34" t="s">
        <v>50</v>
      </c>
      <c r="S417" s="35" t="n">
        <f>268.3</f>
        <v>268.3</v>
      </c>
      <c r="T417" s="32" t="n">
        <f>2383740</f>
        <v>2383740.0</v>
      </c>
      <c r="U417" s="32" t="n">
        <f>330</f>
        <v>330.0</v>
      </c>
      <c r="V417" s="32" t="n">
        <f>639097884</f>
        <v>6.39097884E8</v>
      </c>
      <c r="W417" s="32" t="n">
        <f>84997</f>
        <v>84997.0</v>
      </c>
      <c r="X417" s="36" t="n">
        <f>21</f>
        <v>21.0</v>
      </c>
    </row>
    <row r="418">
      <c r="A418" s="27" t="s">
        <v>42</v>
      </c>
      <c r="B418" s="27" t="s">
        <v>1297</v>
      </c>
      <c r="C418" s="27" t="s">
        <v>1298</v>
      </c>
      <c r="D418" s="27" t="s">
        <v>1299</v>
      </c>
      <c r="E418" s="28" t="s">
        <v>46</v>
      </c>
      <c r="F418" s="29" t="s">
        <v>46</v>
      </c>
      <c r="G418" s="30" t="s">
        <v>46</v>
      </c>
      <c r="H418" s="31"/>
      <c r="I418" s="31" t="s">
        <v>47</v>
      </c>
      <c r="J418" s="32" t="n">
        <v>1.0</v>
      </c>
      <c r="K418" s="33" t="n">
        <f>89000</f>
        <v>89000.0</v>
      </c>
      <c r="L418" s="34" t="s">
        <v>48</v>
      </c>
      <c r="M418" s="33" t="n">
        <f>90900</f>
        <v>90900.0</v>
      </c>
      <c r="N418" s="34" t="s">
        <v>276</v>
      </c>
      <c r="O418" s="33" t="n">
        <f>86000</f>
        <v>86000.0</v>
      </c>
      <c r="P418" s="34" t="s">
        <v>57</v>
      </c>
      <c r="Q418" s="33" t="n">
        <f>86500</f>
        <v>86500.0</v>
      </c>
      <c r="R418" s="34" t="s">
        <v>50</v>
      </c>
      <c r="S418" s="35" t="n">
        <f>88790.48</f>
        <v>88790.48</v>
      </c>
      <c r="T418" s="32" t="n">
        <f>226017</f>
        <v>226017.0</v>
      </c>
      <c r="U418" s="32" t="n">
        <f>36410</f>
        <v>36410.0</v>
      </c>
      <c r="V418" s="32" t="n">
        <f>20097581808</f>
        <v>2.0097581808E10</v>
      </c>
      <c r="W418" s="32" t="n">
        <f>3254314808</f>
        <v>3.254314808E9</v>
      </c>
      <c r="X418" s="36" t="n">
        <f>21</f>
        <v>21.0</v>
      </c>
    </row>
    <row r="419">
      <c r="A419" s="27" t="s">
        <v>42</v>
      </c>
      <c r="B419" s="27" t="s">
        <v>1300</v>
      </c>
      <c r="C419" s="27" t="s">
        <v>1301</v>
      </c>
      <c r="D419" s="27" t="s">
        <v>1302</v>
      </c>
      <c r="E419" s="28" t="s">
        <v>46</v>
      </c>
      <c r="F419" s="29" t="s">
        <v>46</v>
      </c>
      <c r="G419" s="30" t="s">
        <v>46</v>
      </c>
      <c r="H419" s="31"/>
      <c r="I419" s="31" t="s">
        <v>47</v>
      </c>
      <c r="J419" s="32" t="n">
        <v>10.0</v>
      </c>
      <c r="K419" s="33" t="n">
        <f>765</f>
        <v>765.0</v>
      </c>
      <c r="L419" s="34" t="s">
        <v>48</v>
      </c>
      <c r="M419" s="33" t="n">
        <f>775.4</f>
        <v>775.4</v>
      </c>
      <c r="N419" s="34" t="s">
        <v>48</v>
      </c>
      <c r="O419" s="33" t="n">
        <f>666</f>
        <v>666.0</v>
      </c>
      <c r="P419" s="34" t="s">
        <v>49</v>
      </c>
      <c r="Q419" s="33" t="n">
        <f>674.4</f>
        <v>674.4</v>
      </c>
      <c r="R419" s="34" t="s">
        <v>50</v>
      </c>
      <c r="S419" s="35" t="n">
        <f>709.28</f>
        <v>709.28</v>
      </c>
      <c r="T419" s="32" t="n">
        <f>114930</f>
        <v>114930.0</v>
      </c>
      <c r="U419" s="32" t="str">
        <f>"－"</f>
        <v>－</v>
      </c>
      <c r="V419" s="32" t="n">
        <f>82218871</f>
        <v>8.2218871E7</v>
      </c>
      <c r="W419" s="32" t="str">
        <f>"－"</f>
        <v>－</v>
      </c>
      <c r="X419" s="36" t="n">
        <f>21</f>
        <v>21.0</v>
      </c>
    </row>
    <row r="420">
      <c r="A420" s="27" t="s">
        <v>42</v>
      </c>
      <c r="B420" s="27" t="s">
        <v>1303</v>
      </c>
      <c r="C420" s="27" t="s">
        <v>1304</v>
      </c>
      <c r="D420" s="27" t="s">
        <v>1305</v>
      </c>
      <c r="E420" s="28" t="s">
        <v>46</v>
      </c>
      <c r="F420" s="29" t="s">
        <v>46</v>
      </c>
      <c r="G420" s="30" t="s">
        <v>46</v>
      </c>
      <c r="H420" s="31"/>
      <c r="I420" s="31" t="s">
        <v>47</v>
      </c>
      <c r="J420" s="32" t="n">
        <v>1.0</v>
      </c>
      <c r="K420" s="33" t="n">
        <f>3168</f>
        <v>3168.0</v>
      </c>
      <c r="L420" s="34" t="s">
        <v>48</v>
      </c>
      <c r="M420" s="33" t="n">
        <f>3180</f>
        <v>3180.0</v>
      </c>
      <c r="N420" s="34" t="s">
        <v>48</v>
      </c>
      <c r="O420" s="33" t="n">
        <f>2761</f>
        <v>2761.0</v>
      </c>
      <c r="P420" s="34" t="s">
        <v>49</v>
      </c>
      <c r="Q420" s="33" t="n">
        <f>2859</f>
        <v>2859.0</v>
      </c>
      <c r="R420" s="34" t="s">
        <v>50</v>
      </c>
      <c r="S420" s="35" t="n">
        <f>2946.33</f>
        <v>2946.33</v>
      </c>
      <c r="T420" s="32" t="n">
        <f>2429410</f>
        <v>2429410.0</v>
      </c>
      <c r="U420" s="32" t="n">
        <f>883632</f>
        <v>883632.0</v>
      </c>
      <c r="V420" s="32" t="n">
        <f>7132254416</f>
        <v>7.132254416E9</v>
      </c>
      <c r="W420" s="32" t="n">
        <f>2597177875</f>
        <v>2.597177875E9</v>
      </c>
      <c r="X420" s="36" t="n">
        <f>21</f>
        <v>21.0</v>
      </c>
    </row>
    <row r="421">
      <c r="A421" s="27" t="s">
        <v>42</v>
      </c>
      <c r="B421" s="27" t="s">
        <v>1306</v>
      </c>
      <c r="C421" s="27" t="s">
        <v>1307</v>
      </c>
      <c r="D421" s="27" t="s">
        <v>1308</v>
      </c>
      <c r="E421" s="28" t="s">
        <v>46</v>
      </c>
      <c r="F421" s="29" t="s">
        <v>46</v>
      </c>
      <c r="G421" s="30" t="s">
        <v>46</v>
      </c>
      <c r="H421" s="31"/>
      <c r="I421" s="31" t="s">
        <v>47</v>
      </c>
      <c r="J421" s="32" t="n">
        <v>1.0</v>
      </c>
      <c r="K421" s="33" t="n">
        <f>1371</f>
        <v>1371.0</v>
      </c>
      <c r="L421" s="34" t="s">
        <v>48</v>
      </c>
      <c r="M421" s="33" t="n">
        <f>1391</f>
        <v>1391.0</v>
      </c>
      <c r="N421" s="34" t="s">
        <v>64</v>
      </c>
      <c r="O421" s="33" t="n">
        <f>1287</f>
        <v>1287.0</v>
      </c>
      <c r="P421" s="34" t="s">
        <v>57</v>
      </c>
      <c r="Q421" s="33" t="n">
        <f>1305</f>
        <v>1305.0</v>
      </c>
      <c r="R421" s="34" t="s">
        <v>50</v>
      </c>
      <c r="S421" s="35" t="n">
        <f>1355.76</f>
        <v>1355.76</v>
      </c>
      <c r="T421" s="32" t="n">
        <f>2774682</f>
        <v>2774682.0</v>
      </c>
      <c r="U421" s="32" t="str">
        <f>"－"</f>
        <v>－</v>
      </c>
      <c r="V421" s="32" t="n">
        <f>3780391956</f>
        <v>3.780391956E9</v>
      </c>
      <c r="W421" s="32" t="str">
        <f>"－"</f>
        <v>－</v>
      </c>
      <c r="X421" s="36" t="n">
        <f>21</f>
        <v>21.0</v>
      </c>
    </row>
    <row r="422">
      <c r="A422" s="27" t="s">
        <v>42</v>
      </c>
      <c r="B422" s="27" t="s">
        <v>1309</v>
      </c>
      <c r="C422" s="27" t="s">
        <v>1310</v>
      </c>
      <c r="D422" s="27" t="s">
        <v>1311</v>
      </c>
      <c r="E422" s="28" t="s">
        <v>46</v>
      </c>
      <c r="F422" s="29" t="s">
        <v>46</v>
      </c>
      <c r="G422" s="30" t="s">
        <v>46</v>
      </c>
      <c r="H422" s="31"/>
      <c r="I422" s="31" t="s">
        <v>47</v>
      </c>
      <c r="J422" s="32" t="n">
        <v>10.0</v>
      </c>
      <c r="K422" s="33" t="n">
        <f>1214.5</f>
        <v>1214.5</v>
      </c>
      <c r="L422" s="34" t="s">
        <v>48</v>
      </c>
      <c r="M422" s="33" t="n">
        <f>1231.5</f>
        <v>1231.5</v>
      </c>
      <c r="N422" s="34" t="s">
        <v>215</v>
      </c>
      <c r="O422" s="33" t="n">
        <f>1140</f>
        <v>1140.0</v>
      </c>
      <c r="P422" s="34" t="s">
        <v>50</v>
      </c>
      <c r="Q422" s="33" t="n">
        <f>1140</f>
        <v>1140.0</v>
      </c>
      <c r="R422" s="34" t="s">
        <v>50</v>
      </c>
      <c r="S422" s="35" t="n">
        <f>1187.62</f>
        <v>1187.62</v>
      </c>
      <c r="T422" s="32" t="n">
        <f>439770</f>
        <v>439770.0</v>
      </c>
      <c r="U422" s="32" t="n">
        <f>24620</f>
        <v>24620.0</v>
      </c>
      <c r="V422" s="32" t="n">
        <f>528470102</f>
        <v>5.28470102E8</v>
      </c>
      <c r="W422" s="32" t="n">
        <f>29029147</f>
        <v>2.9029147E7</v>
      </c>
      <c r="X422" s="36" t="n">
        <f>17</f>
        <v>17.0</v>
      </c>
    </row>
    <row r="423">
      <c r="A423" s="27" t="s">
        <v>42</v>
      </c>
      <c r="B423" s="27" t="s">
        <v>1312</v>
      </c>
      <c r="C423" s="27" t="s">
        <v>1313</v>
      </c>
      <c r="D423" s="27" t="s">
        <v>1314</v>
      </c>
      <c r="E423" s="28" t="s">
        <v>46</v>
      </c>
      <c r="F423" s="29" t="s">
        <v>46</v>
      </c>
      <c r="G423" s="30" t="s">
        <v>46</v>
      </c>
      <c r="H423" s="31"/>
      <c r="I423" s="31" t="s">
        <v>47</v>
      </c>
      <c r="J423" s="32" t="n">
        <v>1.0</v>
      </c>
      <c r="K423" s="33" t="n">
        <f>2705</f>
        <v>2705.0</v>
      </c>
      <c r="L423" s="34" t="s">
        <v>48</v>
      </c>
      <c r="M423" s="33" t="n">
        <f>2713</f>
        <v>2713.0</v>
      </c>
      <c r="N423" s="34" t="s">
        <v>64</v>
      </c>
      <c r="O423" s="33" t="n">
        <f>2463</f>
        <v>2463.0</v>
      </c>
      <c r="P423" s="34" t="s">
        <v>49</v>
      </c>
      <c r="Q423" s="33" t="n">
        <f>2530</f>
        <v>2530.0</v>
      </c>
      <c r="R423" s="34" t="s">
        <v>50</v>
      </c>
      <c r="S423" s="35" t="n">
        <f>2574.71</f>
        <v>2574.71</v>
      </c>
      <c r="T423" s="32" t="n">
        <f>116164</f>
        <v>116164.0</v>
      </c>
      <c r="U423" s="32" t="n">
        <f>392</f>
        <v>392.0</v>
      </c>
      <c r="V423" s="32" t="n">
        <f>299556091</f>
        <v>2.99556091E8</v>
      </c>
      <c r="W423" s="32" t="n">
        <f>998318</f>
        <v>998318.0</v>
      </c>
      <c r="X423" s="36" t="n">
        <f>21</f>
        <v>21.0</v>
      </c>
    </row>
    <row r="424">
      <c r="A424" s="27" t="s">
        <v>42</v>
      </c>
      <c r="B424" s="27" t="s">
        <v>1315</v>
      </c>
      <c r="C424" s="27" t="s">
        <v>1316</v>
      </c>
      <c r="D424" s="27" t="s">
        <v>1317</v>
      </c>
      <c r="E424" s="28" t="s">
        <v>46</v>
      </c>
      <c r="F424" s="29" t="s">
        <v>46</v>
      </c>
      <c r="G424" s="30" t="s">
        <v>46</v>
      </c>
      <c r="H424" s="31"/>
      <c r="I424" s="31" t="s">
        <v>47</v>
      </c>
      <c r="J424" s="32" t="n">
        <v>1.0</v>
      </c>
      <c r="K424" s="33" t="n">
        <f>2474</f>
        <v>2474.0</v>
      </c>
      <c r="L424" s="34" t="s">
        <v>48</v>
      </c>
      <c r="M424" s="33" t="n">
        <f>2479</f>
        <v>2479.0</v>
      </c>
      <c r="N424" s="34" t="s">
        <v>64</v>
      </c>
      <c r="O424" s="33" t="n">
        <f>2270</f>
        <v>2270.0</v>
      </c>
      <c r="P424" s="34" t="s">
        <v>49</v>
      </c>
      <c r="Q424" s="33" t="n">
        <f>2315</f>
        <v>2315.0</v>
      </c>
      <c r="R424" s="34" t="s">
        <v>50</v>
      </c>
      <c r="S424" s="35" t="n">
        <f>2362.14</f>
        <v>2362.14</v>
      </c>
      <c r="T424" s="32" t="n">
        <f>211598</f>
        <v>211598.0</v>
      </c>
      <c r="U424" s="32" t="str">
        <f>"－"</f>
        <v>－</v>
      </c>
      <c r="V424" s="32" t="n">
        <f>498978213</f>
        <v>4.98978213E8</v>
      </c>
      <c r="W424" s="32" t="str">
        <f>"－"</f>
        <v>－</v>
      </c>
      <c r="X424" s="36" t="n">
        <f>21</f>
        <v>21.0</v>
      </c>
    </row>
    <row r="425">
      <c r="A425" s="27" t="s">
        <v>42</v>
      </c>
      <c r="B425" s="27" t="s">
        <v>1318</v>
      </c>
      <c r="C425" s="27" t="s">
        <v>1319</v>
      </c>
      <c r="D425" s="27" t="s">
        <v>1320</v>
      </c>
      <c r="E425" s="28" t="s">
        <v>46</v>
      </c>
      <c r="F425" s="29" t="s">
        <v>46</v>
      </c>
      <c r="G425" s="30" t="s">
        <v>46</v>
      </c>
      <c r="H425" s="31"/>
      <c r="I425" s="31" t="s">
        <v>47</v>
      </c>
      <c r="J425" s="32" t="n">
        <v>1.0</v>
      </c>
      <c r="K425" s="33" t="n">
        <f>5146</f>
        <v>5146.0</v>
      </c>
      <c r="L425" s="34" t="s">
        <v>48</v>
      </c>
      <c r="M425" s="33" t="n">
        <f>5148</f>
        <v>5148.0</v>
      </c>
      <c r="N425" s="34" t="s">
        <v>48</v>
      </c>
      <c r="O425" s="33" t="n">
        <f>4993</f>
        <v>4993.0</v>
      </c>
      <c r="P425" s="34" t="s">
        <v>49</v>
      </c>
      <c r="Q425" s="33" t="n">
        <f>5012</f>
        <v>5012.0</v>
      </c>
      <c r="R425" s="34" t="s">
        <v>444</v>
      </c>
      <c r="S425" s="35" t="n">
        <f>5038.57</f>
        <v>5038.57</v>
      </c>
      <c r="T425" s="32" t="n">
        <f>2057</f>
        <v>2057.0</v>
      </c>
      <c r="U425" s="32" t="str">
        <f>"－"</f>
        <v>－</v>
      </c>
      <c r="V425" s="32" t="n">
        <f>10394430</f>
        <v>1.039443E7</v>
      </c>
      <c r="W425" s="32" t="str">
        <f>"－"</f>
        <v>－</v>
      </c>
      <c r="X425" s="36" t="n">
        <f>7</f>
        <v>7.0</v>
      </c>
    </row>
    <row r="426">
      <c r="A426" s="27" t="s">
        <v>42</v>
      </c>
      <c r="B426" s="27" t="s">
        <v>1321</v>
      </c>
      <c r="C426" s="27" t="s">
        <v>1322</v>
      </c>
      <c r="D426" s="27" t="s">
        <v>1323</v>
      </c>
      <c r="E426" s="28" t="s">
        <v>46</v>
      </c>
      <c r="F426" s="29" t="s">
        <v>46</v>
      </c>
      <c r="G426" s="30" t="s">
        <v>46</v>
      </c>
      <c r="H426" s="31"/>
      <c r="I426" s="31" t="s">
        <v>47</v>
      </c>
      <c r="J426" s="32" t="n">
        <v>1.0</v>
      </c>
      <c r="K426" s="33" t="n">
        <f>1249</f>
        <v>1249.0</v>
      </c>
      <c r="L426" s="34" t="s">
        <v>48</v>
      </c>
      <c r="M426" s="33" t="n">
        <f>1249</f>
        <v>1249.0</v>
      </c>
      <c r="N426" s="34" t="s">
        <v>48</v>
      </c>
      <c r="O426" s="33" t="n">
        <f>1157</f>
        <v>1157.0</v>
      </c>
      <c r="P426" s="34" t="s">
        <v>57</v>
      </c>
      <c r="Q426" s="33" t="n">
        <f>1166</f>
        <v>1166.0</v>
      </c>
      <c r="R426" s="34" t="s">
        <v>50</v>
      </c>
      <c r="S426" s="35" t="n">
        <f>1206.81</f>
        <v>1206.81</v>
      </c>
      <c r="T426" s="32" t="n">
        <f>45429</f>
        <v>45429.0</v>
      </c>
      <c r="U426" s="32" t="str">
        <f>"－"</f>
        <v>－</v>
      </c>
      <c r="V426" s="32" t="n">
        <f>53851224</f>
        <v>5.3851224E7</v>
      </c>
      <c r="W426" s="32" t="str">
        <f>"－"</f>
        <v>－</v>
      </c>
      <c r="X426" s="36" t="n">
        <f>21</f>
        <v>21.0</v>
      </c>
    </row>
    <row r="427">
      <c r="A427" s="27" t="s">
        <v>42</v>
      </c>
      <c r="B427" s="27" t="s">
        <v>1324</v>
      </c>
      <c r="C427" s="27" t="s">
        <v>1325</v>
      </c>
      <c r="D427" s="27" t="s">
        <v>1326</v>
      </c>
      <c r="E427" s="28" t="s">
        <v>46</v>
      </c>
      <c r="F427" s="29" t="s">
        <v>46</v>
      </c>
      <c r="G427" s="30" t="s">
        <v>46</v>
      </c>
      <c r="H427" s="31"/>
      <c r="I427" s="31" t="s">
        <v>47</v>
      </c>
      <c r="J427" s="32" t="n">
        <v>1.0</v>
      </c>
      <c r="K427" s="33" t="n">
        <f>1040</f>
        <v>1040.0</v>
      </c>
      <c r="L427" s="34" t="s">
        <v>48</v>
      </c>
      <c r="M427" s="33" t="n">
        <f>1101</f>
        <v>1101.0</v>
      </c>
      <c r="N427" s="34" t="s">
        <v>71</v>
      </c>
      <c r="O427" s="33" t="n">
        <f>978</f>
        <v>978.0</v>
      </c>
      <c r="P427" s="34" t="s">
        <v>57</v>
      </c>
      <c r="Q427" s="33" t="n">
        <f>979</f>
        <v>979.0</v>
      </c>
      <c r="R427" s="34" t="s">
        <v>50</v>
      </c>
      <c r="S427" s="35" t="n">
        <f>1033.57</f>
        <v>1033.57</v>
      </c>
      <c r="T427" s="32" t="n">
        <f>1162588</f>
        <v>1162588.0</v>
      </c>
      <c r="U427" s="32" t="str">
        <f>"－"</f>
        <v>－</v>
      </c>
      <c r="V427" s="32" t="n">
        <f>1190827292</f>
        <v>1.190827292E9</v>
      </c>
      <c r="W427" s="32" t="str">
        <f>"－"</f>
        <v>－</v>
      </c>
      <c r="X427" s="36" t="n">
        <f>21</f>
        <v>21.0</v>
      </c>
    </row>
    <row r="428">
      <c r="A428" s="27" t="s">
        <v>42</v>
      </c>
      <c r="B428" s="27" t="s">
        <v>1327</v>
      </c>
      <c r="C428" s="27" t="s">
        <v>1328</v>
      </c>
      <c r="D428" s="27" t="s">
        <v>1329</v>
      </c>
      <c r="E428" s="28" t="s">
        <v>46</v>
      </c>
      <c r="F428" s="29" t="s">
        <v>46</v>
      </c>
      <c r="G428" s="30" t="s">
        <v>46</v>
      </c>
      <c r="H428" s="31"/>
      <c r="I428" s="31" t="s">
        <v>47</v>
      </c>
      <c r="J428" s="32" t="n">
        <v>1.0</v>
      </c>
      <c r="K428" s="33" t="n">
        <f>2205</f>
        <v>2205.0</v>
      </c>
      <c r="L428" s="34" t="s">
        <v>48</v>
      </c>
      <c r="M428" s="33" t="n">
        <f>2240</f>
        <v>2240.0</v>
      </c>
      <c r="N428" s="34" t="s">
        <v>64</v>
      </c>
      <c r="O428" s="33" t="n">
        <f>2205</f>
        <v>2205.0</v>
      </c>
      <c r="P428" s="34" t="s">
        <v>48</v>
      </c>
      <c r="Q428" s="33" t="n">
        <f>2233</f>
        <v>2233.0</v>
      </c>
      <c r="R428" s="34" t="s">
        <v>50</v>
      </c>
      <c r="S428" s="35" t="n">
        <f>2225</f>
        <v>2225.0</v>
      </c>
      <c r="T428" s="32" t="n">
        <f>2567933</f>
        <v>2567933.0</v>
      </c>
      <c r="U428" s="32" t="str">
        <f>"－"</f>
        <v>－</v>
      </c>
      <c r="V428" s="32" t="n">
        <f>5715670541</f>
        <v>5.715670541E9</v>
      </c>
      <c r="W428" s="32" t="str">
        <f>"－"</f>
        <v>－</v>
      </c>
      <c r="X428" s="36" t="n">
        <f>20</f>
        <v>20.0</v>
      </c>
    </row>
    <row r="429">
      <c r="A429" s="27" t="s">
        <v>42</v>
      </c>
      <c r="B429" s="27" t="s">
        <v>1330</v>
      </c>
      <c r="C429" s="27" t="s">
        <v>1331</v>
      </c>
      <c r="D429" s="27" t="s">
        <v>1332</v>
      </c>
      <c r="E429" s="28" t="s">
        <v>46</v>
      </c>
      <c r="F429" s="29" t="s">
        <v>46</v>
      </c>
      <c r="G429" s="30" t="s">
        <v>46</v>
      </c>
      <c r="H429" s="31"/>
      <c r="I429" s="31" t="s">
        <v>47</v>
      </c>
      <c r="J429" s="32" t="n">
        <v>1.0</v>
      </c>
      <c r="K429" s="33" t="n">
        <f>2013</f>
        <v>2013.0</v>
      </c>
      <c r="L429" s="34" t="s">
        <v>48</v>
      </c>
      <c r="M429" s="33" t="n">
        <f>2013</f>
        <v>2013.0</v>
      </c>
      <c r="N429" s="34" t="s">
        <v>48</v>
      </c>
      <c r="O429" s="33" t="n">
        <f>1970</f>
        <v>1970.0</v>
      </c>
      <c r="P429" s="34" t="s">
        <v>56</v>
      </c>
      <c r="Q429" s="33" t="n">
        <f>1980</f>
        <v>1980.0</v>
      </c>
      <c r="R429" s="34" t="s">
        <v>50</v>
      </c>
      <c r="S429" s="35" t="n">
        <f>1988</f>
        <v>1988.0</v>
      </c>
      <c r="T429" s="32" t="n">
        <f>54169</f>
        <v>54169.0</v>
      </c>
      <c r="U429" s="32" t="str">
        <f>"－"</f>
        <v>－</v>
      </c>
      <c r="V429" s="32" t="n">
        <f>107711721</f>
        <v>1.07711721E8</v>
      </c>
      <c r="W429" s="32" t="str">
        <f>"－"</f>
        <v>－</v>
      </c>
      <c r="X429" s="36" t="n">
        <f>18</f>
        <v>18.0</v>
      </c>
    </row>
    <row r="430">
      <c r="A430" s="27" t="s">
        <v>42</v>
      </c>
      <c r="B430" s="27" t="s">
        <v>1333</v>
      </c>
      <c r="C430" s="27" t="s">
        <v>1334</v>
      </c>
      <c r="D430" s="27" t="s">
        <v>1335</v>
      </c>
      <c r="E430" s="28" t="s">
        <v>46</v>
      </c>
      <c r="F430" s="29" t="s">
        <v>46</v>
      </c>
      <c r="G430" s="30" t="s">
        <v>46</v>
      </c>
      <c r="H430" s="31"/>
      <c r="I430" s="31" t="s">
        <v>47</v>
      </c>
      <c r="J430" s="32" t="n">
        <v>1.0</v>
      </c>
      <c r="K430" s="33" t="n">
        <f>2390</f>
        <v>2390.0</v>
      </c>
      <c r="L430" s="34" t="s">
        <v>48</v>
      </c>
      <c r="M430" s="33" t="n">
        <f>2448</f>
        <v>2448.0</v>
      </c>
      <c r="N430" s="34" t="s">
        <v>301</v>
      </c>
      <c r="O430" s="33" t="n">
        <f>2297</f>
        <v>2297.0</v>
      </c>
      <c r="P430" s="34" t="s">
        <v>57</v>
      </c>
      <c r="Q430" s="33" t="n">
        <f>2327</f>
        <v>2327.0</v>
      </c>
      <c r="R430" s="34" t="s">
        <v>50</v>
      </c>
      <c r="S430" s="35" t="n">
        <f>2367.33</f>
        <v>2367.33</v>
      </c>
      <c r="T430" s="32" t="n">
        <f>454482</f>
        <v>454482.0</v>
      </c>
      <c r="U430" s="32" t="n">
        <f>7</f>
        <v>7.0</v>
      </c>
      <c r="V430" s="32" t="n">
        <f>1082011334</f>
        <v>1.082011334E9</v>
      </c>
      <c r="W430" s="32" t="n">
        <f>16954</f>
        <v>16954.0</v>
      </c>
      <c r="X430" s="36" t="n">
        <f>21</f>
        <v>21.0</v>
      </c>
    </row>
    <row r="431">
      <c r="A431" s="27" t="s">
        <v>42</v>
      </c>
      <c r="B431" s="27" t="s">
        <v>1336</v>
      </c>
      <c r="C431" s="27" t="s">
        <v>1337</v>
      </c>
      <c r="D431" s="27" t="s">
        <v>1338</v>
      </c>
      <c r="E431" s="28" t="s">
        <v>46</v>
      </c>
      <c r="F431" s="29" t="s">
        <v>46</v>
      </c>
      <c r="G431" s="30" t="s">
        <v>46</v>
      </c>
      <c r="H431" s="31"/>
      <c r="I431" s="31" t="s">
        <v>416</v>
      </c>
      <c r="J431" s="32" t="n">
        <v>10.0</v>
      </c>
      <c r="K431" s="33" t="n">
        <f>225.6</f>
        <v>225.6</v>
      </c>
      <c r="L431" s="34" t="s">
        <v>48</v>
      </c>
      <c r="M431" s="33" t="n">
        <f>232</f>
        <v>232.0</v>
      </c>
      <c r="N431" s="34" t="s">
        <v>276</v>
      </c>
      <c r="O431" s="33" t="n">
        <f>212.3</f>
        <v>212.3</v>
      </c>
      <c r="P431" s="34" t="s">
        <v>50</v>
      </c>
      <c r="Q431" s="33" t="n">
        <f>215.3</f>
        <v>215.3</v>
      </c>
      <c r="R431" s="34" t="s">
        <v>50</v>
      </c>
      <c r="S431" s="35" t="n">
        <f>226.14</f>
        <v>226.14</v>
      </c>
      <c r="T431" s="32" t="n">
        <f>2385880</f>
        <v>2385880.0</v>
      </c>
      <c r="U431" s="32" t="n">
        <f>21000</f>
        <v>21000.0</v>
      </c>
      <c r="V431" s="32" t="n">
        <f>536982551</f>
        <v>5.36982551E8</v>
      </c>
      <c r="W431" s="32" t="n">
        <f>4789550</f>
        <v>4789550.0</v>
      </c>
      <c r="X431" s="36" t="n">
        <f>21</f>
        <v>21.0</v>
      </c>
    </row>
    <row r="432">
      <c r="A432" s="27" t="s">
        <v>42</v>
      </c>
      <c r="B432" s="27" t="s">
        <v>1339</v>
      </c>
      <c r="C432" s="27" t="s">
        <v>1340</v>
      </c>
      <c r="D432" s="27" t="s">
        <v>1341</v>
      </c>
      <c r="E432" s="28" t="s">
        <v>46</v>
      </c>
      <c r="F432" s="29" t="s">
        <v>46</v>
      </c>
      <c r="G432" s="30" t="s">
        <v>46</v>
      </c>
      <c r="H432" s="31"/>
      <c r="I432" s="31" t="s">
        <v>416</v>
      </c>
      <c r="J432" s="32" t="n">
        <v>10.0</v>
      </c>
      <c r="K432" s="33" t="n">
        <f>548.1</f>
        <v>548.1</v>
      </c>
      <c r="L432" s="34" t="s">
        <v>48</v>
      </c>
      <c r="M432" s="33" t="n">
        <f>577.7</f>
        <v>577.7</v>
      </c>
      <c r="N432" s="34" t="s">
        <v>50</v>
      </c>
      <c r="O432" s="33" t="n">
        <f>530</f>
        <v>530.0</v>
      </c>
      <c r="P432" s="34" t="s">
        <v>117</v>
      </c>
      <c r="Q432" s="33" t="n">
        <f>560.8</f>
        <v>560.8</v>
      </c>
      <c r="R432" s="34" t="s">
        <v>50</v>
      </c>
      <c r="S432" s="35" t="n">
        <f>550.54</f>
        <v>550.54</v>
      </c>
      <c r="T432" s="32" t="n">
        <f>3770</f>
        <v>3770.0</v>
      </c>
      <c r="U432" s="32" t="str">
        <f>"－"</f>
        <v>－</v>
      </c>
      <c r="V432" s="32" t="n">
        <f>2081473</f>
        <v>2081473.0</v>
      </c>
      <c r="W432" s="32" t="str">
        <f>"－"</f>
        <v>－</v>
      </c>
      <c r="X432" s="36" t="n">
        <f>19</f>
        <v>19.0</v>
      </c>
    </row>
    <row r="433">
      <c r="A433" s="27" t="s">
        <v>42</v>
      </c>
      <c r="B433" s="27" t="s">
        <v>1342</v>
      </c>
      <c r="C433" s="27" t="s">
        <v>1343</v>
      </c>
      <c r="D433" s="27" t="s">
        <v>1344</v>
      </c>
      <c r="E433" s="28" t="s">
        <v>46</v>
      </c>
      <c r="F433" s="29" t="s">
        <v>46</v>
      </c>
      <c r="G433" s="30" t="s">
        <v>46</v>
      </c>
      <c r="H433" s="31"/>
      <c r="I433" s="31" t="s">
        <v>416</v>
      </c>
      <c r="J433" s="32" t="n">
        <v>10.0</v>
      </c>
      <c r="K433" s="33" t="n">
        <f>860.1</f>
        <v>860.1</v>
      </c>
      <c r="L433" s="34" t="s">
        <v>48</v>
      </c>
      <c r="M433" s="33" t="n">
        <f>867</f>
        <v>867.0</v>
      </c>
      <c r="N433" s="34" t="s">
        <v>64</v>
      </c>
      <c r="O433" s="33" t="n">
        <f>745</f>
        <v>745.0</v>
      </c>
      <c r="P433" s="34" t="s">
        <v>49</v>
      </c>
      <c r="Q433" s="33" t="n">
        <f>813.6</f>
        <v>813.6</v>
      </c>
      <c r="R433" s="34" t="s">
        <v>50</v>
      </c>
      <c r="S433" s="35" t="n">
        <f>818.82</f>
        <v>818.82</v>
      </c>
      <c r="T433" s="32" t="n">
        <f>2396220</f>
        <v>2396220.0</v>
      </c>
      <c r="U433" s="32" t="n">
        <f>1332020</f>
        <v>1332020.0</v>
      </c>
      <c r="V433" s="32" t="n">
        <f>1926498177</f>
        <v>1.926498177E9</v>
      </c>
      <c r="W433" s="32" t="n">
        <f>1063065765</f>
        <v>1.063065765E9</v>
      </c>
      <c r="X433" s="36" t="n">
        <f>21</f>
        <v>21.0</v>
      </c>
    </row>
    <row r="434">
      <c r="A434" s="27" t="s">
        <v>42</v>
      </c>
      <c r="B434" s="27" t="s">
        <v>1345</v>
      </c>
      <c r="C434" s="27" t="s">
        <v>1346</v>
      </c>
      <c r="D434" s="27" t="s">
        <v>1347</v>
      </c>
      <c r="E434" s="28" t="s">
        <v>46</v>
      </c>
      <c r="F434" s="29" t="s">
        <v>46</v>
      </c>
      <c r="G434" s="30" t="s">
        <v>46</v>
      </c>
      <c r="H434" s="31"/>
      <c r="I434" s="31" t="s">
        <v>416</v>
      </c>
      <c r="J434" s="32" t="n">
        <v>10.0</v>
      </c>
      <c r="K434" s="33" t="n">
        <f>577.6</f>
        <v>577.6</v>
      </c>
      <c r="L434" s="34" t="s">
        <v>48</v>
      </c>
      <c r="M434" s="33" t="n">
        <f>577.6</f>
        <v>577.6</v>
      </c>
      <c r="N434" s="34" t="s">
        <v>48</v>
      </c>
      <c r="O434" s="33" t="n">
        <f>507.3</f>
        <v>507.3</v>
      </c>
      <c r="P434" s="34" t="s">
        <v>50</v>
      </c>
      <c r="Q434" s="33" t="n">
        <f>507.3</f>
        <v>507.3</v>
      </c>
      <c r="R434" s="34" t="s">
        <v>50</v>
      </c>
      <c r="S434" s="35" t="n">
        <f>532.5</f>
        <v>532.5</v>
      </c>
      <c r="T434" s="32" t="n">
        <f>6240</f>
        <v>6240.0</v>
      </c>
      <c r="U434" s="32" t="str">
        <f>"－"</f>
        <v>－</v>
      </c>
      <c r="V434" s="32" t="n">
        <f>3325601</f>
        <v>3325601.0</v>
      </c>
      <c r="W434" s="32" t="str">
        <f>"－"</f>
        <v>－</v>
      </c>
      <c r="X434" s="36" t="n">
        <f>18</f>
        <v>18.0</v>
      </c>
    </row>
    <row r="435">
      <c r="A435" s="27" t="s">
        <v>42</v>
      </c>
      <c r="B435" s="27" t="s">
        <v>1348</v>
      </c>
      <c r="C435" s="27" t="s">
        <v>1349</v>
      </c>
      <c r="D435" s="27" t="s">
        <v>1350</v>
      </c>
      <c r="E435" s="28" t="s">
        <v>46</v>
      </c>
      <c r="F435" s="29" t="s">
        <v>46</v>
      </c>
      <c r="G435" s="30" t="s">
        <v>46</v>
      </c>
      <c r="H435" s="31"/>
      <c r="I435" s="31" t="s">
        <v>416</v>
      </c>
      <c r="J435" s="32" t="n">
        <v>1.0</v>
      </c>
      <c r="K435" s="33" t="n">
        <f>2221</f>
        <v>2221.0</v>
      </c>
      <c r="L435" s="34" t="s">
        <v>48</v>
      </c>
      <c r="M435" s="33" t="n">
        <f>2254</f>
        <v>2254.0</v>
      </c>
      <c r="N435" s="34" t="s">
        <v>48</v>
      </c>
      <c r="O435" s="33" t="n">
        <f>1970</f>
        <v>1970.0</v>
      </c>
      <c r="P435" s="34" t="s">
        <v>49</v>
      </c>
      <c r="Q435" s="33" t="n">
        <f>2064</f>
        <v>2064.0</v>
      </c>
      <c r="R435" s="34" t="s">
        <v>50</v>
      </c>
      <c r="S435" s="35" t="n">
        <f>2091.19</f>
        <v>2091.19</v>
      </c>
      <c r="T435" s="32" t="n">
        <f>5260490</f>
        <v>5260490.0</v>
      </c>
      <c r="U435" s="32" t="n">
        <f>1766519</f>
        <v>1766519.0</v>
      </c>
      <c r="V435" s="32" t="n">
        <f>11002590884</f>
        <v>1.1002590884E10</v>
      </c>
      <c r="W435" s="32" t="n">
        <f>3754859820</f>
        <v>3.75485982E9</v>
      </c>
      <c r="X435" s="36" t="n">
        <f>21</f>
        <v>21.0</v>
      </c>
    </row>
    <row r="436">
      <c r="A436" s="27" t="s">
        <v>42</v>
      </c>
      <c r="B436" s="27" t="s">
        <v>1351</v>
      </c>
      <c r="C436" s="27" t="s">
        <v>1352</v>
      </c>
      <c r="D436" s="27" t="s">
        <v>1353</v>
      </c>
      <c r="E436" s="28" t="s">
        <v>46</v>
      </c>
      <c r="F436" s="29" t="s">
        <v>46</v>
      </c>
      <c r="G436" s="30" t="s">
        <v>46</v>
      </c>
      <c r="H436" s="31"/>
      <c r="I436" s="31" t="s">
        <v>416</v>
      </c>
      <c r="J436" s="32" t="n">
        <v>1.0</v>
      </c>
      <c r="K436" s="33" t="n">
        <f>104400</f>
        <v>104400.0</v>
      </c>
      <c r="L436" s="34" t="s">
        <v>48</v>
      </c>
      <c r="M436" s="33" t="n">
        <f>105500</f>
        <v>105500.0</v>
      </c>
      <c r="N436" s="34" t="s">
        <v>48</v>
      </c>
      <c r="O436" s="33" t="n">
        <f>96000</f>
        <v>96000.0</v>
      </c>
      <c r="P436" s="34" t="s">
        <v>50</v>
      </c>
      <c r="Q436" s="33" t="n">
        <f>96700</f>
        <v>96700.0</v>
      </c>
      <c r="R436" s="34" t="s">
        <v>50</v>
      </c>
      <c r="S436" s="35" t="n">
        <f>100161.9</f>
        <v>100161.9</v>
      </c>
      <c r="T436" s="32" t="n">
        <f>52223</f>
        <v>52223.0</v>
      </c>
      <c r="U436" s="32" t="n">
        <f>3409</f>
        <v>3409.0</v>
      </c>
      <c r="V436" s="32" t="n">
        <f>5229311488</f>
        <v>5.229311488E9</v>
      </c>
      <c r="W436" s="32" t="n">
        <f>340264988</f>
        <v>3.40264988E8</v>
      </c>
      <c r="X436" s="36" t="n">
        <f>21</f>
        <v>21.0</v>
      </c>
    </row>
    <row r="437">
      <c r="A437" s="27" t="s">
        <v>42</v>
      </c>
      <c r="B437" s="27" t="s">
        <v>1354</v>
      </c>
      <c r="C437" s="27" t="s">
        <v>1355</v>
      </c>
      <c r="D437" s="27" t="s">
        <v>1356</v>
      </c>
      <c r="E437" s="28" t="s">
        <v>46</v>
      </c>
      <c r="F437" s="29" t="s">
        <v>46</v>
      </c>
      <c r="G437" s="30" t="s">
        <v>46</v>
      </c>
      <c r="H437" s="31"/>
      <c r="I437" s="31" t="s">
        <v>416</v>
      </c>
      <c r="J437" s="32" t="n">
        <v>1.0</v>
      </c>
      <c r="K437" s="33" t="n">
        <f>1061</f>
        <v>1061.0</v>
      </c>
      <c r="L437" s="34" t="s">
        <v>48</v>
      </c>
      <c r="M437" s="33" t="n">
        <f>1112</f>
        <v>1112.0</v>
      </c>
      <c r="N437" s="34" t="s">
        <v>71</v>
      </c>
      <c r="O437" s="33" t="n">
        <f>998</f>
        <v>998.0</v>
      </c>
      <c r="P437" s="34" t="s">
        <v>181</v>
      </c>
      <c r="Q437" s="33" t="n">
        <f>1040</f>
        <v>1040.0</v>
      </c>
      <c r="R437" s="34" t="s">
        <v>50</v>
      </c>
      <c r="S437" s="35" t="n">
        <f>1057</f>
        <v>1057.0</v>
      </c>
      <c r="T437" s="32" t="n">
        <f>502244</f>
        <v>502244.0</v>
      </c>
      <c r="U437" s="32" t="n">
        <f>4000</f>
        <v>4000.0</v>
      </c>
      <c r="V437" s="32" t="n">
        <f>527482404</f>
        <v>5.27482404E8</v>
      </c>
      <c r="W437" s="32" t="n">
        <f>4109700</f>
        <v>4109700.0</v>
      </c>
      <c r="X437" s="36" t="n">
        <f>21</f>
        <v>21.0</v>
      </c>
    </row>
    <row r="438">
      <c r="A438" s="27" t="s">
        <v>42</v>
      </c>
      <c r="B438" s="27" t="s">
        <v>1357</v>
      </c>
      <c r="C438" s="27" t="s">
        <v>1358</v>
      </c>
      <c r="D438" s="27" t="s">
        <v>1359</v>
      </c>
      <c r="E438" s="28" t="s">
        <v>46</v>
      </c>
      <c r="F438" s="29" t="s">
        <v>46</v>
      </c>
      <c r="G438" s="30" t="s">
        <v>46</v>
      </c>
      <c r="H438" s="31"/>
      <c r="I438" s="31" t="s">
        <v>416</v>
      </c>
      <c r="J438" s="32" t="n">
        <v>10.0</v>
      </c>
      <c r="K438" s="33" t="n">
        <f>221.5</f>
        <v>221.5</v>
      </c>
      <c r="L438" s="34" t="s">
        <v>48</v>
      </c>
      <c r="M438" s="33" t="n">
        <f>230.2</f>
        <v>230.2</v>
      </c>
      <c r="N438" s="34" t="s">
        <v>215</v>
      </c>
      <c r="O438" s="33" t="n">
        <f>202.4</f>
        <v>202.4</v>
      </c>
      <c r="P438" s="34" t="s">
        <v>50</v>
      </c>
      <c r="Q438" s="33" t="n">
        <f>204.7</f>
        <v>204.7</v>
      </c>
      <c r="R438" s="34" t="s">
        <v>50</v>
      </c>
      <c r="S438" s="35" t="n">
        <f>219.71</f>
        <v>219.71</v>
      </c>
      <c r="T438" s="32" t="n">
        <f>7410580</f>
        <v>7410580.0</v>
      </c>
      <c r="U438" s="32" t="n">
        <f>355900</f>
        <v>355900.0</v>
      </c>
      <c r="V438" s="32" t="n">
        <f>1601550005</f>
        <v>1.601550005E9</v>
      </c>
      <c r="W438" s="32" t="n">
        <f>77638620</f>
        <v>7.763862E7</v>
      </c>
      <c r="X438" s="36" t="n">
        <f>21</f>
        <v>21.0</v>
      </c>
    </row>
    <row r="439">
      <c r="A439" s="27" t="s">
        <v>42</v>
      </c>
      <c r="B439" s="27" t="s">
        <v>1360</v>
      </c>
      <c r="C439" s="27" t="s">
        <v>1361</v>
      </c>
      <c r="D439" s="27" t="s">
        <v>1362</v>
      </c>
      <c r="E439" s="28" t="s">
        <v>46</v>
      </c>
      <c r="F439" s="29" t="s">
        <v>46</v>
      </c>
      <c r="G439" s="30" t="s">
        <v>46</v>
      </c>
      <c r="H439" s="31"/>
      <c r="I439" s="31" t="s">
        <v>416</v>
      </c>
      <c r="J439" s="32" t="n">
        <v>1.0</v>
      </c>
      <c r="K439" s="33" t="n">
        <f>3079</f>
        <v>3079.0</v>
      </c>
      <c r="L439" s="34" t="s">
        <v>48</v>
      </c>
      <c r="M439" s="33" t="n">
        <f>3125</f>
        <v>3125.0</v>
      </c>
      <c r="N439" s="34" t="s">
        <v>48</v>
      </c>
      <c r="O439" s="33" t="n">
        <f>2701</f>
        <v>2701.0</v>
      </c>
      <c r="P439" s="34" t="s">
        <v>181</v>
      </c>
      <c r="Q439" s="33" t="n">
        <f>2808</f>
        <v>2808.0</v>
      </c>
      <c r="R439" s="34" t="s">
        <v>50</v>
      </c>
      <c r="S439" s="35" t="n">
        <f>2934.19</f>
        <v>2934.19</v>
      </c>
      <c r="T439" s="32" t="n">
        <f>137015</f>
        <v>137015.0</v>
      </c>
      <c r="U439" s="32" t="n">
        <f>52</f>
        <v>52.0</v>
      </c>
      <c r="V439" s="32" t="n">
        <f>401088107</f>
        <v>4.01088107E8</v>
      </c>
      <c r="W439" s="32" t="n">
        <f>161030</f>
        <v>161030.0</v>
      </c>
      <c r="X439" s="36" t="n">
        <f>21</f>
        <v>21.0</v>
      </c>
    </row>
    <row r="440">
      <c r="A440" s="27" t="s">
        <v>42</v>
      </c>
      <c r="B440" s="27" t="s">
        <v>1363</v>
      </c>
      <c r="C440" s="27" t="s">
        <v>1364</v>
      </c>
      <c r="D440" s="27" t="s">
        <v>1365</v>
      </c>
      <c r="E440" s="28" t="s">
        <v>46</v>
      </c>
      <c r="F440" s="29" t="s">
        <v>46</v>
      </c>
      <c r="G440" s="30" t="s">
        <v>46</v>
      </c>
      <c r="H440" s="31"/>
      <c r="I440" s="31" t="s">
        <v>416</v>
      </c>
      <c r="J440" s="32" t="n">
        <v>1.0</v>
      </c>
      <c r="K440" s="33" t="n">
        <f>2875</f>
        <v>2875.0</v>
      </c>
      <c r="L440" s="34" t="s">
        <v>48</v>
      </c>
      <c r="M440" s="33" t="n">
        <f>2959</f>
        <v>2959.0</v>
      </c>
      <c r="N440" s="34" t="s">
        <v>48</v>
      </c>
      <c r="O440" s="33" t="n">
        <f>2575</f>
        <v>2575.0</v>
      </c>
      <c r="P440" s="34" t="s">
        <v>181</v>
      </c>
      <c r="Q440" s="33" t="n">
        <f>2666</f>
        <v>2666.0</v>
      </c>
      <c r="R440" s="34" t="s">
        <v>50</v>
      </c>
      <c r="S440" s="35" t="n">
        <f>2795.95</f>
        <v>2795.95</v>
      </c>
      <c r="T440" s="32" t="n">
        <f>71644</f>
        <v>71644.0</v>
      </c>
      <c r="U440" s="32" t="str">
        <f>"－"</f>
        <v>－</v>
      </c>
      <c r="V440" s="32" t="n">
        <f>199888189</f>
        <v>1.99888189E8</v>
      </c>
      <c r="W440" s="32" t="str">
        <f>"－"</f>
        <v>－</v>
      </c>
      <c r="X440" s="36" t="n">
        <f>21</f>
        <v>21.0</v>
      </c>
    </row>
    <row r="441">
      <c r="A441" s="27" t="s">
        <v>42</v>
      </c>
      <c r="B441" s="27" t="s">
        <v>1366</v>
      </c>
      <c r="C441" s="27" t="s">
        <v>1367</v>
      </c>
      <c r="D441" s="27" t="s">
        <v>1368</v>
      </c>
      <c r="E441" s="28" t="s">
        <v>46</v>
      </c>
      <c r="F441" s="29" t="s">
        <v>46</v>
      </c>
      <c r="G441" s="30" t="s">
        <v>46</v>
      </c>
      <c r="H441" s="31"/>
      <c r="I441" s="31" t="s">
        <v>416</v>
      </c>
      <c r="J441" s="32" t="n">
        <v>10.0</v>
      </c>
      <c r="K441" s="33" t="n">
        <f>413.8</f>
        <v>413.8</v>
      </c>
      <c r="L441" s="34" t="s">
        <v>48</v>
      </c>
      <c r="M441" s="33" t="n">
        <f>420.4</f>
        <v>420.4</v>
      </c>
      <c r="N441" s="34" t="s">
        <v>48</v>
      </c>
      <c r="O441" s="33" t="n">
        <f>330.5</f>
        <v>330.5</v>
      </c>
      <c r="P441" s="34" t="s">
        <v>49</v>
      </c>
      <c r="Q441" s="33" t="n">
        <f>353.7</f>
        <v>353.7</v>
      </c>
      <c r="R441" s="34" t="s">
        <v>50</v>
      </c>
      <c r="S441" s="35" t="n">
        <f>381.59</f>
        <v>381.59</v>
      </c>
      <c r="T441" s="32" t="n">
        <f>8443860</f>
        <v>8443860.0</v>
      </c>
      <c r="U441" s="32" t="n">
        <f>900</f>
        <v>900.0</v>
      </c>
      <c r="V441" s="32" t="n">
        <f>3157336121</f>
        <v>3.157336121E9</v>
      </c>
      <c r="W441" s="32" t="n">
        <f>314750</f>
        <v>314750.0</v>
      </c>
      <c r="X441" s="36" t="n">
        <f>21</f>
        <v>21.0</v>
      </c>
    </row>
    <row r="442">
      <c r="A442" s="27" t="s">
        <v>42</v>
      </c>
      <c r="B442" s="27" t="s">
        <v>1369</v>
      </c>
      <c r="C442" s="27" t="s">
        <v>1370</v>
      </c>
      <c r="D442" s="27" t="s">
        <v>1371</v>
      </c>
      <c r="E442" s="28" t="s">
        <v>46</v>
      </c>
      <c r="F442" s="29" t="s">
        <v>46</v>
      </c>
      <c r="G442" s="30" t="s">
        <v>46</v>
      </c>
      <c r="H442" s="31"/>
      <c r="I442" s="31" t="s">
        <v>416</v>
      </c>
      <c r="J442" s="32" t="n">
        <v>10.0</v>
      </c>
      <c r="K442" s="33" t="n">
        <f>451.6</f>
        <v>451.6</v>
      </c>
      <c r="L442" s="34" t="s">
        <v>48</v>
      </c>
      <c r="M442" s="33" t="n">
        <f>453.5</f>
        <v>453.5</v>
      </c>
      <c r="N442" s="34" t="s">
        <v>64</v>
      </c>
      <c r="O442" s="33" t="n">
        <f>362.8</f>
        <v>362.8</v>
      </c>
      <c r="P442" s="34" t="s">
        <v>49</v>
      </c>
      <c r="Q442" s="33" t="n">
        <f>389.9</f>
        <v>389.9</v>
      </c>
      <c r="R442" s="34" t="s">
        <v>50</v>
      </c>
      <c r="S442" s="35" t="n">
        <f>416.45</f>
        <v>416.45</v>
      </c>
      <c r="T442" s="32" t="n">
        <f>16323780</f>
        <v>1.632378E7</v>
      </c>
      <c r="U442" s="32" t="n">
        <f>1000480</f>
        <v>1000480.0</v>
      </c>
      <c r="V442" s="32" t="n">
        <f>6682885785</f>
        <v>6.682885785E9</v>
      </c>
      <c r="W442" s="32" t="n">
        <f>432511710</f>
        <v>4.3251171E8</v>
      </c>
      <c r="X442" s="36" t="n">
        <f>21</f>
        <v>21.0</v>
      </c>
    </row>
    <row r="443">
      <c r="A443" s="27" t="s">
        <v>42</v>
      </c>
      <c r="B443" s="27" t="s">
        <v>1372</v>
      </c>
      <c r="C443" s="27" t="s">
        <v>1373</v>
      </c>
      <c r="D443" s="27" t="s">
        <v>1374</v>
      </c>
      <c r="E443" s="28" t="s">
        <v>46</v>
      </c>
      <c r="F443" s="29" t="s">
        <v>46</v>
      </c>
      <c r="G443" s="30" t="s">
        <v>46</v>
      </c>
      <c r="H443" s="31"/>
      <c r="I443" s="31" t="s">
        <v>416</v>
      </c>
      <c r="J443" s="32" t="n">
        <v>1.0</v>
      </c>
      <c r="K443" s="33" t="n">
        <f>1130</f>
        <v>1130.0</v>
      </c>
      <c r="L443" s="34" t="s">
        <v>48</v>
      </c>
      <c r="M443" s="33" t="n">
        <f>1147</f>
        <v>1147.0</v>
      </c>
      <c r="N443" s="34" t="s">
        <v>107</v>
      </c>
      <c r="O443" s="33" t="n">
        <f>1067</f>
        <v>1067.0</v>
      </c>
      <c r="P443" s="34" t="s">
        <v>49</v>
      </c>
      <c r="Q443" s="33" t="n">
        <f>1083</f>
        <v>1083.0</v>
      </c>
      <c r="R443" s="34" t="s">
        <v>50</v>
      </c>
      <c r="S443" s="35" t="n">
        <f>1101.62</f>
        <v>1101.62</v>
      </c>
      <c r="T443" s="32" t="n">
        <f>581307</f>
        <v>581307.0</v>
      </c>
      <c r="U443" s="32" t="n">
        <f>8</f>
        <v>8.0</v>
      </c>
      <c r="V443" s="32" t="n">
        <f>643898251</f>
        <v>6.43898251E8</v>
      </c>
      <c r="W443" s="32" t="n">
        <f>8992</f>
        <v>8992.0</v>
      </c>
      <c r="X443" s="36" t="n">
        <f>21</f>
        <v>21.0</v>
      </c>
    </row>
    <row r="444">
      <c r="A444" s="27" t="s">
        <v>42</v>
      </c>
      <c r="B444" s="27" t="s">
        <v>1375</v>
      </c>
      <c r="C444" s="27" t="s">
        <v>1376</v>
      </c>
      <c r="D444" s="27" t="s">
        <v>1377</v>
      </c>
      <c r="E444" s="28" t="s">
        <v>46</v>
      </c>
      <c r="F444" s="29" t="s">
        <v>46</v>
      </c>
      <c r="G444" s="30" t="s">
        <v>46</v>
      </c>
      <c r="H444" s="31"/>
      <c r="I444" s="31" t="s">
        <v>47</v>
      </c>
      <c r="J444" s="32" t="n">
        <v>1.0</v>
      </c>
      <c r="K444" s="33" t="n">
        <f>2460</f>
        <v>2460.0</v>
      </c>
      <c r="L444" s="34" t="s">
        <v>48</v>
      </c>
      <c r="M444" s="33" t="n">
        <f>2467</f>
        <v>2467.0</v>
      </c>
      <c r="N444" s="34" t="s">
        <v>48</v>
      </c>
      <c r="O444" s="33" t="n">
        <f>2270</f>
        <v>2270.0</v>
      </c>
      <c r="P444" s="34" t="s">
        <v>49</v>
      </c>
      <c r="Q444" s="33" t="n">
        <f>2360</f>
        <v>2360.0</v>
      </c>
      <c r="R444" s="34" t="s">
        <v>50</v>
      </c>
      <c r="S444" s="35" t="n">
        <f>2363.14</f>
        <v>2363.14</v>
      </c>
      <c r="T444" s="32" t="n">
        <f>4496575</f>
        <v>4496575.0</v>
      </c>
      <c r="U444" s="32" t="n">
        <f>92303</f>
        <v>92303.0</v>
      </c>
      <c r="V444" s="32" t="n">
        <f>10584255623</f>
        <v>1.0584255623E10</v>
      </c>
      <c r="W444" s="32" t="n">
        <f>218523958</f>
        <v>2.18523958E8</v>
      </c>
      <c r="X444" s="36" t="n">
        <f>21</f>
        <v>21.0</v>
      </c>
    </row>
    <row r="445">
      <c r="A445" s="27" t="s">
        <v>42</v>
      </c>
      <c r="B445" s="27" t="s">
        <v>1378</v>
      </c>
      <c r="C445" s="27" t="s">
        <v>1379</v>
      </c>
      <c r="D445" s="27" t="s">
        <v>1380</v>
      </c>
      <c r="E445" s="28" t="s">
        <v>46</v>
      </c>
      <c r="F445" s="29" t="s">
        <v>46</v>
      </c>
      <c r="G445" s="30" t="s">
        <v>46</v>
      </c>
      <c r="H445" s="31"/>
      <c r="I445" s="31" t="s">
        <v>416</v>
      </c>
      <c r="J445" s="32" t="n">
        <v>1.0</v>
      </c>
      <c r="K445" s="33" t="n">
        <f>2061</f>
        <v>2061.0</v>
      </c>
      <c r="L445" s="34" t="s">
        <v>48</v>
      </c>
      <c r="M445" s="33" t="n">
        <f>2119</f>
        <v>2119.0</v>
      </c>
      <c r="N445" s="34" t="s">
        <v>301</v>
      </c>
      <c r="O445" s="33" t="n">
        <f>1912</f>
        <v>1912.0</v>
      </c>
      <c r="P445" s="34" t="s">
        <v>50</v>
      </c>
      <c r="Q445" s="33" t="n">
        <f>1924</f>
        <v>1924.0</v>
      </c>
      <c r="R445" s="34" t="s">
        <v>50</v>
      </c>
      <c r="S445" s="35" t="n">
        <f>2008.14</f>
        <v>2008.14</v>
      </c>
      <c r="T445" s="32" t="n">
        <f>684709</f>
        <v>684709.0</v>
      </c>
      <c r="U445" s="32" t="n">
        <f>436684</f>
        <v>436684.0</v>
      </c>
      <c r="V445" s="32" t="n">
        <f>1375022407</f>
        <v>1.375022407E9</v>
      </c>
      <c r="W445" s="32" t="n">
        <f>881427913</f>
        <v>8.81427913E8</v>
      </c>
      <c r="X445" s="36" t="n">
        <f>21</f>
        <v>21.0</v>
      </c>
    </row>
    <row r="446">
      <c r="A446" s="27" t="s">
        <v>42</v>
      </c>
      <c r="B446" s="27" t="s">
        <v>1381</v>
      </c>
      <c r="C446" s="27" t="s">
        <v>1382</v>
      </c>
      <c r="D446" s="27" t="s">
        <v>1383</v>
      </c>
      <c r="E446" s="28" t="s">
        <v>46</v>
      </c>
      <c r="F446" s="29" t="s">
        <v>46</v>
      </c>
      <c r="G446" s="30" t="s">
        <v>46</v>
      </c>
      <c r="H446" s="31"/>
      <c r="I446" s="31" t="s">
        <v>416</v>
      </c>
      <c r="J446" s="32" t="n">
        <v>10.0</v>
      </c>
      <c r="K446" s="33" t="n">
        <f>338.6</f>
        <v>338.6</v>
      </c>
      <c r="L446" s="34" t="s">
        <v>48</v>
      </c>
      <c r="M446" s="33" t="n">
        <f>338.6</f>
        <v>338.6</v>
      </c>
      <c r="N446" s="34" t="s">
        <v>48</v>
      </c>
      <c r="O446" s="33" t="n">
        <f>270.2</f>
        <v>270.2</v>
      </c>
      <c r="P446" s="34" t="s">
        <v>49</v>
      </c>
      <c r="Q446" s="33" t="n">
        <f>289.6</f>
        <v>289.6</v>
      </c>
      <c r="R446" s="34" t="s">
        <v>50</v>
      </c>
      <c r="S446" s="35" t="n">
        <f>309.83</f>
        <v>309.83</v>
      </c>
      <c r="T446" s="32" t="n">
        <f>6420890</f>
        <v>6420890.0</v>
      </c>
      <c r="U446" s="32" t="str">
        <f>"－"</f>
        <v>－</v>
      </c>
      <c r="V446" s="32" t="n">
        <f>1970571584</f>
        <v>1.970571584E9</v>
      </c>
      <c r="W446" s="32" t="str">
        <f>"－"</f>
        <v>－</v>
      </c>
      <c r="X446" s="36" t="n">
        <f>21</f>
        <v>21.0</v>
      </c>
    </row>
    <row r="447">
      <c r="A447" s="27" t="s">
        <v>42</v>
      </c>
      <c r="B447" s="27" t="s">
        <v>1384</v>
      </c>
      <c r="C447" s="27" t="s">
        <v>1385</v>
      </c>
      <c r="D447" s="27" t="s">
        <v>1386</v>
      </c>
      <c r="E447" s="28" t="s">
        <v>46</v>
      </c>
      <c r="F447" s="29" t="s">
        <v>46</v>
      </c>
      <c r="G447" s="30" t="s">
        <v>46</v>
      </c>
      <c r="H447" s="31"/>
      <c r="I447" s="31" t="s">
        <v>416</v>
      </c>
      <c r="J447" s="32" t="n">
        <v>10.0</v>
      </c>
      <c r="K447" s="33" t="n">
        <f>331.2</f>
        <v>331.2</v>
      </c>
      <c r="L447" s="34" t="s">
        <v>48</v>
      </c>
      <c r="M447" s="33" t="n">
        <f>331.2</f>
        <v>331.2</v>
      </c>
      <c r="N447" s="34" t="s">
        <v>48</v>
      </c>
      <c r="O447" s="33" t="n">
        <f>259.1</f>
        <v>259.1</v>
      </c>
      <c r="P447" s="34" t="s">
        <v>49</v>
      </c>
      <c r="Q447" s="33" t="n">
        <f>277.6</f>
        <v>277.6</v>
      </c>
      <c r="R447" s="34" t="s">
        <v>50</v>
      </c>
      <c r="S447" s="35" t="n">
        <f>299.65</f>
        <v>299.65</v>
      </c>
      <c r="T447" s="32" t="n">
        <f>3810920</f>
        <v>3810920.0</v>
      </c>
      <c r="U447" s="32" t="n">
        <f>10</f>
        <v>10.0</v>
      </c>
      <c r="V447" s="32" t="n">
        <f>1090531951</f>
        <v>1.090531951E9</v>
      </c>
      <c r="W447" s="32" t="n">
        <f>2735</f>
        <v>2735.0</v>
      </c>
      <c r="X447" s="36" t="n">
        <f>21</f>
        <v>21.0</v>
      </c>
    </row>
    <row r="448">
      <c r="A448" s="27" t="s">
        <v>42</v>
      </c>
      <c r="B448" s="27" t="s">
        <v>1387</v>
      </c>
      <c r="C448" s="27" t="s">
        <v>1388</v>
      </c>
      <c r="D448" s="27" t="s">
        <v>1389</v>
      </c>
      <c r="E448" s="28" t="s">
        <v>46</v>
      </c>
      <c r="F448" s="29" t="s">
        <v>46</v>
      </c>
      <c r="G448" s="30" t="s">
        <v>46</v>
      </c>
      <c r="H448" s="31"/>
      <c r="I448" s="31" t="s">
        <v>416</v>
      </c>
      <c r="J448" s="32" t="n">
        <v>10.0</v>
      </c>
      <c r="K448" s="33" t="n">
        <f>728.5</f>
        <v>728.5</v>
      </c>
      <c r="L448" s="34" t="s">
        <v>48</v>
      </c>
      <c r="M448" s="33" t="n">
        <f>738</f>
        <v>738.0</v>
      </c>
      <c r="N448" s="34" t="s">
        <v>107</v>
      </c>
      <c r="O448" s="33" t="n">
        <f>685</f>
        <v>685.0</v>
      </c>
      <c r="P448" s="34" t="s">
        <v>50</v>
      </c>
      <c r="Q448" s="33" t="n">
        <f>691.9</f>
        <v>691.9</v>
      </c>
      <c r="R448" s="34" t="s">
        <v>50</v>
      </c>
      <c r="S448" s="35" t="n">
        <f>716.7</f>
        <v>716.7</v>
      </c>
      <c r="T448" s="32" t="n">
        <f>615220</f>
        <v>615220.0</v>
      </c>
      <c r="U448" s="32" t="str">
        <f>"－"</f>
        <v>－</v>
      </c>
      <c r="V448" s="32" t="n">
        <f>436735530</f>
        <v>4.3673553E8</v>
      </c>
      <c r="W448" s="32" t="str">
        <f>"－"</f>
        <v>－</v>
      </c>
      <c r="X448" s="36" t="n">
        <f>21</f>
        <v>21.0</v>
      </c>
    </row>
    <row r="449">
      <c r="A449" s="27" t="s">
        <v>42</v>
      </c>
      <c r="B449" s="27" t="s">
        <v>1390</v>
      </c>
      <c r="C449" s="27" t="s">
        <v>1391</v>
      </c>
      <c r="D449" s="27" t="s">
        <v>1392</v>
      </c>
      <c r="E449" s="28" t="s">
        <v>46</v>
      </c>
      <c r="F449" s="29" t="s">
        <v>46</v>
      </c>
      <c r="G449" s="30" t="s">
        <v>46</v>
      </c>
      <c r="H449" s="31"/>
      <c r="I449" s="31" t="s">
        <v>416</v>
      </c>
      <c r="J449" s="32" t="n">
        <v>10.0</v>
      </c>
      <c r="K449" s="33" t="n">
        <f>714.8</f>
        <v>714.8</v>
      </c>
      <c r="L449" s="34" t="s">
        <v>48</v>
      </c>
      <c r="M449" s="33" t="n">
        <f>725</f>
        <v>725.0</v>
      </c>
      <c r="N449" s="34" t="s">
        <v>301</v>
      </c>
      <c r="O449" s="33" t="n">
        <f>655.8</f>
        <v>655.8</v>
      </c>
      <c r="P449" s="34" t="s">
        <v>57</v>
      </c>
      <c r="Q449" s="33" t="n">
        <f>663.9</f>
        <v>663.9</v>
      </c>
      <c r="R449" s="34" t="s">
        <v>50</v>
      </c>
      <c r="S449" s="35" t="n">
        <f>693.19</f>
        <v>693.19</v>
      </c>
      <c r="T449" s="32" t="n">
        <f>6574980</f>
        <v>6574980.0</v>
      </c>
      <c r="U449" s="32" t="n">
        <f>6527270</f>
        <v>6527270.0</v>
      </c>
      <c r="V449" s="32" t="n">
        <f>4547931901</f>
        <v>4.547931901E9</v>
      </c>
      <c r="W449" s="32" t="n">
        <f>4514832728</f>
        <v>4.514832728E9</v>
      </c>
      <c r="X449" s="36" t="n">
        <f>21</f>
        <v>21.0</v>
      </c>
    </row>
    <row r="450">
      <c r="A450" s="27" t="s">
        <v>42</v>
      </c>
      <c r="B450" s="27" t="s">
        <v>1393</v>
      </c>
      <c r="C450" s="27" t="s">
        <v>1394</v>
      </c>
      <c r="D450" s="27" t="s">
        <v>1395</v>
      </c>
      <c r="E450" s="28" t="s">
        <v>46</v>
      </c>
      <c r="F450" s="29" t="s">
        <v>46</v>
      </c>
      <c r="G450" s="30" t="s">
        <v>46</v>
      </c>
      <c r="H450" s="31"/>
      <c r="I450" s="31" t="s">
        <v>416</v>
      </c>
      <c r="J450" s="32" t="n">
        <v>10.0</v>
      </c>
      <c r="K450" s="33" t="n">
        <f>285</f>
        <v>285.0</v>
      </c>
      <c r="L450" s="34" t="s">
        <v>48</v>
      </c>
      <c r="M450" s="33" t="n">
        <f>290</f>
        <v>290.0</v>
      </c>
      <c r="N450" s="34" t="s">
        <v>301</v>
      </c>
      <c r="O450" s="33" t="n">
        <f>267.5</f>
        <v>267.5</v>
      </c>
      <c r="P450" s="34" t="s">
        <v>49</v>
      </c>
      <c r="Q450" s="33" t="n">
        <f>279.1</f>
        <v>279.1</v>
      </c>
      <c r="R450" s="34" t="s">
        <v>50</v>
      </c>
      <c r="S450" s="35" t="n">
        <f>279.07</f>
        <v>279.07</v>
      </c>
      <c r="T450" s="32" t="n">
        <f>381260</f>
        <v>381260.0</v>
      </c>
      <c r="U450" s="32" t="n">
        <f>60</f>
        <v>60.0</v>
      </c>
      <c r="V450" s="32" t="n">
        <f>105660333</f>
        <v>1.05660333E8</v>
      </c>
      <c r="W450" s="32" t="n">
        <f>16575</f>
        <v>16575.0</v>
      </c>
      <c r="X450" s="36" t="n">
        <f>21</f>
        <v>21.0</v>
      </c>
    </row>
    <row r="451">
      <c r="A451" s="27" t="s">
        <v>42</v>
      </c>
      <c r="B451" s="27" t="s">
        <v>1396</v>
      </c>
      <c r="C451" s="27" t="s">
        <v>1397</v>
      </c>
      <c r="D451" s="27" t="s">
        <v>1398</v>
      </c>
      <c r="E451" s="28" t="s">
        <v>46</v>
      </c>
      <c r="F451" s="29" t="s">
        <v>46</v>
      </c>
      <c r="G451" s="30" t="s">
        <v>46</v>
      </c>
      <c r="H451" s="31"/>
      <c r="I451" s="31" t="s">
        <v>416</v>
      </c>
      <c r="J451" s="32" t="n">
        <v>10.0</v>
      </c>
      <c r="K451" s="33" t="n">
        <f>797.5</f>
        <v>797.5</v>
      </c>
      <c r="L451" s="34" t="s">
        <v>48</v>
      </c>
      <c r="M451" s="33" t="n">
        <f>812.5</f>
        <v>812.5</v>
      </c>
      <c r="N451" s="34" t="s">
        <v>578</v>
      </c>
      <c r="O451" s="33" t="n">
        <f>770.1</f>
        <v>770.1</v>
      </c>
      <c r="P451" s="34" t="s">
        <v>50</v>
      </c>
      <c r="Q451" s="33" t="n">
        <f>784.9</f>
        <v>784.9</v>
      </c>
      <c r="R451" s="34" t="s">
        <v>50</v>
      </c>
      <c r="S451" s="35" t="n">
        <f>796.04</f>
        <v>796.04</v>
      </c>
      <c r="T451" s="32" t="n">
        <f>3489850</f>
        <v>3489850.0</v>
      </c>
      <c r="U451" s="32" t="n">
        <f>60</f>
        <v>60.0</v>
      </c>
      <c r="V451" s="32" t="n">
        <f>2769524883</f>
        <v>2.769524883E9</v>
      </c>
      <c r="W451" s="32" t="n">
        <f>47784</f>
        <v>47784.0</v>
      </c>
      <c r="X451" s="36" t="n">
        <f>21</f>
        <v>21.0</v>
      </c>
    </row>
    <row r="452">
      <c r="A452" s="27" t="s">
        <v>42</v>
      </c>
      <c r="B452" s="27" t="s">
        <v>1399</v>
      </c>
      <c r="C452" s="27" t="s">
        <v>1400</v>
      </c>
      <c r="D452" s="27" t="s">
        <v>1401</v>
      </c>
      <c r="E452" s="28" t="s">
        <v>46</v>
      </c>
      <c r="F452" s="29" t="s">
        <v>46</v>
      </c>
      <c r="G452" s="30" t="s">
        <v>46</v>
      </c>
      <c r="H452" s="31"/>
      <c r="I452" s="31" t="s">
        <v>416</v>
      </c>
      <c r="J452" s="32" t="n">
        <v>10.0</v>
      </c>
      <c r="K452" s="33" t="n">
        <f>823.9</f>
        <v>823.9</v>
      </c>
      <c r="L452" s="34" t="s">
        <v>48</v>
      </c>
      <c r="M452" s="33" t="n">
        <f>827</f>
        <v>827.0</v>
      </c>
      <c r="N452" s="34" t="s">
        <v>276</v>
      </c>
      <c r="O452" s="33" t="n">
        <f>791.9</f>
        <v>791.9</v>
      </c>
      <c r="P452" s="34" t="s">
        <v>49</v>
      </c>
      <c r="Q452" s="33" t="n">
        <f>805.2</f>
        <v>805.2</v>
      </c>
      <c r="R452" s="34" t="s">
        <v>50</v>
      </c>
      <c r="S452" s="35" t="n">
        <f>808.92</f>
        <v>808.92</v>
      </c>
      <c r="T452" s="32" t="n">
        <f>2485510</f>
        <v>2485510.0</v>
      </c>
      <c r="U452" s="32" t="n">
        <f>110</f>
        <v>110.0</v>
      </c>
      <c r="V452" s="32" t="n">
        <f>2016107208</f>
        <v>2.016107208E9</v>
      </c>
      <c r="W452" s="32" t="n">
        <f>88934</f>
        <v>88934.0</v>
      </c>
      <c r="X452" s="36" t="n">
        <f>21</f>
        <v>21.0</v>
      </c>
    </row>
    <row r="453">
      <c r="A453" s="27" t="s">
        <v>42</v>
      </c>
      <c r="B453" s="27" t="s">
        <v>1402</v>
      </c>
      <c r="C453" s="27" t="s">
        <v>1403</v>
      </c>
      <c r="D453" s="27" t="s">
        <v>1404</v>
      </c>
      <c r="E453" s="28" t="s">
        <v>46</v>
      </c>
      <c r="F453" s="29" t="s">
        <v>46</v>
      </c>
      <c r="G453" s="30" t="s">
        <v>46</v>
      </c>
      <c r="H453" s="31"/>
      <c r="I453" s="31" t="s">
        <v>416</v>
      </c>
      <c r="J453" s="32" t="n">
        <v>1.0</v>
      </c>
      <c r="K453" s="33" t="n">
        <f>11740</f>
        <v>11740.0</v>
      </c>
      <c r="L453" s="34" t="s">
        <v>48</v>
      </c>
      <c r="M453" s="33" t="n">
        <f>11740</f>
        <v>11740.0</v>
      </c>
      <c r="N453" s="34" t="s">
        <v>48</v>
      </c>
      <c r="O453" s="33" t="n">
        <f>10600</f>
        <v>10600.0</v>
      </c>
      <c r="P453" s="34" t="s">
        <v>57</v>
      </c>
      <c r="Q453" s="33" t="n">
        <f>10600</f>
        <v>10600.0</v>
      </c>
      <c r="R453" s="34" t="s">
        <v>50</v>
      </c>
      <c r="S453" s="35" t="n">
        <f>11196.43</f>
        <v>11196.43</v>
      </c>
      <c r="T453" s="32" t="n">
        <f>4209</f>
        <v>4209.0</v>
      </c>
      <c r="U453" s="32" t="str">
        <f>"－"</f>
        <v>－</v>
      </c>
      <c r="V453" s="32" t="n">
        <f>46778930</f>
        <v>4.677893E7</v>
      </c>
      <c r="W453" s="32" t="str">
        <f>"－"</f>
        <v>－</v>
      </c>
      <c r="X453" s="36" t="n">
        <f>21</f>
        <v>21.0</v>
      </c>
    </row>
    <row r="454">
      <c r="A454" s="27" t="s">
        <v>42</v>
      </c>
      <c r="B454" s="27" t="s">
        <v>1405</v>
      </c>
      <c r="C454" s="27" t="s">
        <v>1406</v>
      </c>
      <c r="D454" s="27" t="s">
        <v>1407</v>
      </c>
      <c r="E454" s="28" t="s">
        <v>46</v>
      </c>
      <c r="F454" s="29" t="s">
        <v>46</v>
      </c>
      <c r="G454" s="30" t="s">
        <v>46</v>
      </c>
      <c r="H454" s="31"/>
      <c r="I454" s="31" t="s">
        <v>416</v>
      </c>
      <c r="J454" s="32" t="n">
        <v>1.0</v>
      </c>
      <c r="K454" s="33" t="n">
        <f>2523</f>
        <v>2523.0</v>
      </c>
      <c r="L454" s="34" t="s">
        <v>48</v>
      </c>
      <c r="M454" s="33" t="n">
        <f>2550</f>
        <v>2550.0</v>
      </c>
      <c r="N454" s="34" t="s">
        <v>48</v>
      </c>
      <c r="O454" s="33" t="n">
        <f>2227</f>
        <v>2227.0</v>
      </c>
      <c r="P454" s="34" t="s">
        <v>49</v>
      </c>
      <c r="Q454" s="33" t="n">
        <f>2341</f>
        <v>2341.0</v>
      </c>
      <c r="R454" s="34" t="s">
        <v>50</v>
      </c>
      <c r="S454" s="35" t="n">
        <f>2366.71</f>
        <v>2366.71</v>
      </c>
      <c r="T454" s="32" t="n">
        <f>99864</f>
        <v>99864.0</v>
      </c>
      <c r="U454" s="32" t="str">
        <f>"－"</f>
        <v>－</v>
      </c>
      <c r="V454" s="32" t="n">
        <f>236286674</f>
        <v>2.36286674E8</v>
      </c>
      <c r="W454" s="32" t="str">
        <f>"－"</f>
        <v>－</v>
      </c>
      <c r="X454" s="36" t="n">
        <f>21</f>
        <v>21.0</v>
      </c>
    </row>
    <row r="455">
      <c r="A455" s="27" t="s">
        <v>42</v>
      </c>
      <c r="B455" s="27" t="s">
        <v>1408</v>
      </c>
      <c r="C455" s="27" t="s">
        <v>1409</v>
      </c>
      <c r="D455" s="27" t="s">
        <v>1410</v>
      </c>
      <c r="E455" s="28" t="s">
        <v>46</v>
      </c>
      <c r="F455" s="29" t="s">
        <v>46</v>
      </c>
      <c r="G455" s="30" t="s">
        <v>46</v>
      </c>
      <c r="H455" s="31"/>
      <c r="I455" s="31" t="s">
        <v>416</v>
      </c>
      <c r="J455" s="32" t="n">
        <v>1.0</v>
      </c>
      <c r="K455" s="33" t="n">
        <f>1270</f>
        <v>1270.0</v>
      </c>
      <c r="L455" s="34" t="s">
        <v>48</v>
      </c>
      <c r="M455" s="33" t="n">
        <f>1280</f>
        <v>1280.0</v>
      </c>
      <c r="N455" s="34" t="s">
        <v>48</v>
      </c>
      <c r="O455" s="33" t="n">
        <f>1160</f>
        <v>1160.0</v>
      </c>
      <c r="P455" s="34" t="s">
        <v>181</v>
      </c>
      <c r="Q455" s="33" t="n">
        <f>1225</f>
        <v>1225.0</v>
      </c>
      <c r="R455" s="34" t="s">
        <v>50</v>
      </c>
      <c r="S455" s="35" t="n">
        <f>1230.62</f>
        <v>1230.62</v>
      </c>
      <c r="T455" s="32" t="n">
        <f>1590247</f>
        <v>1590247.0</v>
      </c>
      <c r="U455" s="32" t="n">
        <f>561500</f>
        <v>561500.0</v>
      </c>
      <c r="V455" s="32" t="n">
        <f>1939387742</f>
        <v>1.939387742E9</v>
      </c>
      <c r="W455" s="32" t="n">
        <f>690247345</f>
        <v>6.90247345E8</v>
      </c>
      <c r="X455" s="36" t="n">
        <f>21</f>
        <v>21.0</v>
      </c>
    </row>
    <row r="456">
      <c r="A456" s="27" t="s">
        <v>42</v>
      </c>
      <c r="B456" s="27" t="s">
        <v>1411</v>
      </c>
      <c r="C456" s="27" t="s">
        <v>1412</v>
      </c>
      <c r="D456" s="27" t="s">
        <v>1413</v>
      </c>
      <c r="E456" s="28" t="s">
        <v>46</v>
      </c>
      <c r="F456" s="29" t="s">
        <v>46</v>
      </c>
      <c r="G456" s="30" t="s">
        <v>46</v>
      </c>
      <c r="H456" s="31"/>
      <c r="I456" s="31" t="s">
        <v>416</v>
      </c>
      <c r="J456" s="32" t="n">
        <v>1.0</v>
      </c>
      <c r="K456" s="33" t="n">
        <f>1240</f>
        <v>1240.0</v>
      </c>
      <c r="L456" s="34" t="s">
        <v>48</v>
      </c>
      <c r="M456" s="33" t="n">
        <f>1285</f>
        <v>1285.0</v>
      </c>
      <c r="N456" s="34" t="s">
        <v>64</v>
      </c>
      <c r="O456" s="33" t="n">
        <f>1132</f>
        <v>1132.0</v>
      </c>
      <c r="P456" s="34" t="s">
        <v>50</v>
      </c>
      <c r="Q456" s="33" t="n">
        <f>1140</f>
        <v>1140.0</v>
      </c>
      <c r="R456" s="34" t="s">
        <v>50</v>
      </c>
      <c r="S456" s="35" t="n">
        <f>1231.9</f>
        <v>1231.9</v>
      </c>
      <c r="T456" s="32" t="n">
        <f>3083858</f>
        <v>3083858.0</v>
      </c>
      <c r="U456" s="32" t="n">
        <f>4819</f>
        <v>4819.0</v>
      </c>
      <c r="V456" s="32" t="n">
        <f>3842185517</f>
        <v>3.842185517E9</v>
      </c>
      <c r="W456" s="32" t="n">
        <f>5889236</f>
        <v>5889236.0</v>
      </c>
      <c r="X456" s="36" t="n">
        <f>21</f>
        <v>21.0</v>
      </c>
    </row>
    <row r="457">
      <c r="A457" s="27" t="s">
        <v>42</v>
      </c>
      <c r="B457" s="27" t="s">
        <v>1414</v>
      </c>
      <c r="C457" s="27" t="s">
        <v>1415</v>
      </c>
      <c r="D457" s="27" t="s">
        <v>1416</v>
      </c>
      <c r="E457" s="28" t="s">
        <v>46</v>
      </c>
      <c r="F457" s="29" t="s">
        <v>46</v>
      </c>
      <c r="G457" s="30" t="s">
        <v>46</v>
      </c>
      <c r="H457" s="31"/>
      <c r="I457" s="31" t="s">
        <v>416</v>
      </c>
      <c r="J457" s="32" t="n">
        <v>10.0</v>
      </c>
      <c r="K457" s="33" t="n">
        <f>301.7</f>
        <v>301.7</v>
      </c>
      <c r="L457" s="34" t="s">
        <v>48</v>
      </c>
      <c r="M457" s="33" t="n">
        <f>302</f>
        <v>302.0</v>
      </c>
      <c r="N457" s="34" t="s">
        <v>181</v>
      </c>
      <c r="O457" s="33" t="n">
        <f>285.4</f>
        <v>285.4</v>
      </c>
      <c r="P457" s="34" t="s">
        <v>49</v>
      </c>
      <c r="Q457" s="33" t="n">
        <f>286.6</f>
        <v>286.6</v>
      </c>
      <c r="R457" s="34" t="s">
        <v>57</v>
      </c>
      <c r="S457" s="35" t="n">
        <f>291.38</f>
        <v>291.38</v>
      </c>
      <c r="T457" s="32" t="n">
        <f>36680</f>
        <v>36680.0</v>
      </c>
      <c r="U457" s="32" t="str">
        <f>"－"</f>
        <v>－</v>
      </c>
      <c r="V457" s="32" t="n">
        <f>10829200</f>
        <v>1.08292E7</v>
      </c>
      <c r="W457" s="32" t="str">
        <f>"－"</f>
        <v>－</v>
      </c>
      <c r="X457" s="36" t="n">
        <f>20</f>
        <v>20.0</v>
      </c>
    </row>
    <row r="458">
      <c r="A458" s="27" t="s">
        <v>42</v>
      </c>
      <c r="B458" s="27" t="s">
        <v>1417</v>
      </c>
      <c r="C458" s="27" t="s">
        <v>1418</v>
      </c>
      <c r="D458" s="27" t="s">
        <v>1419</v>
      </c>
      <c r="E458" s="28" t="s">
        <v>46</v>
      </c>
      <c r="F458" s="29" t="s">
        <v>46</v>
      </c>
      <c r="G458" s="30" t="s">
        <v>46</v>
      </c>
      <c r="H458" s="31"/>
      <c r="I458" s="31" t="s">
        <v>416</v>
      </c>
      <c r="J458" s="32" t="n">
        <v>10.0</v>
      </c>
      <c r="K458" s="33" t="n">
        <f>303</f>
        <v>303.0</v>
      </c>
      <c r="L458" s="34" t="s">
        <v>48</v>
      </c>
      <c r="M458" s="33" t="n">
        <f>304.4</f>
        <v>304.4</v>
      </c>
      <c r="N458" s="34" t="s">
        <v>301</v>
      </c>
      <c r="O458" s="33" t="n">
        <f>286.2</f>
        <v>286.2</v>
      </c>
      <c r="P458" s="34" t="s">
        <v>49</v>
      </c>
      <c r="Q458" s="33" t="n">
        <f>289.7</f>
        <v>289.7</v>
      </c>
      <c r="R458" s="34" t="s">
        <v>50</v>
      </c>
      <c r="S458" s="35" t="n">
        <f>292.68</f>
        <v>292.68</v>
      </c>
      <c r="T458" s="32" t="n">
        <f>257310</f>
        <v>257310.0</v>
      </c>
      <c r="U458" s="32" t="str">
        <f>"－"</f>
        <v>－</v>
      </c>
      <c r="V458" s="32" t="n">
        <f>75696426</f>
        <v>7.5696426E7</v>
      </c>
      <c r="W458" s="32" t="str">
        <f>"－"</f>
        <v>－</v>
      </c>
      <c r="X458" s="36" t="n">
        <f>21</f>
        <v>21.0</v>
      </c>
    </row>
    <row r="459">
      <c r="A459" s="27" t="s">
        <v>42</v>
      </c>
      <c r="B459" s="27" t="s">
        <v>1420</v>
      </c>
      <c r="C459" s="27" t="s">
        <v>1421</v>
      </c>
      <c r="D459" s="27" t="s">
        <v>1422</v>
      </c>
      <c r="E459" s="28" t="s">
        <v>46</v>
      </c>
      <c r="F459" s="29" t="s">
        <v>46</v>
      </c>
      <c r="G459" s="30" t="s">
        <v>46</v>
      </c>
      <c r="H459" s="31"/>
      <c r="I459" s="31" t="s">
        <v>416</v>
      </c>
      <c r="J459" s="32" t="n">
        <v>1.0</v>
      </c>
      <c r="K459" s="33" t="n">
        <f>1160</f>
        <v>1160.0</v>
      </c>
      <c r="L459" s="34" t="s">
        <v>48</v>
      </c>
      <c r="M459" s="33" t="n">
        <f>1172</f>
        <v>1172.0</v>
      </c>
      <c r="N459" s="34" t="s">
        <v>48</v>
      </c>
      <c r="O459" s="33" t="n">
        <f>1017</f>
        <v>1017.0</v>
      </c>
      <c r="P459" s="34" t="s">
        <v>49</v>
      </c>
      <c r="Q459" s="33" t="n">
        <f>1038</f>
        <v>1038.0</v>
      </c>
      <c r="R459" s="34" t="s">
        <v>50</v>
      </c>
      <c r="S459" s="35" t="n">
        <f>1084.57</f>
        <v>1084.57</v>
      </c>
      <c r="T459" s="32" t="n">
        <f>1087407</f>
        <v>1087407.0</v>
      </c>
      <c r="U459" s="32" t="n">
        <f>535001</f>
        <v>535001.0</v>
      </c>
      <c r="V459" s="32" t="n">
        <f>1215918678</f>
        <v>1.215918678E9</v>
      </c>
      <c r="W459" s="32" t="n">
        <f>611831580</f>
        <v>6.1183158E8</v>
      </c>
      <c r="X459" s="36" t="n">
        <f>21</f>
        <v>21.0</v>
      </c>
    </row>
    <row r="460">
      <c r="A460" s="27" t="s">
        <v>42</v>
      </c>
      <c r="B460" s="27" t="s">
        <v>1423</v>
      </c>
      <c r="C460" s="27" t="s">
        <v>1424</v>
      </c>
      <c r="D460" s="27" t="s">
        <v>1425</v>
      </c>
      <c r="E460" s="28" t="s">
        <v>46</v>
      </c>
      <c r="F460" s="29" t="s">
        <v>46</v>
      </c>
      <c r="G460" s="30" t="s">
        <v>46</v>
      </c>
      <c r="H460" s="31"/>
      <c r="I460" s="31" t="s">
        <v>416</v>
      </c>
      <c r="J460" s="32" t="n">
        <v>1.0</v>
      </c>
      <c r="K460" s="33" t="n">
        <f>2140</f>
        <v>2140.0</v>
      </c>
      <c r="L460" s="34" t="s">
        <v>48</v>
      </c>
      <c r="M460" s="33" t="n">
        <f>2140</f>
        <v>2140.0</v>
      </c>
      <c r="N460" s="34" t="s">
        <v>48</v>
      </c>
      <c r="O460" s="33" t="n">
        <f>1895</f>
        <v>1895.0</v>
      </c>
      <c r="P460" s="34" t="s">
        <v>49</v>
      </c>
      <c r="Q460" s="33" t="n">
        <f>1935</f>
        <v>1935.0</v>
      </c>
      <c r="R460" s="34" t="s">
        <v>50</v>
      </c>
      <c r="S460" s="35" t="n">
        <f>1989.9</f>
        <v>1989.9</v>
      </c>
      <c r="T460" s="32" t="n">
        <f>132452</f>
        <v>132452.0</v>
      </c>
      <c r="U460" s="32" t="str">
        <f>"－"</f>
        <v>－</v>
      </c>
      <c r="V460" s="32" t="n">
        <f>264858158</f>
        <v>2.64858158E8</v>
      </c>
      <c r="W460" s="32" t="str">
        <f>"－"</f>
        <v>－</v>
      </c>
      <c r="X460" s="36" t="n">
        <f>21</f>
        <v>21.0</v>
      </c>
    </row>
    <row r="461">
      <c r="A461" s="27" t="s">
        <v>42</v>
      </c>
      <c r="B461" s="27" t="s">
        <v>1426</v>
      </c>
      <c r="C461" s="27" t="s">
        <v>1427</v>
      </c>
      <c r="D461" s="27" t="s">
        <v>1428</v>
      </c>
      <c r="E461" s="28" t="s">
        <v>46</v>
      </c>
      <c r="F461" s="29" t="s">
        <v>46</v>
      </c>
      <c r="G461" s="30" t="s">
        <v>46</v>
      </c>
      <c r="H461" s="31"/>
      <c r="I461" s="31" t="s">
        <v>416</v>
      </c>
      <c r="J461" s="32" t="n">
        <v>1.0</v>
      </c>
      <c r="K461" s="33" t="n">
        <f>2074</f>
        <v>2074.0</v>
      </c>
      <c r="L461" s="34" t="s">
        <v>48</v>
      </c>
      <c r="M461" s="33" t="n">
        <f>2080</f>
        <v>2080.0</v>
      </c>
      <c r="N461" s="34" t="s">
        <v>48</v>
      </c>
      <c r="O461" s="33" t="n">
        <f>1803</f>
        <v>1803.0</v>
      </c>
      <c r="P461" s="34" t="s">
        <v>57</v>
      </c>
      <c r="Q461" s="33" t="n">
        <f>1868</f>
        <v>1868.0</v>
      </c>
      <c r="R461" s="34" t="s">
        <v>50</v>
      </c>
      <c r="S461" s="35" t="n">
        <f>1925.76</f>
        <v>1925.76</v>
      </c>
      <c r="T461" s="32" t="n">
        <f>86231</f>
        <v>86231.0</v>
      </c>
      <c r="U461" s="32" t="n">
        <f>997</f>
        <v>997.0</v>
      </c>
      <c r="V461" s="32" t="n">
        <f>166019059</f>
        <v>1.66019059E8</v>
      </c>
      <c r="W461" s="32" t="n">
        <f>1988679</f>
        <v>1988679.0</v>
      </c>
      <c r="X461" s="36" t="n">
        <f>21</f>
        <v>21.0</v>
      </c>
    </row>
    <row r="462">
      <c r="A462" s="27" t="s">
        <v>42</v>
      </c>
      <c r="B462" s="27" t="s">
        <v>1429</v>
      </c>
      <c r="C462" s="27" t="s">
        <v>1430</v>
      </c>
      <c r="D462" s="27" t="s">
        <v>1431</v>
      </c>
      <c r="E462" s="28" t="s">
        <v>46</v>
      </c>
      <c r="F462" s="29" t="s">
        <v>46</v>
      </c>
      <c r="G462" s="30" t="s">
        <v>46</v>
      </c>
      <c r="H462" s="31"/>
      <c r="I462" s="31" t="s">
        <v>416</v>
      </c>
      <c r="J462" s="32" t="n">
        <v>10.0</v>
      </c>
      <c r="K462" s="33" t="n">
        <f>791.6</f>
        <v>791.6</v>
      </c>
      <c r="L462" s="34" t="s">
        <v>48</v>
      </c>
      <c r="M462" s="33" t="n">
        <f>793.4</f>
        <v>793.4</v>
      </c>
      <c r="N462" s="34" t="s">
        <v>48</v>
      </c>
      <c r="O462" s="33" t="n">
        <f>771.5</f>
        <v>771.5</v>
      </c>
      <c r="P462" s="34" t="s">
        <v>57</v>
      </c>
      <c r="Q462" s="33" t="n">
        <f>773.7</f>
        <v>773.7</v>
      </c>
      <c r="R462" s="34" t="s">
        <v>50</v>
      </c>
      <c r="S462" s="35" t="n">
        <f>779.97</f>
        <v>779.97</v>
      </c>
      <c r="T462" s="32" t="n">
        <f>1042110</f>
        <v>1042110.0</v>
      </c>
      <c r="U462" s="32" t="str">
        <f>"－"</f>
        <v>－</v>
      </c>
      <c r="V462" s="32" t="n">
        <f>812630830</f>
        <v>8.1263083E8</v>
      </c>
      <c r="W462" s="32" t="str">
        <f>"－"</f>
        <v>－</v>
      </c>
      <c r="X462" s="36" t="n">
        <f>21</f>
        <v>21.0</v>
      </c>
    </row>
    <row r="463">
      <c r="A463" s="27" t="s">
        <v>42</v>
      </c>
      <c r="B463" s="27" t="s">
        <v>1432</v>
      </c>
      <c r="C463" s="27" t="s">
        <v>1433</v>
      </c>
      <c r="D463" s="27" t="s">
        <v>1434</v>
      </c>
      <c r="E463" s="28" t="s">
        <v>46</v>
      </c>
      <c r="F463" s="29" t="s">
        <v>46</v>
      </c>
      <c r="G463" s="30" t="s">
        <v>46</v>
      </c>
      <c r="H463" s="31"/>
      <c r="I463" s="31" t="s">
        <v>416</v>
      </c>
      <c r="J463" s="32" t="n">
        <v>1.0</v>
      </c>
      <c r="K463" s="33" t="n">
        <f>984</f>
        <v>984.0</v>
      </c>
      <c r="L463" s="34" t="s">
        <v>48</v>
      </c>
      <c r="M463" s="33" t="n">
        <f>984</f>
        <v>984.0</v>
      </c>
      <c r="N463" s="34" t="s">
        <v>48</v>
      </c>
      <c r="O463" s="33" t="n">
        <f>934</f>
        <v>934.0</v>
      </c>
      <c r="P463" s="34" t="s">
        <v>56</v>
      </c>
      <c r="Q463" s="33" t="n">
        <f>938</f>
        <v>938.0</v>
      </c>
      <c r="R463" s="34" t="s">
        <v>50</v>
      </c>
      <c r="S463" s="35" t="n">
        <f>953.57</f>
        <v>953.57</v>
      </c>
      <c r="T463" s="32" t="n">
        <f>5021</f>
        <v>5021.0</v>
      </c>
      <c r="U463" s="32" t="str">
        <f>"－"</f>
        <v>－</v>
      </c>
      <c r="V463" s="32" t="n">
        <f>4750086</f>
        <v>4750086.0</v>
      </c>
      <c r="W463" s="32" t="str">
        <f>"－"</f>
        <v>－</v>
      </c>
      <c r="X463" s="36" t="n">
        <f>21</f>
        <v>21.0</v>
      </c>
    </row>
    <row r="464">
      <c r="A464" s="27" t="s">
        <v>42</v>
      </c>
      <c r="B464" s="27" t="s">
        <v>1435</v>
      </c>
      <c r="C464" s="27" t="s">
        <v>1436</v>
      </c>
      <c r="D464" s="27" t="s">
        <v>1437</v>
      </c>
      <c r="E464" s="28" t="s">
        <v>46</v>
      </c>
      <c r="F464" s="29" t="s">
        <v>46</v>
      </c>
      <c r="G464" s="30" t="s">
        <v>46</v>
      </c>
      <c r="H464" s="31"/>
      <c r="I464" s="31" t="s">
        <v>416</v>
      </c>
      <c r="J464" s="32" t="n">
        <v>10.0</v>
      </c>
      <c r="K464" s="33" t="n">
        <f>503.4</f>
        <v>503.4</v>
      </c>
      <c r="L464" s="34" t="s">
        <v>48</v>
      </c>
      <c r="M464" s="33" t="n">
        <f>503.4</f>
        <v>503.4</v>
      </c>
      <c r="N464" s="34" t="s">
        <v>48</v>
      </c>
      <c r="O464" s="33" t="n">
        <f>457.8</f>
        <v>457.8</v>
      </c>
      <c r="P464" s="34" t="s">
        <v>50</v>
      </c>
      <c r="Q464" s="33" t="n">
        <f>464</f>
        <v>464.0</v>
      </c>
      <c r="R464" s="34" t="s">
        <v>50</v>
      </c>
      <c r="S464" s="35" t="n">
        <f>484.96</f>
        <v>484.96</v>
      </c>
      <c r="T464" s="32" t="n">
        <f>4857370</f>
        <v>4857370.0</v>
      </c>
      <c r="U464" s="32" t="n">
        <f>4839890</f>
        <v>4839890.0</v>
      </c>
      <c r="V464" s="32" t="n">
        <f>2388736468</f>
        <v>2.388736468E9</v>
      </c>
      <c r="W464" s="32" t="n">
        <f>2380522617</f>
        <v>2.380522617E9</v>
      </c>
      <c r="X464" s="36" t="n">
        <f>18</f>
        <v>18.0</v>
      </c>
    </row>
    <row r="465">
      <c r="A465" s="27" t="s">
        <v>42</v>
      </c>
      <c r="B465" s="27" t="s">
        <v>1438</v>
      </c>
      <c r="C465" s="27" t="s">
        <v>1439</v>
      </c>
      <c r="D465" s="27" t="s">
        <v>1440</v>
      </c>
      <c r="E465" s="28" t="s">
        <v>46</v>
      </c>
      <c r="F465" s="29" t="s">
        <v>46</v>
      </c>
      <c r="G465" s="30" t="s">
        <v>46</v>
      </c>
      <c r="H465" s="31"/>
      <c r="I465" s="31" t="s">
        <v>416</v>
      </c>
      <c r="J465" s="32" t="n">
        <v>10.0</v>
      </c>
      <c r="K465" s="33" t="n">
        <f>1018</f>
        <v>1018.0</v>
      </c>
      <c r="L465" s="34" t="s">
        <v>48</v>
      </c>
      <c r="M465" s="33" t="n">
        <f>1061.5</f>
        <v>1061.5</v>
      </c>
      <c r="N465" s="34" t="s">
        <v>117</v>
      </c>
      <c r="O465" s="33" t="n">
        <f>990.1</f>
        <v>990.1</v>
      </c>
      <c r="P465" s="34" t="s">
        <v>57</v>
      </c>
      <c r="Q465" s="33" t="n">
        <f>992.4</f>
        <v>992.4</v>
      </c>
      <c r="R465" s="34" t="s">
        <v>50</v>
      </c>
      <c r="S465" s="35" t="n">
        <f>1006.01</f>
        <v>1006.01</v>
      </c>
      <c r="T465" s="32" t="n">
        <f>6910</f>
        <v>6910.0</v>
      </c>
      <c r="U465" s="32" t="str">
        <f>"－"</f>
        <v>－</v>
      </c>
      <c r="V465" s="32" t="n">
        <f>6938252</f>
        <v>6938252.0</v>
      </c>
      <c r="W465" s="32" t="str">
        <f>"－"</f>
        <v>－</v>
      </c>
      <c r="X465" s="36" t="n">
        <f>20</f>
        <v>20.0</v>
      </c>
    </row>
    <row r="466">
      <c r="A466" s="27" t="s">
        <v>42</v>
      </c>
      <c r="B466" s="27" t="s">
        <v>1441</v>
      </c>
      <c r="C466" s="27" t="s">
        <v>1442</v>
      </c>
      <c r="D466" s="27" t="s">
        <v>1443</v>
      </c>
      <c r="E466" s="28" t="s">
        <v>46</v>
      </c>
      <c r="F466" s="29" t="s">
        <v>46</v>
      </c>
      <c r="G466" s="30" t="s">
        <v>46</v>
      </c>
      <c r="H466" s="31"/>
      <c r="I466" s="31" t="s">
        <v>416</v>
      </c>
      <c r="J466" s="32" t="n">
        <v>10.0</v>
      </c>
      <c r="K466" s="33" t="n">
        <f>999.8</f>
        <v>999.8</v>
      </c>
      <c r="L466" s="34" t="s">
        <v>48</v>
      </c>
      <c r="M466" s="33" t="n">
        <f>1004.5</f>
        <v>1004.5</v>
      </c>
      <c r="N466" s="34" t="s">
        <v>238</v>
      </c>
      <c r="O466" s="33" t="n">
        <f>994</f>
        <v>994.0</v>
      </c>
      <c r="P466" s="34" t="s">
        <v>117</v>
      </c>
      <c r="Q466" s="33" t="n">
        <f>998.1</f>
        <v>998.1</v>
      </c>
      <c r="R466" s="34" t="s">
        <v>444</v>
      </c>
      <c r="S466" s="35" t="n">
        <f>997.56</f>
        <v>997.56</v>
      </c>
      <c r="T466" s="32" t="n">
        <f>6030</f>
        <v>6030.0</v>
      </c>
      <c r="U466" s="32" t="str">
        <f>"－"</f>
        <v>－</v>
      </c>
      <c r="V466" s="32" t="n">
        <f>6007895</f>
        <v>6007895.0</v>
      </c>
      <c r="W466" s="32" t="str">
        <f>"－"</f>
        <v>－</v>
      </c>
      <c r="X466" s="36" t="n">
        <f>14</f>
        <v>14.0</v>
      </c>
    </row>
    <row r="467">
      <c r="A467" s="27" t="s">
        <v>42</v>
      </c>
      <c r="B467" s="27" t="s">
        <v>1444</v>
      </c>
      <c r="C467" s="27" t="s">
        <v>1445</v>
      </c>
      <c r="D467" s="27" t="s">
        <v>1446</v>
      </c>
      <c r="E467" s="28" t="s">
        <v>46</v>
      </c>
      <c r="F467" s="29" t="s">
        <v>46</v>
      </c>
      <c r="G467" s="30" t="s">
        <v>46</v>
      </c>
      <c r="H467" s="31"/>
      <c r="I467" s="31" t="s">
        <v>416</v>
      </c>
      <c r="J467" s="32" t="n">
        <v>10.0</v>
      </c>
      <c r="K467" s="33" t="n">
        <f>1060</f>
        <v>1060.0</v>
      </c>
      <c r="L467" s="34" t="s">
        <v>48</v>
      </c>
      <c r="M467" s="33" t="n">
        <f>1060</f>
        <v>1060.0</v>
      </c>
      <c r="N467" s="34" t="s">
        <v>48</v>
      </c>
      <c r="O467" s="33" t="n">
        <f>993</f>
        <v>993.0</v>
      </c>
      <c r="P467" s="34" t="s">
        <v>56</v>
      </c>
      <c r="Q467" s="33" t="n">
        <f>996.6</f>
        <v>996.6</v>
      </c>
      <c r="R467" s="34" t="s">
        <v>50</v>
      </c>
      <c r="S467" s="35" t="n">
        <f>999.8</f>
        <v>999.8</v>
      </c>
      <c r="T467" s="32" t="n">
        <f>7820</f>
        <v>7820.0</v>
      </c>
      <c r="U467" s="32" t="str">
        <f>"－"</f>
        <v>－</v>
      </c>
      <c r="V467" s="32" t="n">
        <f>7823690</f>
        <v>7823690.0</v>
      </c>
      <c r="W467" s="32" t="str">
        <f>"－"</f>
        <v>－</v>
      </c>
      <c r="X467" s="36" t="n">
        <f>9</f>
        <v>9.0</v>
      </c>
    </row>
    <row r="468">
      <c r="A468" s="27" t="s">
        <v>42</v>
      </c>
      <c r="B468" s="27" t="s">
        <v>1447</v>
      </c>
      <c r="C468" s="27" t="s">
        <v>1448</v>
      </c>
      <c r="D468" s="27" t="s">
        <v>1449</v>
      </c>
      <c r="E468" s="28" t="s">
        <v>46</v>
      </c>
      <c r="F468" s="29" t="s">
        <v>46</v>
      </c>
      <c r="G468" s="30" t="s">
        <v>46</v>
      </c>
      <c r="H468" s="31"/>
      <c r="I468" s="31" t="s">
        <v>416</v>
      </c>
      <c r="J468" s="32" t="n">
        <v>10.0</v>
      </c>
      <c r="K468" s="33" t="n">
        <f>1014.5</f>
        <v>1014.5</v>
      </c>
      <c r="L468" s="34" t="s">
        <v>48</v>
      </c>
      <c r="M468" s="33" t="n">
        <f>1027.5</f>
        <v>1027.5</v>
      </c>
      <c r="N468" s="34" t="s">
        <v>103</v>
      </c>
      <c r="O468" s="33" t="n">
        <f>990.4</f>
        <v>990.4</v>
      </c>
      <c r="P468" s="34" t="s">
        <v>49</v>
      </c>
      <c r="Q468" s="33" t="n">
        <f>995.8</f>
        <v>995.8</v>
      </c>
      <c r="R468" s="34" t="s">
        <v>50</v>
      </c>
      <c r="S468" s="35" t="n">
        <f>1003.49</f>
        <v>1003.49</v>
      </c>
      <c r="T468" s="32" t="n">
        <f>7940</f>
        <v>7940.0</v>
      </c>
      <c r="U468" s="32" t="str">
        <f>"－"</f>
        <v>－</v>
      </c>
      <c r="V468" s="32" t="n">
        <f>7953432</f>
        <v>7953432.0</v>
      </c>
      <c r="W468" s="32" t="str">
        <f>"－"</f>
        <v>－</v>
      </c>
      <c r="X468" s="36" t="n">
        <f>14</f>
        <v>14.0</v>
      </c>
    </row>
    <row r="469">
      <c r="A469" s="27" t="s">
        <v>42</v>
      </c>
      <c r="B469" s="27" t="s">
        <v>1450</v>
      </c>
      <c r="C469" s="27" t="s">
        <v>1451</v>
      </c>
      <c r="D469" s="27" t="s">
        <v>1452</v>
      </c>
      <c r="E469" s="28" t="s">
        <v>46</v>
      </c>
      <c r="F469" s="29" t="s">
        <v>46</v>
      </c>
      <c r="G469" s="30" t="s">
        <v>46</v>
      </c>
      <c r="H469" s="31"/>
      <c r="I469" s="31" t="s">
        <v>416</v>
      </c>
      <c r="J469" s="32" t="n">
        <v>10.0</v>
      </c>
      <c r="K469" s="33" t="n">
        <f>1037</f>
        <v>1037.0</v>
      </c>
      <c r="L469" s="34" t="s">
        <v>48</v>
      </c>
      <c r="M469" s="33" t="n">
        <f>1042.5</f>
        <v>1042.5</v>
      </c>
      <c r="N469" s="34" t="s">
        <v>48</v>
      </c>
      <c r="O469" s="33" t="n">
        <f>987.8</f>
        <v>987.8</v>
      </c>
      <c r="P469" s="34" t="s">
        <v>50</v>
      </c>
      <c r="Q469" s="33" t="n">
        <f>995.2</f>
        <v>995.2</v>
      </c>
      <c r="R469" s="34" t="s">
        <v>50</v>
      </c>
      <c r="S469" s="35" t="n">
        <f>1015.2</f>
        <v>1015.2</v>
      </c>
      <c r="T469" s="32" t="n">
        <f>910300</f>
        <v>910300.0</v>
      </c>
      <c r="U469" s="32" t="str">
        <f>"－"</f>
        <v>－</v>
      </c>
      <c r="V469" s="32" t="n">
        <f>922987246</f>
        <v>9.22987246E8</v>
      </c>
      <c r="W469" s="32" t="str">
        <f>"－"</f>
        <v>－</v>
      </c>
      <c r="X469" s="36" t="n">
        <f>21</f>
        <v>21.0</v>
      </c>
    </row>
    <row r="470">
      <c r="A470" s="27" t="s">
        <v>42</v>
      </c>
      <c r="B470" s="27" t="s">
        <v>1453</v>
      </c>
      <c r="C470" s="27" t="s">
        <v>1454</v>
      </c>
      <c r="D470" s="27" t="s">
        <v>1455</v>
      </c>
      <c r="E470" s="28" t="s">
        <v>46</v>
      </c>
      <c r="F470" s="29" t="s">
        <v>46</v>
      </c>
      <c r="G470" s="30" t="s">
        <v>46</v>
      </c>
      <c r="H470" s="31"/>
      <c r="I470" s="31" t="s">
        <v>416</v>
      </c>
      <c r="J470" s="32" t="n">
        <v>1.0</v>
      </c>
      <c r="K470" s="33" t="n">
        <f>10580</f>
        <v>10580.0</v>
      </c>
      <c r="L470" s="34" t="s">
        <v>48</v>
      </c>
      <c r="M470" s="33" t="n">
        <f>10635</f>
        <v>10635.0</v>
      </c>
      <c r="N470" s="34" t="s">
        <v>48</v>
      </c>
      <c r="O470" s="33" t="n">
        <f>9753</f>
        <v>9753.0</v>
      </c>
      <c r="P470" s="34" t="s">
        <v>49</v>
      </c>
      <c r="Q470" s="33" t="n">
        <f>9838</f>
        <v>9838.0</v>
      </c>
      <c r="R470" s="34" t="s">
        <v>57</v>
      </c>
      <c r="S470" s="35" t="n">
        <f>10050.06</f>
        <v>10050.06</v>
      </c>
      <c r="T470" s="32" t="n">
        <f>12885</f>
        <v>12885.0</v>
      </c>
      <c r="U470" s="32" t="str">
        <f>"－"</f>
        <v>－</v>
      </c>
      <c r="V470" s="32" t="n">
        <f>131009182</f>
        <v>1.31009182E8</v>
      </c>
      <c r="W470" s="32" t="str">
        <f>"－"</f>
        <v>－</v>
      </c>
      <c r="X470" s="36" t="n">
        <f>18</f>
        <v>18.0</v>
      </c>
    </row>
    <row r="471">
      <c r="A471" s="27" t="s">
        <v>42</v>
      </c>
      <c r="B471" s="27" t="s">
        <v>1456</v>
      </c>
      <c r="C471" s="27" t="s">
        <v>1457</v>
      </c>
      <c r="D471" s="27" t="s">
        <v>1458</v>
      </c>
      <c r="E471" s="28" t="s">
        <v>46</v>
      </c>
      <c r="F471" s="29" t="s">
        <v>46</v>
      </c>
      <c r="G471" s="30" t="s">
        <v>46</v>
      </c>
      <c r="H471" s="31"/>
      <c r="I471" s="31" t="s">
        <v>416</v>
      </c>
      <c r="J471" s="32" t="n">
        <v>1.0</v>
      </c>
      <c r="K471" s="33" t="n">
        <f>9876</f>
        <v>9876.0</v>
      </c>
      <c r="L471" s="34" t="s">
        <v>48</v>
      </c>
      <c r="M471" s="33" t="n">
        <f>10050</f>
        <v>10050.0</v>
      </c>
      <c r="N471" s="34" t="s">
        <v>48</v>
      </c>
      <c r="O471" s="33" t="n">
        <f>8542</f>
        <v>8542.0</v>
      </c>
      <c r="P471" s="34" t="s">
        <v>50</v>
      </c>
      <c r="Q471" s="33" t="n">
        <f>8750</f>
        <v>8750.0</v>
      </c>
      <c r="R471" s="34" t="s">
        <v>50</v>
      </c>
      <c r="S471" s="35" t="n">
        <f>9489.71</f>
        <v>9489.71</v>
      </c>
      <c r="T471" s="32" t="n">
        <f>24808</f>
        <v>24808.0</v>
      </c>
      <c r="U471" s="32" t="str">
        <f>"－"</f>
        <v>－</v>
      </c>
      <c r="V471" s="32" t="n">
        <f>235855632</f>
        <v>2.35855632E8</v>
      </c>
      <c r="W471" s="32" t="str">
        <f>"－"</f>
        <v>－</v>
      </c>
      <c r="X471" s="36" t="n">
        <f>21</f>
        <v>21.0</v>
      </c>
    </row>
    <row r="472">
      <c r="A472" s="27" t="s">
        <v>42</v>
      </c>
      <c r="B472" s="27" t="s">
        <v>1459</v>
      </c>
      <c r="C472" s="27" t="s">
        <v>1460</v>
      </c>
      <c r="D472" s="27" t="s">
        <v>1461</v>
      </c>
      <c r="E472" s="28" t="s">
        <v>46</v>
      </c>
      <c r="F472" s="29" t="s">
        <v>46</v>
      </c>
      <c r="G472" s="30" t="s">
        <v>46</v>
      </c>
      <c r="H472" s="31"/>
      <c r="I472" s="31" t="s">
        <v>416</v>
      </c>
      <c r="J472" s="32" t="n">
        <v>1.0</v>
      </c>
      <c r="K472" s="33" t="n">
        <f>9418</f>
        <v>9418.0</v>
      </c>
      <c r="L472" s="34" t="s">
        <v>48</v>
      </c>
      <c r="M472" s="33" t="n">
        <f>9489</f>
        <v>9489.0</v>
      </c>
      <c r="N472" s="34" t="s">
        <v>48</v>
      </c>
      <c r="O472" s="33" t="n">
        <f>7895</f>
        <v>7895.0</v>
      </c>
      <c r="P472" s="34" t="s">
        <v>49</v>
      </c>
      <c r="Q472" s="33" t="n">
        <f>8293</f>
        <v>8293.0</v>
      </c>
      <c r="R472" s="34" t="s">
        <v>50</v>
      </c>
      <c r="S472" s="35" t="n">
        <f>8604.35</f>
        <v>8604.35</v>
      </c>
      <c r="T472" s="32" t="n">
        <f>2460</f>
        <v>2460.0</v>
      </c>
      <c r="U472" s="32" t="str">
        <f>"－"</f>
        <v>－</v>
      </c>
      <c r="V472" s="32" t="n">
        <f>21677971</f>
        <v>2.1677971E7</v>
      </c>
      <c r="W472" s="32" t="str">
        <f>"－"</f>
        <v>－</v>
      </c>
      <c r="X472" s="36" t="n">
        <f>20</f>
        <v>20.0</v>
      </c>
    </row>
    <row r="473">
      <c r="A473" s="27" t="s">
        <v>42</v>
      </c>
      <c r="B473" s="27" t="s">
        <v>1462</v>
      </c>
      <c r="C473" s="27" t="s">
        <v>1463</v>
      </c>
      <c r="D473" s="27" t="s">
        <v>1464</v>
      </c>
      <c r="E473" s="28" t="s">
        <v>46</v>
      </c>
      <c r="F473" s="29" t="s">
        <v>46</v>
      </c>
      <c r="G473" s="30" t="s">
        <v>46</v>
      </c>
      <c r="H473" s="31"/>
      <c r="I473" s="31" t="s">
        <v>416</v>
      </c>
      <c r="J473" s="32" t="n">
        <v>10.0</v>
      </c>
      <c r="K473" s="33" t="n">
        <f>900.6</f>
        <v>900.6</v>
      </c>
      <c r="L473" s="34" t="s">
        <v>48</v>
      </c>
      <c r="M473" s="33" t="n">
        <f>901</f>
        <v>901.0</v>
      </c>
      <c r="N473" s="34" t="s">
        <v>57</v>
      </c>
      <c r="O473" s="33" t="n">
        <f>900.4</f>
        <v>900.4</v>
      </c>
      <c r="P473" s="34" t="s">
        <v>48</v>
      </c>
      <c r="Q473" s="33" t="n">
        <f>901</f>
        <v>901.0</v>
      </c>
      <c r="R473" s="34" t="s">
        <v>50</v>
      </c>
      <c r="S473" s="35" t="n">
        <f>900.71</f>
        <v>900.71</v>
      </c>
      <c r="T473" s="32" t="n">
        <f>223960</f>
        <v>223960.0</v>
      </c>
      <c r="U473" s="32" t="str">
        <f>"－"</f>
        <v>－</v>
      </c>
      <c r="V473" s="32" t="n">
        <f>201718103</f>
        <v>2.01718103E8</v>
      </c>
      <c r="W473" s="32" t="str">
        <f>"－"</f>
        <v>－</v>
      </c>
      <c r="X473" s="36" t="n">
        <f>21</f>
        <v>21.0</v>
      </c>
    </row>
    <row r="474">
      <c r="A474" s="27" t="s">
        <v>42</v>
      </c>
      <c r="B474" s="27" t="s">
        <v>1465</v>
      </c>
      <c r="C474" s="27" t="s">
        <v>1466</v>
      </c>
      <c r="D474" s="27" t="s">
        <v>1467</v>
      </c>
      <c r="E474" s="28" t="s">
        <v>1468</v>
      </c>
      <c r="F474" s="29" t="s">
        <v>1469</v>
      </c>
      <c r="G474" s="30" t="s">
        <v>1470</v>
      </c>
      <c r="H474" s="31"/>
      <c r="I474" s="31" t="s">
        <v>416</v>
      </c>
      <c r="J474" s="32" t="n">
        <v>1.0</v>
      </c>
      <c r="K474" s="33" t="n">
        <f>80000</f>
        <v>80000.0</v>
      </c>
      <c r="L474" s="34" t="s">
        <v>103</v>
      </c>
      <c r="M474" s="33" t="n">
        <f>83000</f>
        <v>83000.0</v>
      </c>
      <c r="N474" s="34" t="s">
        <v>260</v>
      </c>
      <c r="O474" s="33" t="n">
        <f>77000</f>
        <v>77000.0</v>
      </c>
      <c r="P474" s="34" t="s">
        <v>103</v>
      </c>
      <c r="Q474" s="33" t="n">
        <f>79300</f>
        <v>79300.0</v>
      </c>
      <c r="R474" s="34" t="s">
        <v>50</v>
      </c>
      <c r="S474" s="35" t="n">
        <f>79926.67</f>
        <v>79926.67</v>
      </c>
      <c r="T474" s="32" t="n">
        <f>8197</f>
        <v>8197.0</v>
      </c>
      <c r="U474" s="32" t="n">
        <f>73</f>
        <v>73.0</v>
      </c>
      <c r="V474" s="32" t="n">
        <f>657044541</f>
        <v>6.57044541E8</v>
      </c>
      <c r="W474" s="32" t="n">
        <f>5866341</f>
        <v>5866341.0</v>
      </c>
      <c r="X474" s="36" t="n">
        <f>15</f>
        <v>15.0</v>
      </c>
    </row>
    <row r="475">
      <c r="A475" s="27" t="s">
        <v>42</v>
      </c>
      <c r="B475" s="27" t="s">
        <v>1471</v>
      </c>
      <c r="C475" s="27" t="s">
        <v>1472</v>
      </c>
      <c r="D475" s="27" t="s">
        <v>1473</v>
      </c>
      <c r="E475" s="28" t="s">
        <v>46</v>
      </c>
      <c r="F475" s="29" t="s">
        <v>46</v>
      </c>
      <c r="G475" s="30" t="s">
        <v>46</v>
      </c>
      <c r="H475" s="31"/>
      <c r="I475" s="31" t="s">
        <v>416</v>
      </c>
      <c r="J475" s="32" t="n">
        <v>1.0</v>
      </c>
      <c r="K475" s="33" t="n">
        <f>1051</f>
        <v>1051.0</v>
      </c>
      <c r="L475" s="34" t="s">
        <v>48</v>
      </c>
      <c r="M475" s="33" t="n">
        <f>1102</f>
        <v>1102.0</v>
      </c>
      <c r="N475" s="34" t="s">
        <v>222</v>
      </c>
      <c r="O475" s="33" t="n">
        <f>970</f>
        <v>970.0</v>
      </c>
      <c r="P475" s="34" t="s">
        <v>50</v>
      </c>
      <c r="Q475" s="33" t="n">
        <f>982</f>
        <v>982.0</v>
      </c>
      <c r="R475" s="34" t="s">
        <v>50</v>
      </c>
      <c r="S475" s="35" t="n">
        <f>1053.48</f>
        <v>1053.48</v>
      </c>
      <c r="T475" s="32" t="n">
        <f>175951</f>
        <v>175951.0</v>
      </c>
      <c r="U475" s="32" t="n">
        <f>23</f>
        <v>23.0</v>
      </c>
      <c r="V475" s="32" t="n">
        <f>183668174</f>
        <v>1.83668174E8</v>
      </c>
      <c r="W475" s="32" t="n">
        <f>23749</f>
        <v>23749.0</v>
      </c>
      <c r="X475" s="36" t="n">
        <f>21</f>
        <v>21.0</v>
      </c>
    </row>
    <row r="476">
      <c r="A476" s="27" t="s">
        <v>42</v>
      </c>
      <c r="B476" s="27" t="s">
        <v>1474</v>
      </c>
      <c r="C476" s="27" t="s">
        <v>1475</v>
      </c>
      <c r="D476" s="27" t="s">
        <v>1476</v>
      </c>
      <c r="E476" s="28" t="s">
        <v>46</v>
      </c>
      <c r="F476" s="29" t="s">
        <v>46</v>
      </c>
      <c r="G476" s="30" t="s">
        <v>46</v>
      </c>
      <c r="H476" s="31"/>
      <c r="I476" s="31" t="s">
        <v>416</v>
      </c>
      <c r="J476" s="32" t="n">
        <v>1.0</v>
      </c>
      <c r="K476" s="33" t="n">
        <f>1028</f>
        <v>1028.0</v>
      </c>
      <c r="L476" s="34" t="s">
        <v>48</v>
      </c>
      <c r="M476" s="33" t="n">
        <f>1042</f>
        <v>1042.0</v>
      </c>
      <c r="N476" s="34" t="s">
        <v>64</v>
      </c>
      <c r="O476" s="33" t="n">
        <f>829</f>
        <v>829.0</v>
      </c>
      <c r="P476" s="34" t="s">
        <v>50</v>
      </c>
      <c r="Q476" s="33" t="n">
        <f>835</f>
        <v>835.0</v>
      </c>
      <c r="R476" s="34" t="s">
        <v>50</v>
      </c>
      <c r="S476" s="35" t="n">
        <f>929.52</f>
        <v>929.52</v>
      </c>
      <c r="T476" s="32" t="n">
        <f>26480063</f>
        <v>2.6480063E7</v>
      </c>
      <c r="U476" s="32" t="n">
        <f>2322373</f>
        <v>2322373.0</v>
      </c>
      <c r="V476" s="32" t="n">
        <f>24879295225</f>
        <v>2.4879295225E10</v>
      </c>
      <c r="W476" s="32" t="n">
        <f>2139201813</f>
        <v>2.139201813E9</v>
      </c>
      <c r="X476" s="36" t="n">
        <f>21</f>
        <v>21.0</v>
      </c>
    </row>
    <row r="477">
      <c r="A477" s="27" t="s">
        <v>42</v>
      </c>
      <c r="B477" s="27" t="s">
        <v>1477</v>
      </c>
      <c r="C477" s="27" t="s">
        <v>1478</v>
      </c>
      <c r="D477" s="27" t="s">
        <v>1479</v>
      </c>
      <c r="E477" s="28" t="s">
        <v>1468</v>
      </c>
      <c r="F477" s="29" t="s">
        <v>1469</v>
      </c>
      <c r="G477" s="30" t="s">
        <v>1480</v>
      </c>
      <c r="H477" s="31"/>
      <c r="I477" s="31" t="s">
        <v>416</v>
      </c>
      <c r="J477" s="32" t="n">
        <v>10.0</v>
      </c>
      <c r="K477" s="33" t="n">
        <f>508.7</f>
        <v>508.7</v>
      </c>
      <c r="L477" s="34" t="s">
        <v>260</v>
      </c>
      <c r="M477" s="33" t="n">
        <f>508.8</f>
        <v>508.8</v>
      </c>
      <c r="N477" s="34" t="s">
        <v>260</v>
      </c>
      <c r="O477" s="33" t="n">
        <f>502.9</f>
        <v>502.9</v>
      </c>
      <c r="P477" s="34" t="s">
        <v>57</v>
      </c>
      <c r="Q477" s="33" t="n">
        <f>504.4</f>
        <v>504.4</v>
      </c>
      <c r="R477" s="34" t="s">
        <v>50</v>
      </c>
      <c r="S477" s="35" t="n">
        <f>506.14</f>
        <v>506.14</v>
      </c>
      <c r="T477" s="32" t="n">
        <f>6012320</f>
        <v>6012320.0</v>
      </c>
      <c r="U477" s="32" t="n">
        <f>5880000</f>
        <v>5880000.0</v>
      </c>
      <c r="V477" s="32" t="n">
        <f>3054373460</f>
        <v>3.05437346E9</v>
      </c>
      <c r="W477" s="32" t="n">
        <f>2987302836</f>
        <v>2.987302836E9</v>
      </c>
      <c r="X477" s="36" t="n">
        <f>12</f>
        <v>12.0</v>
      </c>
    </row>
    <row r="478">
      <c r="A478" s="27" t="s">
        <v>42</v>
      </c>
      <c r="B478" s="27" t="s">
        <v>1481</v>
      </c>
      <c r="C478" s="27" t="s">
        <v>1482</v>
      </c>
      <c r="D478" s="27" t="s">
        <v>1483</v>
      </c>
      <c r="E478" s="28" t="s">
        <v>1468</v>
      </c>
      <c r="F478" s="29" t="s">
        <v>1469</v>
      </c>
      <c r="G478" s="30" t="s">
        <v>1484</v>
      </c>
      <c r="H478" s="31"/>
      <c r="I478" s="31" t="s">
        <v>416</v>
      </c>
      <c r="J478" s="32" t="n">
        <v>1.0</v>
      </c>
      <c r="K478" s="33" t="n">
        <f>2016</f>
        <v>2016.0</v>
      </c>
      <c r="L478" s="34" t="s">
        <v>64</v>
      </c>
      <c r="M478" s="33" t="n">
        <f>2054</f>
        <v>2054.0</v>
      </c>
      <c r="N478" s="34" t="s">
        <v>57</v>
      </c>
      <c r="O478" s="33" t="n">
        <f>2002</f>
        <v>2002.0</v>
      </c>
      <c r="P478" s="34" t="s">
        <v>301</v>
      </c>
      <c r="Q478" s="33" t="n">
        <f>2047</f>
        <v>2047.0</v>
      </c>
      <c r="R478" s="34" t="s">
        <v>50</v>
      </c>
      <c r="S478" s="35" t="n">
        <f>2029.3</f>
        <v>2029.3</v>
      </c>
      <c r="T478" s="32" t="n">
        <f>104482</f>
        <v>104482.0</v>
      </c>
      <c r="U478" s="32" t="n">
        <f>50000</f>
        <v>50000.0</v>
      </c>
      <c r="V478" s="32" t="n">
        <f>210433027</f>
        <v>2.10433027E8</v>
      </c>
      <c r="W478" s="32" t="n">
        <f>100050000</f>
        <v>1.0005E8</v>
      </c>
      <c r="X478" s="36" t="n">
        <f>20</f>
        <v>20.0</v>
      </c>
    </row>
    <row r="479">
      <c r="A479" s="27" t="s">
        <v>42</v>
      </c>
      <c r="B479" s="27" t="s">
        <v>1485</v>
      </c>
      <c r="C479" s="27" t="s">
        <v>1486</v>
      </c>
      <c r="D479" s="27" t="s">
        <v>1487</v>
      </c>
      <c r="E479" s="28" t="s">
        <v>1468</v>
      </c>
      <c r="F479" s="29" t="s">
        <v>1469</v>
      </c>
      <c r="G479" s="30" t="s">
        <v>1484</v>
      </c>
      <c r="H479" s="31"/>
      <c r="I479" s="31" t="s">
        <v>416</v>
      </c>
      <c r="J479" s="32" t="n">
        <v>1.0</v>
      </c>
      <c r="K479" s="33" t="n">
        <f>1997</f>
        <v>1997.0</v>
      </c>
      <c r="L479" s="34" t="s">
        <v>64</v>
      </c>
      <c r="M479" s="33" t="n">
        <f>1997</f>
        <v>1997.0</v>
      </c>
      <c r="N479" s="34" t="s">
        <v>64</v>
      </c>
      <c r="O479" s="33" t="n">
        <f>1949</f>
        <v>1949.0</v>
      </c>
      <c r="P479" s="34" t="s">
        <v>57</v>
      </c>
      <c r="Q479" s="33" t="n">
        <f>1956</f>
        <v>1956.0</v>
      </c>
      <c r="R479" s="34" t="s">
        <v>50</v>
      </c>
      <c r="S479" s="35" t="n">
        <f>1970</f>
        <v>1970.0</v>
      </c>
      <c r="T479" s="32" t="n">
        <f>269472</f>
        <v>269472.0</v>
      </c>
      <c r="U479" s="32" t="n">
        <f>202000</f>
        <v>202000.0</v>
      </c>
      <c r="V479" s="32" t="n">
        <f>530536151</f>
        <v>5.30536151E8</v>
      </c>
      <c r="W479" s="32" t="n">
        <f>397795200</f>
        <v>3.977952E8</v>
      </c>
      <c r="X479" s="36" t="n">
        <f>19</f>
        <v>19.0</v>
      </c>
    </row>
    <row r="480">
      <c r="A480" s="27" t="s">
        <v>42</v>
      </c>
      <c r="B480" s="27" t="s">
        <v>1488</v>
      </c>
      <c r="C480" s="27" t="s">
        <v>1489</v>
      </c>
      <c r="D480" s="27" t="s">
        <v>1490</v>
      </c>
      <c r="E480" s="28" t="s">
        <v>1468</v>
      </c>
      <c r="F480" s="29" t="s">
        <v>1469</v>
      </c>
      <c r="G480" s="30" t="s">
        <v>1484</v>
      </c>
      <c r="H480" s="31"/>
      <c r="I480" s="31" t="s">
        <v>416</v>
      </c>
      <c r="J480" s="32" t="n">
        <v>1.0</v>
      </c>
      <c r="K480" s="33" t="n">
        <f>2019</f>
        <v>2019.0</v>
      </c>
      <c r="L480" s="34" t="s">
        <v>64</v>
      </c>
      <c r="M480" s="33" t="n">
        <f>2105</f>
        <v>2105.0</v>
      </c>
      <c r="N480" s="34" t="s">
        <v>64</v>
      </c>
      <c r="O480" s="33" t="n">
        <f>1754</f>
        <v>1754.0</v>
      </c>
      <c r="P480" s="34" t="s">
        <v>49</v>
      </c>
      <c r="Q480" s="33" t="n">
        <f>1861</f>
        <v>1861.0</v>
      </c>
      <c r="R480" s="34" t="s">
        <v>50</v>
      </c>
      <c r="S480" s="35" t="n">
        <f>1854.9</f>
        <v>1854.9</v>
      </c>
      <c r="T480" s="32" t="n">
        <f>950410</f>
        <v>950410.0</v>
      </c>
      <c r="U480" s="32" t="n">
        <f>3319</f>
        <v>3319.0</v>
      </c>
      <c r="V480" s="32" t="n">
        <f>1782300156</f>
        <v>1.782300156E9</v>
      </c>
      <c r="W480" s="32" t="n">
        <f>6035061</f>
        <v>6035061.0</v>
      </c>
      <c r="X480" s="36" t="n">
        <f>20</f>
        <v>20.0</v>
      </c>
    </row>
    <row r="481">
      <c r="A481" s="27" t="s">
        <v>42</v>
      </c>
      <c r="B481" s="27" t="s">
        <v>1491</v>
      </c>
      <c r="C481" s="27" t="s">
        <v>1492</v>
      </c>
      <c r="D481" s="27" t="s">
        <v>1493</v>
      </c>
      <c r="E481" s="28" t="s">
        <v>1468</v>
      </c>
      <c r="F481" s="29" t="s">
        <v>1469</v>
      </c>
      <c r="G481" s="30" t="s">
        <v>1494</v>
      </c>
      <c r="H481" s="31"/>
      <c r="I481" s="31" t="s">
        <v>416</v>
      </c>
      <c r="J481" s="32" t="n">
        <v>1.0</v>
      </c>
      <c r="K481" s="33" t="n">
        <f>2085</f>
        <v>2085.0</v>
      </c>
      <c r="L481" s="34" t="s">
        <v>276</v>
      </c>
      <c r="M481" s="33" t="n">
        <f>2149</f>
        <v>2149.0</v>
      </c>
      <c r="N481" s="34" t="s">
        <v>276</v>
      </c>
      <c r="O481" s="33" t="n">
        <f>1536</f>
        <v>1536.0</v>
      </c>
      <c r="P481" s="34" t="s">
        <v>57</v>
      </c>
      <c r="Q481" s="33" t="n">
        <f>1595</f>
        <v>1595.0</v>
      </c>
      <c r="R481" s="34" t="s">
        <v>50</v>
      </c>
      <c r="S481" s="35" t="n">
        <f>1792.21</f>
        <v>1792.21</v>
      </c>
      <c r="T481" s="32" t="n">
        <f>4953970</f>
        <v>4953970.0</v>
      </c>
      <c r="U481" s="32" t="n">
        <f>622</f>
        <v>622.0</v>
      </c>
      <c r="V481" s="32" t="n">
        <f>9071399742</f>
        <v>9.071399742E9</v>
      </c>
      <c r="W481" s="32" t="n">
        <f>1088385</f>
        <v>1088385.0</v>
      </c>
      <c r="X481" s="36" t="n">
        <f>14</f>
        <v>14.0</v>
      </c>
    </row>
    <row r="482">
      <c r="A482" s="27" t="s">
        <v>42</v>
      </c>
      <c r="B482" s="27" t="s">
        <v>1495</v>
      </c>
      <c r="C482" s="27" t="s">
        <v>1496</v>
      </c>
      <c r="D482" s="27" t="s">
        <v>1497</v>
      </c>
      <c r="E482" s="28" t="s">
        <v>1468</v>
      </c>
      <c r="F482" s="29" t="s">
        <v>1469</v>
      </c>
      <c r="G482" s="30" t="s">
        <v>1494</v>
      </c>
      <c r="H482" s="31"/>
      <c r="I482" s="31" t="s">
        <v>416</v>
      </c>
      <c r="J482" s="32" t="n">
        <v>1.0</v>
      </c>
      <c r="K482" s="33" t="n">
        <f>2050</f>
        <v>2050.0</v>
      </c>
      <c r="L482" s="34" t="s">
        <v>276</v>
      </c>
      <c r="M482" s="33" t="n">
        <f>2150</f>
        <v>2150.0</v>
      </c>
      <c r="N482" s="34" t="s">
        <v>276</v>
      </c>
      <c r="O482" s="33" t="n">
        <f>1808</f>
        <v>1808.0</v>
      </c>
      <c r="P482" s="34" t="s">
        <v>49</v>
      </c>
      <c r="Q482" s="33" t="n">
        <f>1830</f>
        <v>1830.0</v>
      </c>
      <c r="R482" s="34" t="s">
        <v>50</v>
      </c>
      <c r="S482" s="35" t="n">
        <f>1896.21</f>
        <v>1896.21</v>
      </c>
      <c r="T482" s="32" t="n">
        <f>352194</f>
        <v>352194.0</v>
      </c>
      <c r="U482" s="32" t="str">
        <f>"－"</f>
        <v>－</v>
      </c>
      <c r="V482" s="32" t="n">
        <f>691665398</f>
        <v>6.91665398E8</v>
      </c>
      <c r="W482" s="32" t="str">
        <f>"－"</f>
        <v>－</v>
      </c>
      <c r="X482" s="36" t="n">
        <f>14</f>
        <v>14.0</v>
      </c>
    </row>
    <row r="483">
      <c r="A483" s="27" t="s">
        <v>42</v>
      </c>
      <c r="B483" s="27" t="s">
        <v>1498</v>
      </c>
      <c r="C483" s="27" t="s">
        <v>1499</v>
      </c>
      <c r="D483" s="27" t="s">
        <v>1500</v>
      </c>
      <c r="E483" s="28" t="s">
        <v>1468</v>
      </c>
      <c r="F483" s="29" t="s">
        <v>1469</v>
      </c>
      <c r="G483" s="30" t="s">
        <v>1501</v>
      </c>
      <c r="H483" s="31"/>
      <c r="I483" s="31" t="s">
        <v>416</v>
      </c>
      <c r="J483" s="32" t="n">
        <v>1.0</v>
      </c>
      <c r="K483" s="33" t="n">
        <f>2408</f>
        <v>2408.0</v>
      </c>
      <c r="L483" s="34" t="s">
        <v>99</v>
      </c>
      <c r="M483" s="33" t="n">
        <f>4873</f>
        <v>4873.0</v>
      </c>
      <c r="N483" s="34" t="s">
        <v>117</v>
      </c>
      <c r="O483" s="33" t="n">
        <f>1875</f>
        <v>1875.0</v>
      </c>
      <c r="P483" s="34" t="s">
        <v>50</v>
      </c>
      <c r="Q483" s="33" t="n">
        <f>1908</f>
        <v>1908.0</v>
      </c>
      <c r="R483" s="34" t="s">
        <v>50</v>
      </c>
      <c r="S483" s="35" t="n">
        <f>2342.38</f>
        <v>2342.38</v>
      </c>
      <c r="T483" s="32" t="n">
        <f>31270</f>
        <v>31270.0</v>
      </c>
      <c r="U483" s="32" t="str">
        <f>"－"</f>
        <v>－</v>
      </c>
      <c r="V483" s="32" t="n">
        <f>65675829</f>
        <v>6.5675829E7</v>
      </c>
      <c r="W483" s="32" t="str">
        <f>"－"</f>
        <v>－</v>
      </c>
      <c r="X483" s="36" t="n">
        <f>8</f>
        <v>8.0</v>
      </c>
    </row>
    <row r="484">
      <c r="A484" s="27" t="s">
        <v>42</v>
      </c>
      <c r="B484" s="27" t="s">
        <v>1502</v>
      </c>
      <c r="C484" s="27" t="s">
        <v>1503</v>
      </c>
      <c r="D484" s="27" t="s">
        <v>1504</v>
      </c>
      <c r="E484" s="28" t="s">
        <v>1468</v>
      </c>
      <c r="F484" s="29" t="s">
        <v>1469</v>
      </c>
      <c r="G484" s="30" t="s">
        <v>1501</v>
      </c>
      <c r="H484" s="31"/>
      <c r="I484" s="31" t="s">
        <v>416</v>
      </c>
      <c r="J484" s="32" t="n">
        <v>1.0</v>
      </c>
      <c r="K484" s="33" t="n">
        <f>2322</f>
        <v>2322.0</v>
      </c>
      <c r="L484" s="34" t="s">
        <v>99</v>
      </c>
      <c r="M484" s="33" t="n">
        <f>2451</f>
        <v>2451.0</v>
      </c>
      <c r="N484" s="34" t="s">
        <v>215</v>
      </c>
      <c r="O484" s="33" t="n">
        <f>1959</f>
        <v>1959.0</v>
      </c>
      <c r="P484" s="34" t="s">
        <v>49</v>
      </c>
      <c r="Q484" s="33" t="n">
        <f>1991</f>
        <v>1991.0</v>
      </c>
      <c r="R484" s="34" t="s">
        <v>50</v>
      </c>
      <c r="S484" s="35" t="n">
        <f>2110.25</f>
        <v>2110.25</v>
      </c>
      <c r="T484" s="32" t="n">
        <f>36426</f>
        <v>36426.0</v>
      </c>
      <c r="U484" s="32" t="n">
        <f>10</f>
        <v>10.0</v>
      </c>
      <c r="V484" s="32" t="n">
        <f>74196931</f>
        <v>7.4196931E7</v>
      </c>
      <c r="W484" s="32" t="n">
        <f>19969</f>
        <v>19969.0</v>
      </c>
      <c r="X484" s="36" t="n">
        <f>8</f>
        <v>8.0</v>
      </c>
    </row>
    <row r="485">
      <c r="A485" s="27" t="s">
        <v>42</v>
      </c>
      <c r="B485" s="27" t="s">
        <v>1505</v>
      </c>
      <c r="C485" s="27" t="s">
        <v>1506</v>
      </c>
      <c r="D485" s="27" t="s">
        <v>1507</v>
      </c>
      <c r="E485" s="28" t="s">
        <v>1468</v>
      </c>
      <c r="F485" s="29" t="s">
        <v>1469</v>
      </c>
      <c r="G485" s="30" t="s">
        <v>1501</v>
      </c>
      <c r="H485" s="31"/>
      <c r="I485" s="31" t="s">
        <v>416</v>
      </c>
      <c r="J485" s="32" t="n">
        <v>1.0</v>
      </c>
      <c r="K485" s="33" t="n">
        <f>2412</f>
        <v>2412.0</v>
      </c>
      <c r="L485" s="34" t="s">
        <v>99</v>
      </c>
      <c r="M485" s="33" t="n">
        <f>2610</f>
        <v>2610.0</v>
      </c>
      <c r="N485" s="34" t="s">
        <v>49</v>
      </c>
      <c r="O485" s="33" t="n">
        <f>2000</f>
        <v>2000.0</v>
      </c>
      <c r="P485" s="34" t="s">
        <v>49</v>
      </c>
      <c r="Q485" s="33" t="n">
        <f>2017</f>
        <v>2017.0</v>
      </c>
      <c r="R485" s="34" t="s">
        <v>50</v>
      </c>
      <c r="S485" s="35" t="n">
        <f>2101</f>
        <v>2101.0</v>
      </c>
      <c r="T485" s="32" t="n">
        <f>31836</f>
        <v>31836.0</v>
      </c>
      <c r="U485" s="32" t="str">
        <f>"－"</f>
        <v>－</v>
      </c>
      <c r="V485" s="32" t="n">
        <f>66456594</f>
        <v>6.6456594E7</v>
      </c>
      <c r="W485" s="32" t="str">
        <f>"－"</f>
        <v>－</v>
      </c>
      <c r="X485" s="36" t="n">
        <f>8</f>
        <v>8.0</v>
      </c>
    </row>
    <row r="486">
      <c r="A486" s="27" t="s">
        <v>42</v>
      </c>
      <c r="B486" s="27" t="s">
        <v>1508</v>
      </c>
      <c r="C486" s="27" t="s">
        <v>1509</v>
      </c>
      <c r="D486" s="27" t="s">
        <v>1510</v>
      </c>
      <c r="E486" s="28" t="s">
        <v>1468</v>
      </c>
      <c r="F486" s="29" t="s">
        <v>1469</v>
      </c>
      <c r="G486" s="30" t="s">
        <v>1501</v>
      </c>
      <c r="H486" s="31"/>
      <c r="I486" s="31" t="s">
        <v>416</v>
      </c>
      <c r="J486" s="32" t="n">
        <v>1.0</v>
      </c>
      <c r="K486" s="33" t="n">
        <f>2250</f>
        <v>2250.0</v>
      </c>
      <c r="L486" s="34" t="s">
        <v>99</v>
      </c>
      <c r="M486" s="33" t="n">
        <f>2831</f>
        <v>2831.0</v>
      </c>
      <c r="N486" s="34" t="s">
        <v>117</v>
      </c>
      <c r="O486" s="33" t="n">
        <f>1888</f>
        <v>1888.0</v>
      </c>
      <c r="P486" s="34" t="s">
        <v>57</v>
      </c>
      <c r="Q486" s="33" t="n">
        <f>1979</f>
        <v>1979.0</v>
      </c>
      <c r="R486" s="34" t="s">
        <v>50</v>
      </c>
      <c r="S486" s="35" t="n">
        <f>2118.25</f>
        <v>2118.25</v>
      </c>
      <c r="T486" s="32" t="n">
        <f>10357</f>
        <v>10357.0</v>
      </c>
      <c r="U486" s="32" t="str">
        <f>"－"</f>
        <v>－</v>
      </c>
      <c r="V486" s="32" t="n">
        <f>23236399</f>
        <v>2.3236399E7</v>
      </c>
      <c r="W486" s="32" t="str">
        <f>"－"</f>
        <v>－</v>
      </c>
      <c r="X486" s="36" t="n">
        <f>8</f>
        <v>8.0</v>
      </c>
    </row>
    <row r="487">
      <c r="A487" s="27" t="s">
        <v>42</v>
      </c>
      <c r="B487" s="27" t="s">
        <v>1511</v>
      </c>
      <c r="C487" s="27" t="s">
        <v>1512</v>
      </c>
      <c r="D487" s="27" t="s">
        <v>1513</v>
      </c>
      <c r="E487" s="28" t="s">
        <v>1468</v>
      </c>
      <c r="F487" s="29" t="s">
        <v>1469</v>
      </c>
      <c r="G487" s="30" t="s">
        <v>1501</v>
      </c>
      <c r="H487" s="31"/>
      <c r="I487" s="31" t="s">
        <v>416</v>
      </c>
      <c r="J487" s="32" t="n">
        <v>1.0</v>
      </c>
      <c r="K487" s="33" t="n">
        <f>2150</f>
        <v>2150.0</v>
      </c>
      <c r="L487" s="34" t="s">
        <v>99</v>
      </c>
      <c r="M487" s="33" t="n">
        <f>2750</f>
        <v>2750.0</v>
      </c>
      <c r="N487" s="34" t="s">
        <v>49</v>
      </c>
      <c r="O487" s="33" t="n">
        <f>1867</f>
        <v>1867.0</v>
      </c>
      <c r="P487" s="34" t="s">
        <v>50</v>
      </c>
      <c r="Q487" s="33" t="n">
        <f>1904</f>
        <v>1904.0</v>
      </c>
      <c r="R487" s="34" t="s">
        <v>50</v>
      </c>
      <c r="S487" s="35" t="n">
        <f>2100.25</f>
        <v>2100.25</v>
      </c>
      <c r="T487" s="32" t="n">
        <f>12473</f>
        <v>12473.0</v>
      </c>
      <c r="U487" s="32" t="str">
        <f>"－"</f>
        <v>－</v>
      </c>
      <c r="V487" s="32" t="n">
        <f>25075171</f>
        <v>2.5075171E7</v>
      </c>
      <c r="W487" s="32" t="str">
        <f>"－"</f>
        <v>－</v>
      </c>
      <c r="X487" s="36" t="n">
        <f>8</f>
        <v>8.0</v>
      </c>
    </row>
    <row r="488">
      <c r="A488" s="27" t="s">
        <v>42</v>
      </c>
      <c r="B488" s="27" t="s">
        <v>1514</v>
      </c>
      <c r="C488" s="27" t="s">
        <v>1515</v>
      </c>
      <c r="D488" s="27" t="s">
        <v>1516</v>
      </c>
      <c r="E488" s="28" t="s">
        <v>1468</v>
      </c>
      <c r="F488" s="29" t="s">
        <v>1469</v>
      </c>
      <c r="G488" s="30" t="s">
        <v>1501</v>
      </c>
      <c r="H488" s="31"/>
      <c r="I488" s="31" t="s">
        <v>416</v>
      </c>
      <c r="J488" s="32" t="n">
        <v>1.0</v>
      </c>
      <c r="K488" s="33" t="n">
        <f>2250</f>
        <v>2250.0</v>
      </c>
      <c r="L488" s="34" t="s">
        <v>99</v>
      </c>
      <c r="M488" s="33" t="n">
        <f>2723</f>
        <v>2723.0</v>
      </c>
      <c r="N488" s="34" t="s">
        <v>49</v>
      </c>
      <c r="O488" s="33" t="n">
        <f>1790</f>
        <v>1790.0</v>
      </c>
      <c r="P488" s="34" t="s">
        <v>57</v>
      </c>
      <c r="Q488" s="33" t="n">
        <f>1890</f>
        <v>1890.0</v>
      </c>
      <c r="R488" s="34" t="s">
        <v>50</v>
      </c>
      <c r="S488" s="35" t="n">
        <f>2010.75</f>
        <v>2010.75</v>
      </c>
      <c r="T488" s="32" t="n">
        <f>4045</f>
        <v>4045.0</v>
      </c>
      <c r="U488" s="32" t="str">
        <f>"－"</f>
        <v>－</v>
      </c>
      <c r="V488" s="32" t="n">
        <f>8158688</f>
        <v>8158688.0</v>
      </c>
      <c r="W488" s="32" t="str">
        <f>"－"</f>
        <v>－</v>
      </c>
      <c r="X488" s="36" t="n">
        <f>8</f>
        <v>8.0</v>
      </c>
    </row>
    <row r="489">
      <c r="A489" s="27" t="s">
        <v>42</v>
      </c>
      <c r="B489" s="27" t="s">
        <v>1517</v>
      </c>
      <c r="C489" s="27" t="s">
        <v>1518</v>
      </c>
      <c r="D489" s="27" t="s">
        <v>1519</v>
      </c>
      <c r="E489" s="28" t="s">
        <v>1468</v>
      </c>
      <c r="F489" s="29" t="s">
        <v>1469</v>
      </c>
      <c r="G489" s="30" t="s">
        <v>1501</v>
      </c>
      <c r="H489" s="31"/>
      <c r="I489" s="31" t="s">
        <v>416</v>
      </c>
      <c r="J489" s="32" t="n">
        <v>1.0</v>
      </c>
      <c r="K489" s="33" t="n">
        <f>2250</f>
        <v>2250.0</v>
      </c>
      <c r="L489" s="34" t="s">
        <v>99</v>
      </c>
      <c r="M489" s="33" t="n">
        <f>3140</f>
        <v>3140.0</v>
      </c>
      <c r="N489" s="34" t="s">
        <v>49</v>
      </c>
      <c r="O489" s="33" t="n">
        <f>1820</f>
        <v>1820.0</v>
      </c>
      <c r="P489" s="34" t="s">
        <v>117</v>
      </c>
      <c r="Q489" s="33" t="n">
        <f>1938</f>
        <v>1938.0</v>
      </c>
      <c r="R489" s="34" t="s">
        <v>50</v>
      </c>
      <c r="S489" s="35" t="n">
        <f>2033.13</f>
        <v>2033.13</v>
      </c>
      <c r="T489" s="32" t="n">
        <f>3382</f>
        <v>3382.0</v>
      </c>
      <c r="U489" s="32" t="str">
        <f>"－"</f>
        <v>－</v>
      </c>
      <c r="V489" s="32" t="n">
        <f>6977865</f>
        <v>6977865.0</v>
      </c>
      <c r="W489" s="32" t="str">
        <f>"－"</f>
        <v>－</v>
      </c>
      <c r="X489" s="36" t="n">
        <f>8</f>
        <v>8.0</v>
      </c>
    </row>
    <row r="490">
      <c r="A490" s="27" t="s">
        <v>42</v>
      </c>
      <c r="B490" s="27" t="s">
        <v>1520</v>
      </c>
      <c r="C490" s="27" t="s">
        <v>1521</v>
      </c>
      <c r="D490" s="27" t="s">
        <v>1522</v>
      </c>
      <c r="E490" s="28" t="s">
        <v>1468</v>
      </c>
      <c r="F490" s="29" t="s">
        <v>1469</v>
      </c>
      <c r="G490" s="30" t="s">
        <v>1501</v>
      </c>
      <c r="H490" s="31"/>
      <c r="I490" s="31" t="s">
        <v>416</v>
      </c>
      <c r="J490" s="32" t="n">
        <v>1.0</v>
      </c>
      <c r="K490" s="33" t="n">
        <f>1130</f>
        <v>1130.0</v>
      </c>
      <c r="L490" s="34" t="s">
        <v>99</v>
      </c>
      <c r="M490" s="33" t="n">
        <f>1499</f>
        <v>1499.0</v>
      </c>
      <c r="N490" s="34" t="s">
        <v>49</v>
      </c>
      <c r="O490" s="33" t="n">
        <f>953</f>
        <v>953.0</v>
      </c>
      <c r="P490" s="34" t="s">
        <v>117</v>
      </c>
      <c r="Q490" s="33" t="n">
        <f>995</f>
        <v>995.0</v>
      </c>
      <c r="R490" s="34" t="s">
        <v>50</v>
      </c>
      <c r="S490" s="35" t="n">
        <f>1051.75</f>
        <v>1051.75</v>
      </c>
      <c r="T490" s="32" t="n">
        <f>19612</f>
        <v>19612.0</v>
      </c>
      <c r="U490" s="32" t="str">
        <f>"－"</f>
        <v>－</v>
      </c>
      <c r="V490" s="32" t="n">
        <f>22385405</f>
        <v>2.2385405E7</v>
      </c>
      <c r="W490" s="32" t="str">
        <f>"－"</f>
        <v>－</v>
      </c>
      <c r="X490" s="36" t="n">
        <f>8</f>
        <v>8.0</v>
      </c>
    </row>
    <row r="491">
      <c r="A491" s="27" t="s">
        <v>42</v>
      </c>
      <c r="B491" s="27" t="s">
        <v>1523</v>
      </c>
      <c r="C491" s="27" t="s">
        <v>1524</v>
      </c>
      <c r="D491" s="27" t="s">
        <v>1525</v>
      </c>
      <c r="E491" s="28" t="s">
        <v>1468</v>
      </c>
      <c r="F491" s="29" t="s">
        <v>1469</v>
      </c>
      <c r="G491" s="30" t="s">
        <v>1501</v>
      </c>
      <c r="H491" s="31"/>
      <c r="I491" s="31" t="s">
        <v>416</v>
      </c>
      <c r="J491" s="32" t="n">
        <v>1.0</v>
      </c>
      <c r="K491" s="33" t="n">
        <f>5491</f>
        <v>5491.0</v>
      </c>
      <c r="L491" s="34" t="s">
        <v>99</v>
      </c>
      <c r="M491" s="33" t="n">
        <f>5491</f>
        <v>5491.0</v>
      </c>
      <c r="N491" s="34" t="s">
        <v>99</v>
      </c>
      <c r="O491" s="33" t="n">
        <f>5000</f>
        <v>5000.0</v>
      </c>
      <c r="P491" s="34" t="s">
        <v>56</v>
      </c>
      <c r="Q491" s="33" t="n">
        <f>5000</f>
        <v>5000.0</v>
      </c>
      <c r="R491" s="34" t="s">
        <v>50</v>
      </c>
      <c r="S491" s="35" t="n">
        <f>5174.13</f>
        <v>5174.13</v>
      </c>
      <c r="T491" s="32" t="n">
        <f>23</f>
        <v>23.0</v>
      </c>
      <c r="U491" s="32" t="str">
        <f>"－"</f>
        <v>－</v>
      </c>
      <c r="V491" s="32" t="n">
        <f>123248</f>
        <v>123248.0</v>
      </c>
      <c r="W491" s="32" t="str">
        <f>"－"</f>
        <v>－</v>
      </c>
      <c r="X491" s="36" t="n">
        <f>8</f>
        <v>8.0</v>
      </c>
    </row>
    <row r="492">
      <c r="A492" s="27" t="s">
        <v>42</v>
      </c>
      <c r="B492" s="27" t="s">
        <v>1526</v>
      </c>
      <c r="C492" s="27" t="s">
        <v>1527</v>
      </c>
      <c r="D492" s="27" t="s">
        <v>1528</v>
      </c>
      <c r="E492" s="28" t="s">
        <v>1468</v>
      </c>
      <c r="F492" s="29" t="s">
        <v>1469</v>
      </c>
      <c r="G492" s="30" t="s">
        <v>1501</v>
      </c>
      <c r="H492" s="31"/>
      <c r="I492" s="31" t="s">
        <v>416</v>
      </c>
      <c r="J492" s="32" t="n">
        <v>1.0</v>
      </c>
      <c r="K492" s="33" t="n">
        <f>5585</f>
        <v>5585.0</v>
      </c>
      <c r="L492" s="34" t="s">
        <v>99</v>
      </c>
      <c r="M492" s="33" t="n">
        <f>6245</f>
        <v>6245.0</v>
      </c>
      <c r="N492" s="34" t="s">
        <v>215</v>
      </c>
      <c r="O492" s="33" t="n">
        <f>5000</f>
        <v>5000.0</v>
      </c>
      <c r="P492" s="34" t="s">
        <v>57</v>
      </c>
      <c r="Q492" s="33" t="n">
        <f>5000</f>
        <v>5000.0</v>
      </c>
      <c r="R492" s="34" t="s">
        <v>50</v>
      </c>
      <c r="S492" s="35" t="n">
        <f>5271.13</f>
        <v>5271.13</v>
      </c>
      <c r="T492" s="32" t="n">
        <f>62</f>
        <v>62.0</v>
      </c>
      <c r="U492" s="32" t="str">
        <f>"－"</f>
        <v>－</v>
      </c>
      <c r="V492" s="32" t="n">
        <f>353228</f>
        <v>353228.0</v>
      </c>
      <c r="W492" s="32" t="str">
        <f>"－"</f>
        <v>－</v>
      </c>
      <c r="X492" s="36" t="n">
        <f>8</f>
        <v>8.0</v>
      </c>
    </row>
    <row r="493">
      <c r="A493" s="27" t="s">
        <v>42</v>
      </c>
      <c r="B493" s="27" t="s">
        <v>1529</v>
      </c>
      <c r="C493" s="27" t="s">
        <v>1530</v>
      </c>
      <c r="D493" s="27" t="s">
        <v>1531</v>
      </c>
      <c r="E493" s="28" t="s">
        <v>1468</v>
      </c>
      <c r="F493" s="29" t="s">
        <v>1469</v>
      </c>
      <c r="G493" s="30" t="s">
        <v>1532</v>
      </c>
      <c r="H493" s="31"/>
      <c r="I493" s="31" t="s">
        <v>416</v>
      </c>
      <c r="J493" s="32" t="n">
        <v>1.0</v>
      </c>
      <c r="K493" s="33" t="n">
        <f>1588</f>
        <v>1588.0</v>
      </c>
      <c r="L493" s="34" t="s">
        <v>238</v>
      </c>
      <c r="M493" s="33" t="n">
        <f>1600</f>
        <v>1600.0</v>
      </c>
      <c r="N493" s="34" t="s">
        <v>444</v>
      </c>
      <c r="O493" s="33" t="n">
        <f>1440</f>
        <v>1440.0</v>
      </c>
      <c r="P493" s="34" t="s">
        <v>49</v>
      </c>
      <c r="Q493" s="33" t="n">
        <f>1522</f>
        <v>1522.0</v>
      </c>
      <c r="R493" s="34" t="s">
        <v>50</v>
      </c>
      <c r="S493" s="35" t="n">
        <f>1534</f>
        <v>1534.0</v>
      </c>
      <c r="T493" s="32" t="n">
        <f>500343</f>
        <v>500343.0</v>
      </c>
      <c r="U493" s="32" t="n">
        <f>66000</f>
        <v>66000.0</v>
      </c>
      <c r="V493" s="32" t="n">
        <f>761295762</f>
        <v>7.61295762E8</v>
      </c>
      <c r="W493" s="32" t="n">
        <f>102261720</f>
        <v>1.0226172E8</v>
      </c>
      <c r="X493" s="36" t="n">
        <f>9</f>
        <v>9.0</v>
      </c>
    </row>
    <row r="494">
      <c r="A494" s="27" t="s">
        <v>42</v>
      </c>
      <c r="B494" s="27" t="s">
        <v>1533</v>
      </c>
      <c r="C494" s="27" t="s">
        <v>1534</v>
      </c>
      <c r="D494" s="27" t="s">
        <v>1535</v>
      </c>
      <c r="E494" s="28" t="s">
        <v>1468</v>
      </c>
      <c r="F494" s="29" t="s">
        <v>1469</v>
      </c>
      <c r="G494" s="30" t="s">
        <v>1536</v>
      </c>
      <c r="H494" s="31"/>
      <c r="I494" s="31" t="s">
        <v>416</v>
      </c>
      <c r="J494" s="32" t="n">
        <v>10.0</v>
      </c>
      <c r="K494" s="33" t="n">
        <f>1000</f>
        <v>1000.0</v>
      </c>
      <c r="L494" s="34" t="s">
        <v>117</v>
      </c>
      <c r="M494" s="33" t="n">
        <f>1190</f>
        <v>1190.0</v>
      </c>
      <c r="N494" s="34" t="s">
        <v>215</v>
      </c>
      <c r="O494" s="33" t="n">
        <f>967.2</f>
        <v>967.2</v>
      </c>
      <c r="P494" s="34" t="s">
        <v>117</v>
      </c>
      <c r="Q494" s="33" t="n">
        <f>980</f>
        <v>980.0</v>
      </c>
      <c r="R494" s="34" t="s">
        <v>50</v>
      </c>
      <c r="S494" s="35" t="n">
        <f>1026.53</f>
        <v>1026.53</v>
      </c>
      <c r="T494" s="32" t="n">
        <f>530750</f>
        <v>530750.0</v>
      </c>
      <c r="U494" s="32" t="n">
        <f>495170</f>
        <v>495170.0</v>
      </c>
      <c r="V494" s="32" t="n">
        <f>509399310</f>
        <v>5.0939931E8</v>
      </c>
      <c r="W494" s="32" t="n">
        <f>473931245</f>
        <v>4.73931245E8</v>
      </c>
      <c r="X494" s="36" t="n">
        <f>6</f>
        <v>6.0</v>
      </c>
    </row>
    <row r="495">
      <c r="A495" s="27" t="s">
        <v>42</v>
      </c>
      <c r="B495" s="27" t="s">
        <v>1537</v>
      </c>
      <c r="C495" s="27" t="s">
        <v>1538</v>
      </c>
      <c r="D495" s="27" t="s">
        <v>1539</v>
      </c>
      <c r="E495" s="28" t="s">
        <v>1468</v>
      </c>
      <c r="F495" s="29" t="s">
        <v>1469</v>
      </c>
      <c r="G495" s="30" t="s">
        <v>1540</v>
      </c>
      <c r="H495" s="31"/>
      <c r="I495" s="31" t="s">
        <v>416</v>
      </c>
      <c r="J495" s="32" t="n">
        <v>1.0</v>
      </c>
      <c r="K495" s="33" t="n">
        <f>2499</f>
        <v>2499.0</v>
      </c>
      <c r="L495" s="34" t="s">
        <v>50</v>
      </c>
      <c r="M495" s="33" t="n">
        <f>2500</f>
        <v>2500.0</v>
      </c>
      <c r="N495" s="34" t="s">
        <v>50</v>
      </c>
      <c r="O495" s="33" t="n">
        <f>2051</f>
        <v>2051.0</v>
      </c>
      <c r="P495" s="34" t="s">
        <v>50</v>
      </c>
      <c r="Q495" s="33" t="n">
        <f>2500</f>
        <v>2500.0</v>
      </c>
      <c r="R495" s="34" t="s">
        <v>50</v>
      </c>
      <c r="S495" s="35" t="n">
        <f>2500</f>
        <v>2500.0</v>
      </c>
      <c r="T495" s="32" t="n">
        <f>8570</f>
        <v>8570.0</v>
      </c>
      <c r="U495" s="32" t="str">
        <f>"－"</f>
        <v>－</v>
      </c>
      <c r="V495" s="32" t="n">
        <f>21054266</f>
        <v>2.1054266E7</v>
      </c>
      <c r="W495" s="32" t="str">
        <f>"－"</f>
        <v>－</v>
      </c>
      <c r="X495" s="36" t="n">
        <f>1</f>
        <v>1.0</v>
      </c>
    </row>
    <row r="496">
      <c r="A496" s="27" t="s">
        <v>42</v>
      </c>
      <c r="B496" s="27" t="s">
        <v>1541</v>
      </c>
      <c r="C496" s="27" t="s">
        <v>1542</v>
      </c>
      <c r="D496" s="27" t="s">
        <v>1543</v>
      </c>
      <c r="E496" s="28" t="s">
        <v>46</v>
      </c>
      <c r="F496" s="29" t="s">
        <v>46</v>
      </c>
      <c r="G496" s="30" t="s">
        <v>46</v>
      </c>
      <c r="H496" s="31"/>
      <c r="I496" s="31" t="s">
        <v>47</v>
      </c>
      <c r="J496" s="32" t="n">
        <v>1.0</v>
      </c>
      <c r="K496" s="33" t="n">
        <f>145000</f>
        <v>145000.0</v>
      </c>
      <c r="L496" s="34" t="s">
        <v>48</v>
      </c>
      <c r="M496" s="33" t="n">
        <f>146900</f>
        <v>146900.0</v>
      </c>
      <c r="N496" s="34" t="s">
        <v>107</v>
      </c>
      <c r="O496" s="33" t="n">
        <f>131500</f>
        <v>131500.0</v>
      </c>
      <c r="P496" s="34" t="s">
        <v>50</v>
      </c>
      <c r="Q496" s="33" t="n">
        <f>132600</f>
        <v>132600.0</v>
      </c>
      <c r="R496" s="34" t="s">
        <v>50</v>
      </c>
      <c r="S496" s="35" t="n">
        <f>141404.76</f>
        <v>141404.76</v>
      </c>
      <c r="T496" s="32" t="n">
        <f>781882</f>
        <v>781882.0</v>
      </c>
      <c r="U496" s="32" t="n">
        <f>166917</f>
        <v>166917.0</v>
      </c>
      <c r="V496" s="32" t="n">
        <f>109870121410</f>
        <v>1.0987012141E11</v>
      </c>
      <c r="W496" s="32" t="n">
        <f>23554823910</f>
        <v>2.355482391E10</v>
      </c>
      <c r="X496" s="36" t="n">
        <f>21</f>
        <v>21.0</v>
      </c>
    </row>
    <row r="497">
      <c r="A497" s="27" t="s">
        <v>42</v>
      </c>
      <c r="B497" s="27" t="s">
        <v>1544</v>
      </c>
      <c r="C497" s="27" t="s">
        <v>1545</v>
      </c>
      <c r="D497" s="27" t="s">
        <v>1546</v>
      </c>
      <c r="E497" s="28" t="s">
        <v>46</v>
      </c>
      <c r="F497" s="29" t="s">
        <v>46</v>
      </c>
      <c r="G497" s="30" t="s">
        <v>46</v>
      </c>
      <c r="H497" s="31"/>
      <c r="I497" s="31" t="s">
        <v>47</v>
      </c>
      <c r="J497" s="32" t="n">
        <v>1.0</v>
      </c>
      <c r="K497" s="33" t="n">
        <f>130400</f>
        <v>130400.0</v>
      </c>
      <c r="L497" s="34" t="s">
        <v>48</v>
      </c>
      <c r="M497" s="33" t="n">
        <f>131500</f>
        <v>131500.0</v>
      </c>
      <c r="N497" s="34" t="s">
        <v>48</v>
      </c>
      <c r="O497" s="33" t="n">
        <f>116100</f>
        <v>116100.0</v>
      </c>
      <c r="P497" s="34" t="s">
        <v>50</v>
      </c>
      <c r="Q497" s="33" t="n">
        <f>116500</f>
        <v>116500.0</v>
      </c>
      <c r="R497" s="34" t="s">
        <v>50</v>
      </c>
      <c r="S497" s="35" t="n">
        <f>125600</f>
        <v>125600.0</v>
      </c>
      <c r="T497" s="32" t="n">
        <f>630440</f>
        <v>630440.0</v>
      </c>
      <c r="U497" s="32" t="n">
        <f>117000</f>
        <v>117000.0</v>
      </c>
      <c r="V497" s="32" t="n">
        <f>78561022054</f>
        <v>7.8561022054E10</v>
      </c>
      <c r="W497" s="32" t="n">
        <f>14676078854</f>
        <v>1.4676078854E10</v>
      </c>
      <c r="X497" s="36" t="n">
        <f>21</f>
        <v>21.0</v>
      </c>
    </row>
    <row r="498">
      <c r="A498" s="27" t="s">
        <v>42</v>
      </c>
      <c r="B498" s="27" t="s">
        <v>1547</v>
      </c>
      <c r="C498" s="27" t="s">
        <v>1548</v>
      </c>
      <c r="D498" s="27" t="s">
        <v>1549</v>
      </c>
      <c r="E498" s="28" t="s">
        <v>46</v>
      </c>
      <c r="F498" s="29" t="s">
        <v>46</v>
      </c>
      <c r="G498" s="30" t="s">
        <v>46</v>
      </c>
      <c r="H498" s="31"/>
      <c r="I498" s="31" t="s">
        <v>47</v>
      </c>
      <c r="J498" s="32" t="n">
        <v>1.0</v>
      </c>
      <c r="K498" s="33" t="n">
        <f>121500</f>
        <v>121500.0</v>
      </c>
      <c r="L498" s="34" t="s">
        <v>48</v>
      </c>
      <c r="M498" s="33" t="n">
        <f>123100</f>
        <v>123100.0</v>
      </c>
      <c r="N498" s="34" t="s">
        <v>48</v>
      </c>
      <c r="O498" s="33" t="n">
        <f>110900</f>
        <v>110900.0</v>
      </c>
      <c r="P498" s="34" t="s">
        <v>50</v>
      </c>
      <c r="Q498" s="33" t="n">
        <f>111000</f>
        <v>111000.0</v>
      </c>
      <c r="R498" s="34" t="s">
        <v>50</v>
      </c>
      <c r="S498" s="35" t="n">
        <f>118257.14</f>
        <v>118257.14</v>
      </c>
      <c r="T498" s="32" t="n">
        <f>700190</f>
        <v>700190.0</v>
      </c>
      <c r="U498" s="32" t="n">
        <f>246520</f>
        <v>246520.0</v>
      </c>
      <c r="V498" s="32" t="n">
        <f>83138049527</f>
        <v>8.3138049527E10</v>
      </c>
      <c r="W498" s="32" t="n">
        <f>29566923427</f>
        <v>2.9566923427E10</v>
      </c>
      <c r="X498" s="36" t="n">
        <f>21</f>
        <v>21.0</v>
      </c>
    </row>
    <row r="499">
      <c r="A499" s="27" t="s">
        <v>42</v>
      </c>
      <c r="B499" s="27" t="s">
        <v>1550</v>
      </c>
      <c r="C499" s="27" t="s">
        <v>1551</v>
      </c>
      <c r="D499" s="27" t="s">
        <v>1552</v>
      </c>
      <c r="E499" s="28" t="s">
        <v>46</v>
      </c>
      <c r="F499" s="29" t="s">
        <v>46</v>
      </c>
      <c r="G499" s="30" t="s">
        <v>46</v>
      </c>
      <c r="H499" s="31"/>
      <c r="I499" s="31" t="s">
        <v>47</v>
      </c>
      <c r="J499" s="32" t="n">
        <v>1.0</v>
      </c>
      <c r="K499" s="33" t="n">
        <f>103800</f>
        <v>103800.0</v>
      </c>
      <c r="L499" s="34" t="s">
        <v>48</v>
      </c>
      <c r="M499" s="33" t="n">
        <f>105200</f>
        <v>105200.0</v>
      </c>
      <c r="N499" s="34" t="s">
        <v>48</v>
      </c>
      <c r="O499" s="33" t="n">
        <f>96000</f>
        <v>96000.0</v>
      </c>
      <c r="P499" s="34" t="s">
        <v>50</v>
      </c>
      <c r="Q499" s="33" t="n">
        <f>96200</f>
        <v>96200.0</v>
      </c>
      <c r="R499" s="34" t="s">
        <v>50</v>
      </c>
      <c r="S499" s="35" t="n">
        <f>101409.52</f>
        <v>101409.52</v>
      </c>
      <c r="T499" s="32" t="n">
        <f>442352</f>
        <v>442352.0</v>
      </c>
      <c r="U499" s="32" t="n">
        <f>138893</f>
        <v>138893.0</v>
      </c>
      <c r="V499" s="32" t="n">
        <f>44896872898</f>
        <v>4.4896872898E10</v>
      </c>
      <c r="W499" s="32" t="n">
        <f>14135073498</f>
        <v>1.4135073498E10</v>
      </c>
      <c r="X499" s="36" t="n">
        <f>21</f>
        <v>21.0</v>
      </c>
    </row>
    <row r="500">
      <c r="A500" s="27" t="s">
        <v>42</v>
      </c>
      <c r="B500" s="27" t="s">
        <v>1553</v>
      </c>
      <c r="C500" s="27" t="s">
        <v>1554</v>
      </c>
      <c r="D500" s="27" t="s">
        <v>1555</v>
      </c>
      <c r="E500" s="28" t="s">
        <v>46</v>
      </c>
      <c r="F500" s="29" t="s">
        <v>46</v>
      </c>
      <c r="G500" s="30" t="s">
        <v>46</v>
      </c>
      <c r="H500" s="31"/>
      <c r="I500" s="31" t="s">
        <v>47</v>
      </c>
      <c r="J500" s="32" t="n">
        <v>1.0</v>
      </c>
      <c r="K500" s="33" t="n">
        <f>106300</f>
        <v>106300.0</v>
      </c>
      <c r="L500" s="34" t="s">
        <v>48</v>
      </c>
      <c r="M500" s="33" t="n">
        <f>107400</f>
        <v>107400.0</v>
      </c>
      <c r="N500" s="34" t="s">
        <v>48</v>
      </c>
      <c r="O500" s="33" t="n">
        <f>96700</f>
        <v>96700.0</v>
      </c>
      <c r="P500" s="34" t="s">
        <v>50</v>
      </c>
      <c r="Q500" s="33" t="n">
        <f>96800</f>
        <v>96800.0</v>
      </c>
      <c r="R500" s="34" t="s">
        <v>50</v>
      </c>
      <c r="S500" s="35" t="n">
        <f>102333.33</f>
        <v>102333.33</v>
      </c>
      <c r="T500" s="32" t="n">
        <f>286778</f>
        <v>286778.0</v>
      </c>
      <c r="U500" s="32" t="n">
        <f>85593</f>
        <v>85593.0</v>
      </c>
      <c r="V500" s="32" t="n">
        <f>29305182994</f>
        <v>2.9305182994E10</v>
      </c>
      <c r="W500" s="32" t="n">
        <f>8777309994</f>
        <v>8.777309994E9</v>
      </c>
      <c r="X500" s="36" t="n">
        <f>21</f>
        <v>21.0</v>
      </c>
    </row>
    <row r="501">
      <c r="A501" s="27" t="s">
        <v>42</v>
      </c>
      <c r="B501" s="27" t="s">
        <v>1556</v>
      </c>
      <c r="C501" s="27" t="s">
        <v>1557</v>
      </c>
      <c r="D501" s="27" t="s">
        <v>1558</v>
      </c>
      <c r="E501" s="28" t="s">
        <v>46</v>
      </c>
      <c r="F501" s="29" t="s">
        <v>46</v>
      </c>
      <c r="G501" s="30" t="s">
        <v>46</v>
      </c>
      <c r="H501" s="31"/>
      <c r="I501" s="31" t="s">
        <v>47</v>
      </c>
      <c r="J501" s="32" t="n">
        <v>1.0</v>
      </c>
      <c r="K501" s="33" t="n">
        <f>144900</f>
        <v>144900.0</v>
      </c>
      <c r="L501" s="34" t="s">
        <v>48</v>
      </c>
      <c r="M501" s="33" t="n">
        <f>148300</f>
        <v>148300.0</v>
      </c>
      <c r="N501" s="34" t="s">
        <v>238</v>
      </c>
      <c r="O501" s="33" t="n">
        <f>138300</f>
        <v>138300.0</v>
      </c>
      <c r="P501" s="34" t="s">
        <v>50</v>
      </c>
      <c r="Q501" s="33" t="n">
        <f>138300</f>
        <v>138300.0</v>
      </c>
      <c r="R501" s="34" t="s">
        <v>50</v>
      </c>
      <c r="S501" s="35" t="n">
        <f>144714.29</f>
        <v>144714.29</v>
      </c>
      <c r="T501" s="32" t="n">
        <f>104405</f>
        <v>104405.0</v>
      </c>
      <c r="U501" s="32" t="n">
        <f>19882</f>
        <v>19882.0</v>
      </c>
      <c r="V501" s="32" t="n">
        <f>15070254163</f>
        <v>1.5070254163E10</v>
      </c>
      <c r="W501" s="32" t="n">
        <f>2874998363</f>
        <v>2.874998363E9</v>
      </c>
      <c r="X501" s="36" t="n">
        <f>21</f>
        <v>21.0</v>
      </c>
    </row>
    <row r="502">
      <c r="A502" s="27" t="s">
        <v>42</v>
      </c>
      <c r="B502" s="27" t="s">
        <v>1559</v>
      </c>
      <c r="C502" s="27" t="s">
        <v>1560</v>
      </c>
      <c r="D502" s="27" t="s">
        <v>1561</v>
      </c>
      <c r="E502" s="28" t="s">
        <v>46</v>
      </c>
      <c r="F502" s="29" t="s">
        <v>46</v>
      </c>
      <c r="G502" s="30" t="s">
        <v>46</v>
      </c>
      <c r="H502" s="31"/>
      <c r="I502" s="31" t="s">
        <v>47</v>
      </c>
      <c r="J502" s="32" t="n">
        <v>1.0</v>
      </c>
      <c r="K502" s="33" t="n">
        <f>210500</f>
        <v>210500.0</v>
      </c>
      <c r="L502" s="34" t="s">
        <v>48</v>
      </c>
      <c r="M502" s="33" t="n">
        <f>212400</f>
        <v>212400.0</v>
      </c>
      <c r="N502" s="34" t="s">
        <v>48</v>
      </c>
      <c r="O502" s="33" t="n">
        <f>196400</f>
        <v>196400.0</v>
      </c>
      <c r="P502" s="34" t="s">
        <v>50</v>
      </c>
      <c r="Q502" s="33" t="n">
        <f>196400</f>
        <v>196400.0</v>
      </c>
      <c r="R502" s="34" t="s">
        <v>50</v>
      </c>
      <c r="S502" s="35" t="n">
        <f>205261.9</f>
        <v>205261.9</v>
      </c>
      <c r="T502" s="32" t="n">
        <f>57756</f>
        <v>57756.0</v>
      </c>
      <c r="U502" s="32" t="n">
        <f>12739</f>
        <v>12739.0</v>
      </c>
      <c r="V502" s="32" t="n">
        <f>11836292595</f>
        <v>1.1836292595E10</v>
      </c>
      <c r="W502" s="32" t="n">
        <f>2613776595</f>
        <v>2.613776595E9</v>
      </c>
      <c r="X502" s="36" t="n">
        <f>21</f>
        <v>21.0</v>
      </c>
    </row>
    <row r="503">
      <c r="A503" s="27" t="s">
        <v>42</v>
      </c>
      <c r="B503" s="27" t="s">
        <v>1562</v>
      </c>
      <c r="C503" s="27" t="s">
        <v>1563</v>
      </c>
      <c r="D503" s="27" t="s">
        <v>1564</v>
      </c>
      <c r="E503" s="28" t="s">
        <v>46</v>
      </c>
      <c r="F503" s="29" t="s">
        <v>46</v>
      </c>
      <c r="G503" s="30" t="s">
        <v>46</v>
      </c>
      <c r="H503" s="31"/>
      <c r="I503" s="31" t="s">
        <v>47</v>
      </c>
      <c r="J503" s="32" t="n">
        <v>1.0</v>
      </c>
      <c r="K503" s="33" t="n">
        <f>140000</f>
        <v>140000.0</v>
      </c>
      <c r="L503" s="34" t="s">
        <v>48</v>
      </c>
      <c r="M503" s="33" t="n">
        <f>142000</f>
        <v>142000.0</v>
      </c>
      <c r="N503" s="34" t="s">
        <v>48</v>
      </c>
      <c r="O503" s="33" t="n">
        <f>119800</f>
        <v>119800.0</v>
      </c>
      <c r="P503" s="34" t="s">
        <v>50</v>
      </c>
      <c r="Q503" s="33" t="n">
        <f>120000</f>
        <v>120000.0</v>
      </c>
      <c r="R503" s="34" t="s">
        <v>50</v>
      </c>
      <c r="S503" s="35" t="n">
        <f>135066.67</f>
        <v>135066.67</v>
      </c>
      <c r="T503" s="32" t="n">
        <f>110286</f>
        <v>110286.0</v>
      </c>
      <c r="U503" s="32" t="n">
        <f>14476</f>
        <v>14476.0</v>
      </c>
      <c r="V503" s="32" t="n">
        <f>14609564567</f>
        <v>1.4609564567E10</v>
      </c>
      <c r="W503" s="32" t="n">
        <f>1949907467</f>
        <v>1.949907467E9</v>
      </c>
      <c r="X503" s="36" t="n">
        <f>21</f>
        <v>21.0</v>
      </c>
    </row>
    <row r="504">
      <c r="A504" s="27" t="s">
        <v>42</v>
      </c>
      <c r="B504" s="27" t="s">
        <v>1565</v>
      </c>
      <c r="C504" s="27" t="s">
        <v>1566</v>
      </c>
      <c r="D504" s="27" t="s">
        <v>1567</v>
      </c>
      <c r="E504" s="28" t="s">
        <v>46</v>
      </c>
      <c r="F504" s="29" t="s">
        <v>46</v>
      </c>
      <c r="G504" s="30" t="s">
        <v>46</v>
      </c>
      <c r="H504" s="31"/>
      <c r="I504" s="31" t="s">
        <v>47</v>
      </c>
      <c r="J504" s="32" t="n">
        <v>1.0</v>
      </c>
      <c r="K504" s="33" t="n">
        <f>185400</f>
        <v>185400.0</v>
      </c>
      <c r="L504" s="34" t="s">
        <v>48</v>
      </c>
      <c r="M504" s="33" t="n">
        <f>186800</f>
        <v>186800.0</v>
      </c>
      <c r="N504" s="34" t="s">
        <v>48</v>
      </c>
      <c r="O504" s="33" t="n">
        <f>170100</f>
        <v>170100.0</v>
      </c>
      <c r="P504" s="34" t="s">
        <v>50</v>
      </c>
      <c r="Q504" s="33" t="n">
        <f>170100</f>
        <v>170100.0</v>
      </c>
      <c r="R504" s="34" t="s">
        <v>50</v>
      </c>
      <c r="S504" s="35" t="n">
        <f>179228.57</f>
        <v>179228.57</v>
      </c>
      <c r="T504" s="32" t="n">
        <f>219376</f>
        <v>219376.0</v>
      </c>
      <c r="U504" s="32" t="n">
        <f>48789</f>
        <v>48789.0</v>
      </c>
      <c r="V504" s="32" t="n">
        <f>39288083012</f>
        <v>3.9288083012E10</v>
      </c>
      <c r="W504" s="32" t="n">
        <f>8740343112</f>
        <v>8.740343112E9</v>
      </c>
      <c r="X504" s="36" t="n">
        <f>21</f>
        <v>21.0</v>
      </c>
    </row>
    <row r="505">
      <c r="A505" s="27" t="s">
        <v>42</v>
      </c>
      <c r="B505" s="27" t="s">
        <v>1568</v>
      </c>
      <c r="C505" s="27" t="s">
        <v>1569</v>
      </c>
      <c r="D505" s="27" t="s">
        <v>1570</v>
      </c>
      <c r="E505" s="28" t="s">
        <v>46</v>
      </c>
      <c r="F505" s="29" t="s">
        <v>46</v>
      </c>
      <c r="G505" s="30" t="s">
        <v>46</v>
      </c>
      <c r="H505" s="31"/>
      <c r="I505" s="31" t="s">
        <v>47</v>
      </c>
      <c r="J505" s="32" t="n">
        <v>1.0</v>
      </c>
      <c r="K505" s="33" t="n">
        <f>77700</f>
        <v>77700.0</v>
      </c>
      <c r="L505" s="34" t="s">
        <v>48</v>
      </c>
      <c r="M505" s="33" t="n">
        <f>78000</f>
        <v>78000.0</v>
      </c>
      <c r="N505" s="34" t="s">
        <v>48</v>
      </c>
      <c r="O505" s="33" t="n">
        <f>71100</f>
        <v>71100.0</v>
      </c>
      <c r="P505" s="34" t="s">
        <v>50</v>
      </c>
      <c r="Q505" s="33" t="n">
        <f>71300</f>
        <v>71300.0</v>
      </c>
      <c r="R505" s="34" t="s">
        <v>50</v>
      </c>
      <c r="S505" s="35" t="n">
        <f>75876.19</f>
        <v>75876.19</v>
      </c>
      <c r="T505" s="32" t="n">
        <f>291626</f>
        <v>291626.0</v>
      </c>
      <c r="U505" s="32" t="n">
        <f>108597</f>
        <v>108597.0</v>
      </c>
      <c r="V505" s="32" t="n">
        <f>22127381357</f>
        <v>2.2127381357E10</v>
      </c>
      <c r="W505" s="32" t="n">
        <f>8278261557</f>
        <v>8.278261557E9</v>
      </c>
      <c r="X505" s="36" t="n">
        <f>21</f>
        <v>21.0</v>
      </c>
    </row>
    <row r="506">
      <c r="A506" s="27" t="s">
        <v>42</v>
      </c>
      <c r="B506" s="27" t="s">
        <v>1571</v>
      </c>
      <c r="C506" s="27" t="s">
        <v>1572</v>
      </c>
      <c r="D506" s="27" t="s">
        <v>1573</v>
      </c>
      <c r="E506" s="28" t="s">
        <v>46</v>
      </c>
      <c r="F506" s="29" t="s">
        <v>46</v>
      </c>
      <c r="G506" s="30" t="s">
        <v>46</v>
      </c>
      <c r="H506" s="31"/>
      <c r="I506" s="31" t="s">
        <v>47</v>
      </c>
      <c r="J506" s="32" t="n">
        <v>1.0</v>
      </c>
      <c r="K506" s="33" t="n">
        <f>66000</f>
        <v>66000.0</v>
      </c>
      <c r="L506" s="34" t="s">
        <v>48</v>
      </c>
      <c r="M506" s="33" t="n">
        <f>66500</f>
        <v>66500.0</v>
      </c>
      <c r="N506" s="34" t="s">
        <v>48</v>
      </c>
      <c r="O506" s="33" t="n">
        <f>57600</f>
        <v>57600.0</v>
      </c>
      <c r="P506" s="34" t="s">
        <v>57</v>
      </c>
      <c r="Q506" s="33" t="n">
        <f>59100</f>
        <v>59100.0</v>
      </c>
      <c r="R506" s="34" t="s">
        <v>50</v>
      </c>
      <c r="S506" s="35" t="n">
        <f>61676.19</f>
        <v>61676.19</v>
      </c>
      <c r="T506" s="32" t="n">
        <f>1279640</f>
        <v>1279640.0</v>
      </c>
      <c r="U506" s="32" t="n">
        <f>259623</f>
        <v>259623.0</v>
      </c>
      <c r="V506" s="32" t="n">
        <f>78819804148</f>
        <v>7.8819804148E10</v>
      </c>
      <c r="W506" s="32" t="n">
        <f>16001843348</f>
        <v>1.6001843348E10</v>
      </c>
      <c r="X506" s="36" t="n">
        <f>21</f>
        <v>21.0</v>
      </c>
    </row>
    <row r="507">
      <c r="A507" s="27" t="s">
        <v>42</v>
      </c>
      <c r="B507" s="27" t="s">
        <v>1574</v>
      </c>
      <c r="C507" s="27" t="s">
        <v>1575</v>
      </c>
      <c r="D507" s="27" t="s">
        <v>1576</v>
      </c>
      <c r="E507" s="28" t="s">
        <v>46</v>
      </c>
      <c r="F507" s="29" t="s">
        <v>46</v>
      </c>
      <c r="G507" s="30" t="s">
        <v>46</v>
      </c>
      <c r="H507" s="31"/>
      <c r="I507" s="31" t="s">
        <v>47</v>
      </c>
      <c r="J507" s="32" t="n">
        <v>1.0</v>
      </c>
      <c r="K507" s="33" t="n">
        <f>89400</f>
        <v>89400.0</v>
      </c>
      <c r="L507" s="34" t="s">
        <v>48</v>
      </c>
      <c r="M507" s="33" t="n">
        <f>91000</f>
        <v>91000.0</v>
      </c>
      <c r="N507" s="34" t="s">
        <v>238</v>
      </c>
      <c r="O507" s="33" t="n">
        <f>84400</f>
        <v>84400.0</v>
      </c>
      <c r="P507" s="34" t="s">
        <v>50</v>
      </c>
      <c r="Q507" s="33" t="n">
        <f>84400</f>
        <v>84400.0</v>
      </c>
      <c r="R507" s="34" t="s">
        <v>50</v>
      </c>
      <c r="S507" s="35" t="n">
        <f>88471.43</f>
        <v>88471.43</v>
      </c>
      <c r="T507" s="32" t="n">
        <f>188403</f>
        <v>188403.0</v>
      </c>
      <c r="U507" s="32" t="n">
        <f>43959</f>
        <v>43959.0</v>
      </c>
      <c r="V507" s="32" t="n">
        <f>16633760184</f>
        <v>1.6633760184E10</v>
      </c>
      <c r="W507" s="32" t="n">
        <f>3882508684</f>
        <v>3.882508684E9</v>
      </c>
      <c r="X507" s="36" t="n">
        <f>21</f>
        <v>21.0</v>
      </c>
    </row>
    <row r="508">
      <c r="A508" s="27" t="s">
        <v>42</v>
      </c>
      <c r="B508" s="27" t="s">
        <v>1577</v>
      </c>
      <c r="C508" s="27" t="s">
        <v>1578</v>
      </c>
      <c r="D508" s="27" t="s">
        <v>1579</v>
      </c>
      <c r="E508" s="28" t="s">
        <v>46</v>
      </c>
      <c r="F508" s="29" t="s">
        <v>46</v>
      </c>
      <c r="G508" s="30" t="s">
        <v>46</v>
      </c>
      <c r="H508" s="31"/>
      <c r="I508" s="31" t="s">
        <v>47</v>
      </c>
      <c r="J508" s="32" t="n">
        <v>1.0</v>
      </c>
      <c r="K508" s="33" t="n">
        <f>156400</f>
        <v>156400.0</v>
      </c>
      <c r="L508" s="34" t="s">
        <v>48</v>
      </c>
      <c r="M508" s="33" t="n">
        <f>157400</f>
        <v>157400.0</v>
      </c>
      <c r="N508" s="34" t="s">
        <v>48</v>
      </c>
      <c r="O508" s="33" t="n">
        <f>142800</f>
        <v>142800.0</v>
      </c>
      <c r="P508" s="34" t="s">
        <v>50</v>
      </c>
      <c r="Q508" s="33" t="n">
        <f>142800</f>
        <v>142800.0</v>
      </c>
      <c r="R508" s="34" t="s">
        <v>50</v>
      </c>
      <c r="S508" s="35" t="n">
        <f>150085.71</f>
        <v>150085.71</v>
      </c>
      <c r="T508" s="32" t="n">
        <f>78517</f>
        <v>78517.0</v>
      </c>
      <c r="U508" s="32" t="n">
        <f>11999</f>
        <v>11999.0</v>
      </c>
      <c r="V508" s="32" t="n">
        <f>11774013011</f>
        <v>1.1774013011E10</v>
      </c>
      <c r="W508" s="32" t="n">
        <f>1798264411</f>
        <v>1.798264411E9</v>
      </c>
      <c r="X508" s="36" t="n">
        <f>21</f>
        <v>21.0</v>
      </c>
    </row>
    <row r="509">
      <c r="A509" s="27" t="s">
        <v>42</v>
      </c>
      <c r="B509" s="27" t="s">
        <v>1580</v>
      </c>
      <c r="C509" s="27" t="s">
        <v>1581</v>
      </c>
      <c r="D509" s="27" t="s">
        <v>1582</v>
      </c>
      <c r="E509" s="28" t="s">
        <v>46</v>
      </c>
      <c r="F509" s="29" t="s">
        <v>46</v>
      </c>
      <c r="G509" s="30" t="s">
        <v>46</v>
      </c>
      <c r="H509" s="31"/>
      <c r="I509" s="31" t="s">
        <v>47</v>
      </c>
      <c r="J509" s="32" t="n">
        <v>1.0</v>
      </c>
      <c r="K509" s="33" t="n">
        <f>103200</f>
        <v>103200.0</v>
      </c>
      <c r="L509" s="34" t="s">
        <v>48</v>
      </c>
      <c r="M509" s="33" t="n">
        <f>104600</f>
        <v>104600.0</v>
      </c>
      <c r="N509" s="34" t="s">
        <v>107</v>
      </c>
      <c r="O509" s="33" t="n">
        <f>95400</f>
        <v>95400.0</v>
      </c>
      <c r="P509" s="34" t="s">
        <v>50</v>
      </c>
      <c r="Q509" s="33" t="n">
        <f>95400</f>
        <v>95400.0</v>
      </c>
      <c r="R509" s="34" t="s">
        <v>50</v>
      </c>
      <c r="S509" s="35" t="n">
        <f>101652.38</f>
        <v>101652.38</v>
      </c>
      <c r="T509" s="32" t="n">
        <f>167702</f>
        <v>167702.0</v>
      </c>
      <c r="U509" s="32" t="n">
        <f>32876</f>
        <v>32876.0</v>
      </c>
      <c r="V509" s="32" t="n">
        <f>17010324775</f>
        <v>1.7010324775E10</v>
      </c>
      <c r="W509" s="32" t="n">
        <f>3336443775</f>
        <v>3.336443775E9</v>
      </c>
      <c r="X509" s="36" t="n">
        <f>21</f>
        <v>21.0</v>
      </c>
    </row>
    <row r="510">
      <c r="A510" s="27" t="s">
        <v>42</v>
      </c>
      <c r="B510" s="27" t="s">
        <v>1583</v>
      </c>
      <c r="C510" s="27" t="s">
        <v>1584</v>
      </c>
      <c r="D510" s="27" t="s">
        <v>1585</v>
      </c>
      <c r="E510" s="28" t="s">
        <v>46</v>
      </c>
      <c r="F510" s="29" t="s">
        <v>46</v>
      </c>
      <c r="G510" s="30" t="s">
        <v>46</v>
      </c>
      <c r="H510" s="31"/>
      <c r="I510" s="31" t="s">
        <v>47</v>
      </c>
      <c r="J510" s="32" t="n">
        <v>1.0</v>
      </c>
      <c r="K510" s="33" t="n">
        <f>185500</f>
        <v>185500.0</v>
      </c>
      <c r="L510" s="34" t="s">
        <v>48</v>
      </c>
      <c r="M510" s="33" t="n">
        <f>185600</f>
        <v>185600.0</v>
      </c>
      <c r="N510" s="34" t="s">
        <v>48</v>
      </c>
      <c r="O510" s="33" t="n">
        <f>169300</f>
        <v>169300.0</v>
      </c>
      <c r="P510" s="34" t="s">
        <v>50</v>
      </c>
      <c r="Q510" s="33" t="n">
        <f>170000</f>
        <v>170000.0</v>
      </c>
      <c r="R510" s="34" t="s">
        <v>50</v>
      </c>
      <c r="S510" s="35" t="n">
        <f>179871.43</f>
        <v>179871.43</v>
      </c>
      <c r="T510" s="32" t="n">
        <f>55086</f>
        <v>55086.0</v>
      </c>
      <c r="U510" s="32" t="n">
        <f>15701</f>
        <v>15701.0</v>
      </c>
      <c r="V510" s="32" t="n">
        <f>9880128893</f>
        <v>9.880128893E9</v>
      </c>
      <c r="W510" s="32" t="n">
        <f>2811005493</f>
        <v>2.811005493E9</v>
      </c>
      <c r="X510" s="36" t="n">
        <f>21</f>
        <v>21.0</v>
      </c>
    </row>
    <row r="511">
      <c r="A511" s="27" t="s">
        <v>42</v>
      </c>
      <c r="B511" s="27" t="s">
        <v>1586</v>
      </c>
      <c r="C511" s="27" t="s">
        <v>1587</v>
      </c>
      <c r="D511" s="27" t="s">
        <v>1588</v>
      </c>
      <c r="E511" s="28" t="s">
        <v>46</v>
      </c>
      <c r="F511" s="29" t="s">
        <v>46</v>
      </c>
      <c r="G511" s="30" t="s">
        <v>46</v>
      </c>
      <c r="H511" s="31"/>
      <c r="I511" s="31" t="s">
        <v>47</v>
      </c>
      <c r="J511" s="32" t="n">
        <v>1.0</v>
      </c>
      <c r="K511" s="33" t="n">
        <f>170000</f>
        <v>170000.0</v>
      </c>
      <c r="L511" s="34" t="s">
        <v>48</v>
      </c>
      <c r="M511" s="33" t="n">
        <f>171400</f>
        <v>171400.0</v>
      </c>
      <c r="N511" s="34" t="s">
        <v>238</v>
      </c>
      <c r="O511" s="33" t="n">
        <f>160200</f>
        <v>160200.0</v>
      </c>
      <c r="P511" s="34" t="s">
        <v>57</v>
      </c>
      <c r="Q511" s="33" t="n">
        <f>160600</f>
        <v>160600.0</v>
      </c>
      <c r="R511" s="34" t="s">
        <v>50</v>
      </c>
      <c r="S511" s="35" t="n">
        <f>166504.76</f>
        <v>166504.76</v>
      </c>
      <c r="T511" s="32" t="n">
        <f>332367</f>
        <v>332367.0</v>
      </c>
      <c r="U511" s="32" t="n">
        <f>81601</f>
        <v>81601.0</v>
      </c>
      <c r="V511" s="32" t="n">
        <f>55329180163</f>
        <v>5.5329180163E10</v>
      </c>
      <c r="W511" s="32" t="n">
        <f>13618304763</f>
        <v>1.3618304763E10</v>
      </c>
      <c r="X511" s="36" t="n">
        <f>21</f>
        <v>21.0</v>
      </c>
    </row>
    <row r="512">
      <c r="A512" s="27" t="s">
        <v>42</v>
      </c>
      <c r="B512" s="27" t="s">
        <v>1589</v>
      </c>
      <c r="C512" s="27" t="s">
        <v>1590</v>
      </c>
      <c r="D512" s="27" t="s">
        <v>1591</v>
      </c>
      <c r="E512" s="28" t="s">
        <v>46</v>
      </c>
      <c r="F512" s="29" t="s">
        <v>46</v>
      </c>
      <c r="G512" s="30" t="s">
        <v>46</v>
      </c>
      <c r="H512" s="31"/>
      <c r="I512" s="31" t="s">
        <v>47</v>
      </c>
      <c r="J512" s="32" t="n">
        <v>1.0</v>
      </c>
      <c r="K512" s="33" t="n">
        <f>99100</f>
        <v>99100.0</v>
      </c>
      <c r="L512" s="34" t="s">
        <v>48</v>
      </c>
      <c r="M512" s="33" t="n">
        <f>100000</f>
        <v>100000.0</v>
      </c>
      <c r="N512" s="34" t="s">
        <v>48</v>
      </c>
      <c r="O512" s="33" t="n">
        <f>91900</f>
        <v>91900.0</v>
      </c>
      <c r="P512" s="34" t="s">
        <v>50</v>
      </c>
      <c r="Q512" s="33" t="n">
        <f>92000</f>
        <v>92000.0</v>
      </c>
      <c r="R512" s="34" t="s">
        <v>50</v>
      </c>
      <c r="S512" s="35" t="n">
        <f>96461.9</f>
        <v>96461.9</v>
      </c>
      <c r="T512" s="32" t="n">
        <f>86195</f>
        <v>86195.0</v>
      </c>
      <c r="U512" s="32" t="n">
        <f>18039</f>
        <v>18039.0</v>
      </c>
      <c r="V512" s="32" t="n">
        <f>8300722779</f>
        <v>8.300722779E9</v>
      </c>
      <c r="W512" s="32" t="n">
        <f>1733414979</f>
        <v>1.733414979E9</v>
      </c>
      <c r="X512" s="36" t="n">
        <f>21</f>
        <v>21.0</v>
      </c>
    </row>
    <row r="513">
      <c r="A513" s="27" t="s">
        <v>42</v>
      </c>
      <c r="B513" s="27" t="s">
        <v>1592</v>
      </c>
      <c r="C513" s="27" t="s">
        <v>1593</v>
      </c>
      <c r="D513" s="27" t="s">
        <v>1594</v>
      </c>
      <c r="E513" s="28" t="s">
        <v>46</v>
      </c>
      <c r="F513" s="29" t="s">
        <v>46</v>
      </c>
      <c r="G513" s="30" t="s">
        <v>46</v>
      </c>
      <c r="H513" s="31"/>
      <c r="I513" s="31" t="s">
        <v>47</v>
      </c>
      <c r="J513" s="32" t="n">
        <v>1.0</v>
      </c>
      <c r="K513" s="33" t="n">
        <f>365000</f>
        <v>365000.0</v>
      </c>
      <c r="L513" s="34" t="s">
        <v>48</v>
      </c>
      <c r="M513" s="33" t="n">
        <f>369500</f>
        <v>369500.0</v>
      </c>
      <c r="N513" s="34" t="s">
        <v>48</v>
      </c>
      <c r="O513" s="33" t="n">
        <f>327500</f>
        <v>327500.0</v>
      </c>
      <c r="P513" s="34" t="s">
        <v>50</v>
      </c>
      <c r="Q513" s="33" t="n">
        <f>327500</f>
        <v>327500.0</v>
      </c>
      <c r="R513" s="34" t="s">
        <v>50</v>
      </c>
      <c r="S513" s="35" t="n">
        <f>350357.14</f>
        <v>350357.14</v>
      </c>
      <c r="T513" s="32" t="n">
        <f>49312</f>
        <v>49312.0</v>
      </c>
      <c r="U513" s="32" t="n">
        <f>10426</f>
        <v>10426.0</v>
      </c>
      <c r="V513" s="32" t="n">
        <f>17240373477</f>
        <v>1.7240373477E10</v>
      </c>
      <c r="W513" s="32" t="n">
        <f>3653043477</f>
        <v>3.653043477E9</v>
      </c>
      <c r="X513" s="36" t="n">
        <f>21</f>
        <v>21.0</v>
      </c>
    </row>
    <row r="514">
      <c r="A514" s="27" t="s">
        <v>42</v>
      </c>
      <c r="B514" s="27" t="s">
        <v>1595</v>
      </c>
      <c r="C514" s="27" t="s">
        <v>1596</v>
      </c>
      <c r="D514" s="27" t="s">
        <v>1597</v>
      </c>
      <c r="E514" s="28" t="s">
        <v>46</v>
      </c>
      <c r="F514" s="29" t="s">
        <v>46</v>
      </c>
      <c r="G514" s="30" t="s">
        <v>46</v>
      </c>
      <c r="H514" s="31"/>
      <c r="I514" s="31" t="s">
        <v>47</v>
      </c>
      <c r="J514" s="32" t="n">
        <v>1.0</v>
      </c>
      <c r="K514" s="33" t="n">
        <f>158700</f>
        <v>158700.0</v>
      </c>
      <c r="L514" s="34" t="s">
        <v>48</v>
      </c>
      <c r="M514" s="33" t="n">
        <f>158800</f>
        <v>158800.0</v>
      </c>
      <c r="N514" s="34" t="s">
        <v>48</v>
      </c>
      <c r="O514" s="33" t="n">
        <f>145800</f>
        <v>145800.0</v>
      </c>
      <c r="P514" s="34" t="s">
        <v>50</v>
      </c>
      <c r="Q514" s="33" t="n">
        <f>145800</f>
        <v>145800.0</v>
      </c>
      <c r="R514" s="34" t="s">
        <v>50</v>
      </c>
      <c r="S514" s="35" t="n">
        <f>152871.43</f>
        <v>152871.43</v>
      </c>
      <c r="T514" s="32" t="n">
        <f>42678</f>
        <v>42678.0</v>
      </c>
      <c r="U514" s="32" t="n">
        <f>6131</f>
        <v>6131.0</v>
      </c>
      <c r="V514" s="32" t="n">
        <f>6527496925</f>
        <v>6.527496925E9</v>
      </c>
      <c r="W514" s="32" t="n">
        <f>936332425</f>
        <v>9.36332425E8</v>
      </c>
      <c r="X514" s="36" t="n">
        <f>21</f>
        <v>21.0</v>
      </c>
    </row>
    <row r="515">
      <c r="A515" s="27" t="s">
        <v>42</v>
      </c>
      <c r="B515" s="27" t="s">
        <v>1598</v>
      </c>
      <c r="C515" s="27" t="s">
        <v>1599</v>
      </c>
      <c r="D515" s="27" t="s">
        <v>1600</v>
      </c>
      <c r="E515" s="28" t="s">
        <v>46</v>
      </c>
      <c r="F515" s="29" t="s">
        <v>46</v>
      </c>
      <c r="G515" s="30" t="s">
        <v>46</v>
      </c>
      <c r="H515" s="31"/>
      <c r="I515" s="31" t="s">
        <v>416</v>
      </c>
      <c r="J515" s="32" t="n">
        <v>1.0</v>
      </c>
      <c r="K515" s="33" t="n">
        <f>210200</f>
        <v>210200.0</v>
      </c>
      <c r="L515" s="34" t="s">
        <v>48</v>
      </c>
      <c r="M515" s="33" t="n">
        <f>213000</f>
        <v>213000.0</v>
      </c>
      <c r="N515" s="34" t="s">
        <v>99</v>
      </c>
      <c r="O515" s="33" t="n">
        <f>195400</f>
        <v>195400.0</v>
      </c>
      <c r="P515" s="34" t="s">
        <v>57</v>
      </c>
      <c r="Q515" s="33" t="n">
        <f>196100</f>
        <v>196100.0</v>
      </c>
      <c r="R515" s="34" t="s">
        <v>50</v>
      </c>
      <c r="S515" s="35" t="n">
        <f>206876.19</f>
        <v>206876.19</v>
      </c>
      <c r="T515" s="32" t="n">
        <f>17083</f>
        <v>17083.0</v>
      </c>
      <c r="U515" s="32" t="n">
        <f>2269</f>
        <v>2269.0</v>
      </c>
      <c r="V515" s="32" t="n">
        <f>3529710066</f>
        <v>3.529710066E9</v>
      </c>
      <c r="W515" s="32" t="n">
        <f>469040766</f>
        <v>4.69040766E8</v>
      </c>
      <c r="X515" s="36" t="n">
        <f>21</f>
        <v>21.0</v>
      </c>
    </row>
    <row r="516">
      <c r="A516" s="27" t="s">
        <v>42</v>
      </c>
      <c r="B516" s="27" t="s">
        <v>1601</v>
      </c>
      <c r="C516" s="27" t="s">
        <v>1602</v>
      </c>
      <c r="D516" s="27" t="s">
        <v>1603</v>
      </c>
      <c r="E516" s="28" t="s">
        <v>46</v>
      </c>
      <c r="F516" s="29" t="s">
        <v>46</v>
      </c>
      <c r="G516" s="30" t="s">
        <v>46</v>
      </c>
      <c r="H516" s="31"/>
      <c r="I516" s="31" t="s">
        <v>47</v>
      </c>
      <c r="J516" s="32" t="n">
        <v>1.0</v>
      </c>
      <c r="K516" s="33" t="n">
        <f>132900</f>
        <v>132900.0</v>
      </c>
      <c r="L516" s="34" t="s">
        <v>48</v>
      </c>
      <c r="M516" s="33" t="n">
        <f>134100</f>
        <v>134100.0</v>
      </c>
      <c r="N516" s="34" t="s">
        <v>48</v>
      </c>
      <c r="O516" s="33" t="n">
        <f>124700</f>
        <v>124700.0</v>
      </c>
      <c r="P516" s="34" t="s">
        <v>50</v>
      </c>
      <c r="Q516" s="33" t="n">
        <f>124700</f>
        <v>124700.0</v>
      </c>
      <c r="R516" s="34" t="s">
        <v>50</v>
      </c>
      <c r="S516" s="35" t="n">
        <f>129576.19</f>
        <v>129576.19</v>
      </c>
      <c r="T516" s="32" t="n">
        <f>368273</f>
        <v>368273.0</v>
      </c>
      <c r="U516" s="32" t="n">
        <f>124837</f>
        <v>124837.0</v>
      </c>
      <c r="V516" s="32" t="n">
        <f>47720971519</f>
        <v>4.7720971519E10</v>
      </c>
      <c r="W516" s="32" t="n">
        <f>16207080419</f>
        <v>1.6207080419E10</v>
      </c>
      <c r="X516" s="36" t="n">
        <f>21</f>
        <v>21.0</v>
      </c>
    </row>
    <row r="517">
      <c r="A517" s="27" t="s">
        <v>42</v>
      </c>
      <c r="B517" s="27" t="s">
        <v>1604</v>
      </c>
      <c r="C517" s="27" t="s">
        <v>1605</v>
      </c>
      <c r="D517" s="27" t="s">
        <v>1606</v>
      </c>
      <c r="E517" s="28" t="s">
        <v>46</v>
      </c>
      <c r="F517" s="29" t="s">
        <v>46</v>
      </c>
      <c r="G517" s="30" t="s">
        <v>46</v>
      </c>
      <c r="H517" s="31"/>
      <c r="I517" s="31" t="s">
        <v>47</v>
      </c>
      <c r="J517" s="32" t="n">
        <v>1.0</v>
      </c>
      <c r="K517" s="33" t="n">
        <f>84200</f>
        <v>84200.0</v>
      </c>
      <c r="L517" s="34" t="s">
        <v>48</v>
      </c>
      <c r="M517" s="33" t="n">
        <f>84500</f>
        <v>84500.0</v>
      </c>
      <c r="N517" s="34" t="s">
        <v>48</v>
      </c>
      <c r="O517" s="33" t="n">
        <f>74400</f>
        <v>74400.0</v>
      </c>
      <c r="P517" s="34" t="s">
        <v>57</v>
      </c>
      <c r="Q517" s="33" t="n">
        <f>74700</f>
        <v>74700.0</v>
      </c>
      <c r="R517" s="34" t="s">
        <v>50</v>
      </c>
      <c r="S517" s="35" t="n">
        <f>78509.52</f>
        <v>78509.52</v>
      </c>
      <c r="T517" s="32" t="n">
        <f>2165146</f>
        <v>2165146.0</v>
      </c>
      <c r="U517" s="32" t="n">
        <f>345500</f>
        <v>345500.0</v>
      </c>
      <c r="V517" s="32" t="n">
        <f>171176113220</f>
        <v>1.7117611322E11</v>
      </c>
      <c r="W517" s="32" t="n">
        <f>27254260620</f>
        <v>2.725426062E10</v>
      </c>
      <c r="X517" s="36" t="n">
        <f>21</f>
        <v>21.0</v>
      </c>
    </row>
    <row r="518">
      <c r="A518" s="27" t="s">
        <v>42</v>
      </c>
      <c r="B518" s="27" t="s">
        <v>1607</v>
      </c>
      <c r="C518" s="27" t="s">
        <v>1608</v>
      </c>
      <c r="D518" s="27" t="s">
        <v>1609</v>
      </c>
      <c r="E518" s="28" t="s">
        <v>46</v>
      </c>
      <c r="F518" s="29" t="s">
        <v>46</v>
      </c>
      <c r="G518" s="30" t="s">
        <v>46</v>
      </c>
      <c r="H518" s="31"/>
      <c r="I518" s="31" t="s">
        <v>47</v>
      </c>
      <c r="J518" s="32" t="n">
        <v>1.0</v>
      </c>
      <c r="K518" s="33" t="n">
        <f>116100</f>
        <v>116100.0</v>
      </c>
      <c r="L518" s="34" t="s">
        <v>48</v>
      </c>
      <c r="M518" s="33" t="n">
        <f>117000</f>
        <v>117000.0</v>
      </c>
      <c r="N518" s="34" t="s">
        <v>48</v>
      </c>
      <c r="O518" s="33" t="n">
        <f>105800</f>
        <v>105800.0</v>
      </c>
      <c r="P518" s="34" t="s">
        <v>50</v>
      </c>
      <c r="Q518" s="33" t="n">
        <f>106000</f>
        <v>106000.0</v>
      </c>
      <c r="R518" s="34" t="s">
        <v>50</v>
      </c>
      <c r="S518" s="35" t="n">
        <f>113442.86</f>
        <v>113442.86</v>
      </c>
      <c r="T518" s="32" t="n">
        <f>161586</f>
        <v>161586.0</v>
      </c>
      <c r="U518" s="32" t="n">
        <f>31522</f>
        <v>31522.0</v>
      </c>
      <c r="V518" s="32" t="n">
        <f>18291808096</f>
        <v>1.8291808096E10</v>
      </c>
      <c r="W518" s="32" t="n">
        <f>3570840096</f>
        <v>3.570840096E9</v>
      </c>
      <c r="X518" s="36" t="n">
        <f>21</f>
        <v>21.0</v>
      </c>
    </row>
    <row r="519">
      <c r="A519" s="27" t="s">
        <v>42</v>
      </c>
      <c r="B519" s="27" t="s">
        <v>1610</v>
      </c>
      <c r="C519" s="27" t="s">
        <v>1611</v>
      </c>
      <c r="D519" s="27" t="s">
        <v>1612</v>
      </c>
      <c r="E519" s="28" t="s">
        <v>46</v>
      </c>
      <c r="F519" s="29" t="s">
        <v>46</v>
      </c>
      <c r="G519" s="30" t="s">
        <v>46</v>
      </c>
      <c r="H519" s="31"/>
      <c r="I519" s="31" t="s">
        <v>47</v>
      </c>
      <c r="J519" s="32" t="n">
        <v>1.0</v>
      </c>
      <c r="K519" s="33" t="n">
        <f>152200</f>
        <v>152200.0</v>
      </c>
      <c r="L519" s="34" t="s">
        <v>48</v>
      </c>
      <c r="M519" s="33" t="n">
        <f>153700</f>
        <v>153700.0</v>
      </c>
      <c r="N519" s="34" t="s">
        <v>48</v>
      </c>
      <c r="O519" s="33" t="n">
        <f>142100</f>
        <v>142100.0</v>
      </c>
      <c r="P519" s="34" t="s">
        <v>50</v>
      </c>
      <c r="Q519" s="33" t="n">
        <f>142200</f>
        <v>142200.0</v>
      </c>
      <c r="R519" s="34" t="s">
        <v>50</v>
      </c>
      <c r="S519" s="35" t="n">
        <f>149942.86</f>
        <v>149942.86</v>
      </c>
      <c r="T519" s="32" t="n">
        <f>94711</f>
        <v>94711.0</v>
      </c>
      <c r="U519" s="32" t="n">
        <f>26350</f>
        <v>26350.0</v>
      </c>
      <c r="V519" s="32" t="n">
        <f>14190039424</f>
        <v>1.4190039424E10</v>
      </c>
      <c r="W519" s="32" t="n">
        <f>3952440924</f>
        <v>3.952440924E9</v>
      </c>
      <c r="X519" s="36" t="n">
        <f>21</f>
        <v>21.0</v>
      </c>
    </row>
    <row r="520">
      <c r="A520" s="27" t="s">
        <v>42</v>
      </c>
      <c r="B520" s="27" t="s">
        <v>1613</v>
      </c>
      <c r="C520" s="27" t="s">
        <v>1614</v>
      </c>
      <c r="D520" s="27" t="s">
        <v>1615</v>
      </c>
      <c r="E520" s="28" t="s">
        <v>46</v>
      </c>
      <c r="F520" s="29" t="s">
        <v>46</v>
      </c>
      <c r="G520" s="30" t="s">
        <v>46</v>
      </c>
      <c r="H520" s="31"/>
      <c r="I520" s="31" t="s">
        <v>416</v>
      </c>
      <c r="J520" s="32" t="n">
        <v>1.0</v>
      </c>
      <c r="K520" s="33" t="n">
        <f>58600</f>
        <v>58600.0</v>
      </c>
      <c r="L520" s="34" t="s">
        <v>48</v>
      </c>
      <c r="M520" s="33" t="n">
        <f>60100</f>
        <v>60100.0</v>
      </c>
      <c r="N520" s="34" t="s">
        <v>48</v>
      </c>
      <c r="O520" s="33" t="n">
        <f>56200</f>
        <v>56200.0</v>
      </c>
      <c r="P520" s="34" t="s">
        <v>181</v>
      </c>
      <c r="Q520" s="33" t="n">
        <f>58600</f>
        <v>58600.0</v>
      </c>
      <c r="R520" s="34" t="s">
        <v>50</v>
      </c>
      <c r="S520" s="35" t="n">
        <f>58142.86</f>
        <v>58142.86</v>
      </c>
      <c r="T520" s="32" t="n">
        <f>4946</f>
        <v>4946.0</v>
      </c>
      <c r="U520" s="32" t="n">
        <f>13</f>
        <v>13.0</v>
      </c>
      <c r="V520" s="32" t="n">
        <f>285260800</f>
        <v>2.852608E8</v>
      </c>
      <c r="W520" s="32" t="n">
        <f>766000</f>
        <v>766000.0</v>
      </c>
      <c r="X520" s="36" t="n">
        <f>21</f>
        <v>21.0</v>
      </c>
    </row>
    <row r="521">
      <c r="A521" s="27" t="s">
        <v>42</v>
      </c>
      <c r="B521" s="27" t="s">
        <v>1616</v>
      </c>
      <c r="C521" s="27" t="s">
        <v>1617</v>
      </c>
      <c r="D521" s="27" t="s">
        <v>1618</v>
      </c>
      <c r="E521" s="28" t="s">
        <v>46</v>
      </c>
      <c r="F521" s="29" t="s">
        <v>46</v>
      </c>
      <c r="G521" s="30" t="s">
        <v>46</v>
      </c>
      <c r="H521" s="31"/>
      <c r="I521" s="31" t="s">
        <v>416</v>
      </c>
      <c r="J521" s="32" t="n">
        <v>1.0</v>
      </c>
      <c r="K521" s="33" t="n">
        <f>92800</f>
        <v>92800.0</v>
      </c>
      <c r="L521" s="34" t="s">
        <v>48</v>
      </c>
      <c r="M521" s="33" t="n">
        <f>93800</f>
        <v>93800.0</v>
      </c>
      <c r="N521" s="34" t="s">
        <v>48</v>
      </c>
      <c r="O521" s="33" t="n">
        <f>89700</f>
        <v>89700.0</v>
      </c>
      <c r="P521" s="34" t="s">
        <v>50</v>
      </c>
      <c r="Q521" s="33" t="n">
        <f>90700</f>
        <v>90700.0</v>
      </c>
      <c r="R521" s="34" t="s">
        <v>50</v>
      </c>
      <c r="S521" s="35" t="n">
        <f>91738.1</f>
        <v>91738.1</v>
      </c>
      <c r="T521" s="32" t="n">
        <f>20071</f>
        <v>20071.0</v>
      </c>
      <c r="U521" s="32" t="n">
        <f>977</f>
        <v>977.0</v>
      </c>
      <c r="V521" s="32" t="n">
        <f>1834756821</f>
        <v>1.834756821E9</v>
      </c>
      <c r="W521" s="32" t="n">
        <f>89170421</f>
        <v>8.9170421E7</v>
      </c>
      <c r="X521" s="36" t="n">
        <f>21</f>
        <v>21.0</v>
      </c>
    </row>
    <row r="522">
      <c r="A522" s="27" t="s">
        <v>42</v>
      </c>
      <c r="B522" s="27" t="s">
        <v>1619</v>
      </c>
      <c r="C522" s="27" t="s">
        <v>1620</v>
      </c>
      <c r="D522" s="27" t="s">
        <v>1621</v>
      </c>
      <c r="E522" s="28" t="s">
        <v>46</v>
      </c>
      <c r="F522" s="29" t="s">
        <v>46</v>
      </c>
      <c r="G522" s="30" t="s">
        <v>46</v>
      </c>
      <c r="H522" s="31"/>
      <c r="I522" s="31" t="s">
        <v>416</v>
      </c>
      <c r="J522" s="32" t="n">
        <v>1.0</v>
      </c>
      <c r="K522" s="33" t="n">
        <f>51300</f>
        <v>51300.0</v>
      </c>
      <c r="L522" s="34" t="s">
        <v>48</v>
      </c>
      <c r="M522" s="33" t="n">
        <f>53000</f>
        <v>53000.0</v>
      </c>
      <c r="N522" s="34" t="s">
        <v>48</v>
      </c>
      <c r="O522" s="33" t="n">
        <f>49600</f>
        <v>49600.0</v>
      </c>
      <c r="P522" s="34" t="s">
        <v>57</v>
      </c>
      <c r="Q522" s="33" t="n">
        <f>50100</f>
        <v>50100.0</v>
      </c>
      <c r="R522" s="34" t="s">
        <v>50</v>
      </c>
      <c r="S522" s="35" t="n">
        <f>51066.67</f>
        <v>51066.67</v>
      </c>
      <c r="T522" s="32" t="n">
        <f>9400</f>
        <v>9400.0</v>
      </c>
      <c r="U522" s="32" t="n">
        <f>204</f>
        <v>204.0</v>
      </c>
      <c r="V522" s="32" t="n">
        <f>477642900</f>
        <v>4.776429E8</v>
      </c>
      <c r="W522" s="32" t="n">
        <f>10284000</f>
        <v>1.0284E7</v>
      </c>
      <c r="X522" s="36" t="n">
        <f>21</f>
        <v>21.0</v>
      </c>
    </row>
    <row r="523">
      <c r="A523" s="27" t="s">
        <v>42</v>
      </c>
      <c r="B523" s="27" t="s">
        <v>1622</v>
      </c>
      <c r="C523" s="27" t="s">
        <v>1623</v>
      </c>
      <c r="D523" s="27" t="s">
        <v>1624</v>
      </c>
      <c r="E523" s="28" t="s">
        <v>46</v>
      </c>
      <c r="F523" s="29" t="s">
        <v>46</v>
      </c>
      <c r="G523" s="30" t="s">
        <v>46</v>
      </c>
      <c r="H523" s="31"/>
      <c r="I523" s="31" t="s">
        <v>47</v>
      </c>
      <c r="J523" s="32" t="n">
        <v>1.0</v>
      </c>
      <c r="K523" s="33" t="n">
        <f>57500</f>
        <v>57500.0</v>
      </c>
      <c r="L523" s="34" t="s">
        <v>48</v>
      </c>
      <c r="M523" s="33" t="n">
        <f>58900</f>
        <v>58900.0</v>
      </c>
      <c r="N523" s="34" t="s">
        <v>71</v>
      </c>
      <c r="O523" s="33" t="n">
        <f>56200</f>
        <v>56200.0</v>
      </c>
      <c r="P523" s="34" t="s">
        <v>181</v>
      </c>
      <c r="Q523" s="33" t="n">
        <f>57800</f>
        <v>57800.0</v>
      </c>
      <c r="R523" s="34" t="s">
        <v>50</v>
      </c>
      <c r="S523" s="35" t="n">
        <f>57780.95</f>
        <v>57780.95</v>
      </c>
      <c r="T523" s="32" t="n">
        <f>29685</f>
        <v>29685.0</v>
      </c>
      <c r="U523" s="32" t="n">
        <f>907</f>
        <v>907.0</v>
      </c>
      <c r="V523" s="32" t="n">
        <f>1707739399</f>
        <v>1.707739399E9</v>
      </c>
      <c r="W523" s="32" t="n">
        <f>51575699</f>
        <v>5.1575699E7</v>
      </c>
      <c r="X523" s="36" t="n">
        <f>21</f>
        <v>21.0</v>
      </c>
    </row>
    <row r="524">
      <c r="A524" s="27" t="s">
        <v>42</v>
      </c>
      <c r="B524" s="27" t="s">
        <v>1625</v>
      </c>
      <c r="C524" s="27" t="s">
        <v>1626</v>
      </c>
      <c r="D524" s="27" t="s">
        <v>1627</v>
      </c>
      <c r="E524" s="28" t="s">
        <v>46</v>
      </c>
      <c r="F524" s="29" t="s">
        <v>46</v>
      </c>
      <c r="G524" s="30" t="s">
        <v>46</v>
      </c>
      <c r="H524" s="31" t="s">
        <v>1628</v>
      </c>
      <c r="I524" s="31"/>
      <c r="J524" s="32" t="n">
        <v>1.0</v>
      </c>
      <c r="K524" s="33" t="n">
        <f>66500</f>
        <v>66500.0</v>
      </c>
      <c r="L524" s="34" t="s">
        <v>48</v>
      </c>
      <c r="M524" s="33" t="n">
        <f>66700</f>
        <v>66700.0</v>
      </c>
      <c r="N524" s="34" t="s">
        <v>50</v>
      </c>
      <c r="O524" s="33" t="n">
        <f>66400</f>
        <v>66400.0</v>
      </c>
      <c r="P524" s="34" t="s">
        <v>48</v>
      </c>
      <c r="Q524" s="33" t="n">
        <f>66600</f>
        <v>66600.0</v>
      </c>
      <c r="R524" s="34" t="s">
        <v>50</v>
      </c>
      <c r="S524" s="35" t="n">
        <f>66519.05</f>
        <v>66519.05</v>
      </c>
      <c r="T524" s="32" t="n">
        <f>15730</f>
        <v>15730.0</v>
      </c>
      <c r="U524" s="32" t="n">
        <f>237</f>
        <v>237.0</v>
      </c>
      <c r="V524" s="32" t="n">
        <f>1046665310</f>
        <v>1.04666531E9</v>
      </c>
      <c r="W524" s="32" t="n">
        <f>15768610</f>
        <v>1.576861E7</v>
      </c>
      <c r="X524" s="36" t="n">
        <f>21</f>
        <v>21.0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2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