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<sst xmlns="http://schemas.openxmlformats.org/spreadsheetml/2006/main" count="6283" uniqueCount="1631">
  <si>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</si>
  <si>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</si>
  <si>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</si>
  <si>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</si>
  <si>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</si>
  <si>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</si>
  <si>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</si>
  <si>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</si>
  <si>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</si>
  <si>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</si>
  <si>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</si>
  <si>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</si>
  <si>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</si>
  <si>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</si>
  <si>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</si>
  <si>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</si>
  <si>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</si>
  <si>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</si>
  <si>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</si>
  <si>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</si>
  <si>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</si>
  <si>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</si>
  <si>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</si>
  <si>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</si>
  <si>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</si>
  <si>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</si>
  <si>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</si>
  <si>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</si>
  <si>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</si>
  <si>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</si>
  <si>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</si>
  <si>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</si>
  <si>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</si>
  <si>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</si>
  <si>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</si>
  <si>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</si>
  <si>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</si>
  <si>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</si>
  <si>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</si>
  <si>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</si>
  <si>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</si>
  <si>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</si>
  <si>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2026/04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</si>
  <si>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</si>
  <si>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</si>
  <si>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</si>
  <si>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</si>
  <si>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</si>
  <si>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</si>
  <si>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16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</si>
  <si>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</si>
  <si>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</si>
  <si>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</si>
  <si>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</si>
  <si>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</si>
  <si>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</si>
  <si>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</si>
  <si>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</si>
  <si>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</si>
  <si>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</si>
  <si>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3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</si>
  <si>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</si>
  <si>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</si>
  <si>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</si>
  <si>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</si>
  <si>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</si>
  <si>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</si>
  <si>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20</t>
  </si>
  <si>
    <t>6</t>
  </si>
  <si>
    <t>1320</t>
  </si>
  <si>
    <t>ｉＦｒｅｅＥＴＦ　日経２２５（年１回決算型）　受益証券</t>
  </si>
  <si>
    <t>iFreeETF Nikkei225 (Yearly Dividend Type)</t>
  </si>
  <si>
    <t>27</t>
  </si>
  <si>
    <t>2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</si>
  <si>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</si>
  <si>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</si>
  <si>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</si>
  <si>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</si>
  <si>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</si>
  <si>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</si>
  <si>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21</t>
  </si>
  <si>
    <t>1325</t>
  </si>
  <si>
    <t>ＮＥＸＴ　ＦＵＮＤＳ　ブラジル株式指数・ボベスパ連動型上場投信　受益証券</t>
  </si>
  <si>
    <t>NEXT FUNDS Ibovespa Linked Exchange Traded Fund</t>
  </si>
  <si>
    <t>14</t>
  </si>
  <si>
    <t>1326</t>
  </si>
  <si>
    <t>ＳＰＤＲゴールド・シェア　受益証券</t>
  </si>
  <si>
    <t>SPDR Gold Shares</t>
  </si>
  <si>
    <t>15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</si>
  <si>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</si>
  <si>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</si>
  <si>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</si>
  <si>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</si>
  <si>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</si>
  <si>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</si>
  <si>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</si>
  <si>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</si>
  <si>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</si>
  <si>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</si>
  <si>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</si>
  <si>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</si>
  <si>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</si>
  <si>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</si>
  <si>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</si>
  <si>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</si>
  <si>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</si>
  <si>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</si>
  <si>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</si>
  <si>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</si>
  <si>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</si>
  <si>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</si>
  <si>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</si>
  <si>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</si>
  <si>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</si>
  <si>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</si>
  <si>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</si>
  <si>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10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</si>
  <si>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</si>
  <si>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</si>
  <si>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</si>
  <si>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</si>
  <si>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</si>
  <si>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</si>
  <si>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</si>
  <si>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</si>
  <si>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</si>
  <si>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</si>
  <si>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</si>
  <si>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</si>
  <si>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</si>
  <si>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</si>
  <si>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</si>
  <si>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</si>
  <si>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</si>
  <si>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</si>
  <si>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 xml:space="preserve">新株落ち  </t>
  </si>
  <si>
    <t xml:space="preserve">ex-subscription right  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</si>
  <si>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</si>
  <si>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</si>
  <si>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</si>
  <si>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</si>
  <si>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</si>
  <si>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</si>
  <si>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9</t>
  </si>
  <si>
    <t>23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</si>
  <si>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</si>
  <si>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</si>
  <si>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</si>
  <si>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</si>
  <si>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</si>
  <si>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</si>
  <si>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</si>
  <si>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</si>
  <si>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</si>
  <si>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</si>
  <si>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</si>
  <si>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</si>
  <si>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</si>
  <si>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</si>
  <si>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</si>
  <si>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</si>
  <si>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</si>
  <si>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</si>
  <si>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</si>
  <si>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</si>
  <si>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</si>
  <si>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</si>
  <si>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</si>
  <si>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</si>
  <si>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</si>
  <si>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</si>
  <si>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</si>
  <si>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</si>
  <si>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</si>
  <si>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</si>
  <si>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</si>
  <si>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</si>
  <si>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</si>
  <si>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</si>
  <si>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</si>
  <si>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</si>
  <si>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</si>
  <si>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</si>
  <si>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</si>
  <si>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17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</si>
  <si>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</si>
  <si>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</si>
  <si>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</si>
  <si>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</si>
  <si>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</si>
  <si>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</si>
  <si>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</si>
  <si>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</si>
  <si>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</si>
  <si>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</si>
  <si>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</si>
  <si>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</si>
  <si>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</si>
  <si>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</si>
  <si>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</si>
  <si>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8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</si>
  <si>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</si>
  <si>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</si>
  <si>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</si>
  <si>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</si>
  <si>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</si>
  <si>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</si>
  <si>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28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</si>
  <si>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</si>
  <si>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</si>
  <si>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</si>
  <si>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</si>
  <si>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</si>
  <si>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</si>
  <si>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</si>
  <si>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</si>
  <si>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</si>
  <si>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</si>
  <si>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</si>
  <si>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</si>
  <si>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7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</si>
  <si>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</si>
  <si>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</si>
  <si>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</si>
  <si>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</si>
  <si>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</si>
  <si>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</si>
  <si>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</si>
  <si>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</si>
  <si>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</si>
  <si>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</si>
  <si>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</si>
  <si>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</si>
  <si>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</si>
  <si>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</si>
  <si>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</si>
  <si>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</si>
  <si>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</si>
  <si>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</si>
  <si>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</si>
  <si>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</si>
  <si>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</si>
  <si>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13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</si>
  <si>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</si>
  <si>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</si>
  <si>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</si>
  <si>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</si>
  <si>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</si>
  <si>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</si>
  <si>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</si>
  <si>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</si>
  <si>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</si>
  <si>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</si>
  <si>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</si>
  <si>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</si>
  <si>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</si>
  <si>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</si>
  <si>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</si>
  <si>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</si>
  <si>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</si>
  <si>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</si>
  <si>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</si>
  <si>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</si>
  <si>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</si>
  <si>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</si>
  <si>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</si>
  <si>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</si>
  <si>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</si>
  <si>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</si>
  <si>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</si>
  <si>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</si>
  <si>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</si>
  <si>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</si>
  <si>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</si>
  <si>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</si>
  <si>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</si>
  <si>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</si>
  <si>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</si>
  <si>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</si>
  <si>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</si>
  <si>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</si>
  <si>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</si>
  <si>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24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</si>
  <si>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</si>
  <si>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</si>
  <si>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</si>
  <si>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</si>
  <si>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</si>
  <si>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</si>
  <si>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</si>
  <si>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</si>
  <si>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</si>
  <si>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</si>
  <si>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</si>
  <si>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</si>
  <si>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</si>
  <si>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</si>
  <si>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</si>
  <si>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</si>
  <si>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</si>
  <si>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State Street SPDR S&amp;P 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</si>
  <si>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</si>
  <si>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</si>
  <si>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</si>
  <si>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</si>
  <si>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</si>
  <si>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</si>
  <si>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</si>
  <si>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</si>
  <si>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</si>
  <si>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</si>
  <si>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</si>
  <si>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</si>
  <si>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</si>
  <si>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</si>
  <si>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</si>
  <si>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</si>
  <si>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</si>
  <si>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</si>
  <si>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</si>
  <si>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</si>
  <si>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</si>
  <si>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</si>
  <si>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</si>
  <si>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</si>
  <si>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</si>
  <si>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</si>
  <si>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</si>
  <si>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</si>
  <si>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</si>
  <si>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</si>
  <si>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</si>
  <si>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</si>
  <si>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</si>
  <si>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</si>
  <si>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</si>
  <si>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</si>
  <si>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</si>
  <si>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</si>
  <si>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</si>
  <si>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</si>
  <si>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</si>
  <si>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</si>
  <si>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</si>
  <si>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</si>
  <si>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</si>
  <si>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</si>
  <si>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</si>
  <si>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</si>
  <si>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</si>
  <si>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</si>
  <si>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</si>
  <si>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</si>
  <si>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</si>
  <si>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</si>
  <si>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</si>
  <si>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</si>
  <si>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</si>
  <si>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</si>
  <si>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</si>
  <si>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</si>
  <si>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</si>
  <si>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</si>
  <si>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</si>
  <si>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</si>
  <si>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</si>
  <si>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</si>
  <si>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</si>
  <si>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</si>
  <si>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</si>
  <si>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</si>
  <si>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</si>
  <si>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</si>
  <si>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</si>
  <si>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</si>
  <si>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</si>
  <si>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</si>
  <si>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</si>
  <si>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</si>
  <si>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</si>
  <si>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</si>
  <si>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</si>
  <si>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</si>
  <si>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</si>
  <si>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</si>
  <si>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</si>
  <si>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</si>
  <si>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</si>
  <si>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</si>
  <si>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</si>
  <si>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</si>
  <si>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</si>
  <si>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</si>
  <si>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</si>
  <si>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</si>
  <si>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</si>
  <si>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</si>
  <si>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</si>
  <si>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</si>
  <si>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</si>
  <si>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</si>
  <si>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</si>
  <si>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</si>
  <si>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</si>
  <si>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</si>
  <si>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</si>
  <si>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</si>
  <si>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</si>
  <si>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</si>
  <si>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</si>
  <si>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</si>
  <si>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</si>
  <si>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</si>
  <si>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</si>
  <si>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</si>
  <si>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</si>
  <si>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</si>
  <si>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</si>
  <si>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</si>
  <si>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</si>
  <si>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</si>
  <si>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</si>
  <si>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</si>
  <si>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</si>
  <si>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</si>
  <si>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</si>
  <si>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</si>
  <si>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</si>
  <si>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</si>
  <si>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</si>
  <si>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</si>
  <si>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</si>
  <si>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</si>
  <si>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</si>
  <si>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</si>
  <si>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</si>
  <si>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</si>
  <si>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</si>
  <si>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</si>
  <si>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</si>
  <si>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</si>
  <si>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</si>
  <si>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</si>
  <si>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</si>
  <si>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ＪＰＸ　Ｂｌｏｓｓｏｍ　Ｊａｐａｎ　Ｉｎｄｅｘ　受益証券</t>
  </si>
  <si>
    <t>iFreeETF FTSE JPX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</si>
  <si>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</si>
  <si>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</si>
  <si>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</si>
  <si>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</si>
  <si>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</si>
  <si>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</si>
  <si>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</si>
  <si>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</si>
  <si>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</si>
  <si>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</si>
  <si>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</si>
  <si>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</si>
  <si>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</si>
  <si>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</si>
  <si>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</si>
  <si>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</si>
  <si>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</si>
  <si>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</si>
  <si>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</si>
  <si>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</si>
  <si>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</si>
  <si>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</si>
  <si>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</si>
  <si>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</si>
  <si>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</si>
  <si>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</si>
  <si>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</si>
  <si>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</si>
  <si>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</si>
  <si>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</si>
  <si>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</si>
  <si>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</si>
  <si>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</si>
  <si>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</si>
  <si>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</si>
  <si>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</si>
  <si>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</si>
  <si>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</si>
  <si>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</si>
  <si>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</si>
  <si>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</si>
  <si>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</si>
  <si>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</si>
  <si>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</si>
  <si>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</si>
  <si>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</si>
  <si>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</si>
  <si>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</si>
  <si>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</si>
  <si>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</si>
  <si>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</si>
  <si>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</si>
  <si>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</si>
  <si>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</si>
  <si>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</si>
  <si>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</si>
  <si>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</si>
  <si>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</si>
  <si>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</si>
  <si>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</si>
  <si>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</si>
  <si>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</si>
  <si>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</si>
  <si>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</si>
  <si>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</si>
  <si>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</si>
  <si>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</si>
  <si>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</si>
  <si>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</si>
  <si>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</si>
  <si>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</si>
  <si>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</si>
  <si>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</si>
  <si>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</si>
  <si>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</si>
  <si>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</si>
  <si>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</si>
  <si>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</si>
  <si>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</si>
  <si>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</si>
  <si>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</si>
  <si>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</si>
  <si>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</si>
  <si>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</si>
  <si>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</si>
  <si>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</si>
  <si>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</si>
  <si>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</si>
  <si>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</si>
  <si>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</si>
  <si>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</si>
  <si>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</si>
  <si>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</si>
  <si>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</si>
  <si>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</si>
  <si>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</si>
  <si>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</si>
  <si>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</si>
  <si>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</si>
  <si>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</si>
  <si>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</si>
  <si>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</si>
  <si>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</si>
  <si>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</si>
  <si>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</si>
  <si>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</si>
  <si>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</si>
  <si>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</si>
  <si>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</si>
  <si>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</si>
  <si>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</si>
  <si>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</si>
  <si>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</si>
  <si>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</si>
  <si>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</si>
  <si>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</si>
  <si>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</si>
  <si>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</si>
  <si>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</si>
  <si>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</si>
  <si>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</si>
  <si>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</si>
  <si>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</si>
  <si>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</si>
  <si>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</si>
  <si>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</si>
  <si>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</si>
  <si>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</si>
  <si>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</si>
  <si>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</si>
  <si>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</si>
  <si>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</si>
  <si>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</si>
  <si>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</si>
  <si>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</si>
  <si>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</si>
  <si>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</si>
  <si>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</si>
  <si>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</si>
  <si>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</si>
  <si>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</si>
  <si>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</si>
  <si>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</si>
  <si>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</si>
  <si>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</si>
  <si>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</si>
  <si>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</si>
  <si>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</si>
  <si>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</si>
  <si>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</si>
  <si>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</si>
  <si>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</si>
  <si>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</si>
  <si>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</si>
  <si>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</si>
  <si>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</si>
  <si>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</si>
  <si>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</si>
  <si>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</si>
  <si>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</si>
  <si>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</si>
  <si>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</si>
  <si>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</si>
  <si>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</si>
  <si>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</si>
  <si>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</si>
  <si>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</si>
  <si>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</si>
  <si>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</si>
  <si>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</si>
  <si>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</si>
  <si>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</si>
  <si>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</si>
  <si>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</si>
  <si>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</si>
  <si>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</si>
  <si>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</si>
  <si>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</si>
  <si>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</si>
  <si>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</si>
  <si>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</si>
  <si>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</si>
  <si>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</si>
  <si>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</si>
  <si>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</si>
  <si>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</si>
  <si>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</si>
  <si>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</si>
  <si>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</si>
  <si>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</si>
  <si>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</si>
  <si>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</si>
  <si>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</si>
  <si>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</si>
  <si>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</si>
  <si>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</si>
  <si>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</si>
  <si>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</si>
  <si>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22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</si>
  <si>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</si>
  <si>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</si>
  <si>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</si>
  <si>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</si>
  <si>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</si>
  <si>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</si>
  <si>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</si>
  <si>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</si>
  <si>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</si>
  <si>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</si>
  <si>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</si>
  <si>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</si>
  <si>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</si>
  <si>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</si>
  <si>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</si>
  <si>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</si>
  <si>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</si>
  <si>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</si>
  <si>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</si>
  <si>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</si>
  <si>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</si>
  <si>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</si>
  <si>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</si>
  <si>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</si>
  <si>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</si>
  <si>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</si>
  <si>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</si>
  <si>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</si>
  <si>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</si>
  <si>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</si>
  <si>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</si>
  <si>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</si>
  <si>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</si>
  <si>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</si>
  <si>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</si>
  <si>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</si>
  <si>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</si>
  <si>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</si>
  <si>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</si>
  <si>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</si>
  <si>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</si>
  <si>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</si>
  <si>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</si>
  <si>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</si>
  <si>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</si>
  <si>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</si>
  <si>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</si>
  <si>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</si>
  <si>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</si>
  <si>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</si>
  <si>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</si>
  <si>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</si>
  <si>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</si>
  <si>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</si>
  <si>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</si>
  <si>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</si>
  <si>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</si>
  <si>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</si>
  <si>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</si>
  <si>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</si>
  <si>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</si>
  <si>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</si>
  <si>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</si>
  <si>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</si>
  <si>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</si>
  <si>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</si>
  <si>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</si>
  <si>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</si>
  <si>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</si>
  <si>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</si>
  <si>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</si>
  <si>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</si>
  <si>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</si>
  <si>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</si>
  <si>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</si>
  <si>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</si>
  <si>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</si>
  <si>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</si>
  <si>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</si>
  <si>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</si>
  <si>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</si>
  <si>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</si>
  <si>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</si>
  <si>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</si>
  <si>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</si>
  <si>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</si>
  <si>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</si>
  <si>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</si>
  <si>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</si>
  <si>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</si>
  <si>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</si>
  <si>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</si>
  <si>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</si>
  <si>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</si>
  <si>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</si>
  <si>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</si>
  <si>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</si>
  <si>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</si>
  <si>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</si>
  <si>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</si>
  <si>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</si>
  <si>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</si>
  <si>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</si>
  <si>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</si>
  <si>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</si>
  <si>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</si>
  <si>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</si>
  <si>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</si>
  <si>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</si>
  <si>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</si>
  <si>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</si>
  <si>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</si>
  <si>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</si>
  <si>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</si>
  <si>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</si>
  <si>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</si>
  <si>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</si>
  <si>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</si>
  <si>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</si>
  <si>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</si>
  <si>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</si>
  <si>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</si>
  <si>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</si>
  <si>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</si>
  <si>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</si>
  <si>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</si>
  <si>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</si>
  <si>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</si>
  <si>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</si>
  <si>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</si>
  <si>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</si>
  <si>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</si>
  <si>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</si>
  <si>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</si>
  <si>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</si>
  <si>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</si>
  <si>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</si>
  <si>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</si>
  <si>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</si>
  <si>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</si>
  <si>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</si>
  <si>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</si>
  <si>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</si>
  <si>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</si>
  <si>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確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</si>
  <si>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</si>
  <si>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</si>
  <si>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</si>
  <si>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</si>
  <si>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</si>
  <si>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</si>
  <si>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</si>
  <si>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</si>
  <si>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</si>
  <si>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</si>
  <si>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</si>
  <si>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</si>
  <si>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</si>
  <si>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</si>
  <si>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</si>
  <si>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</si>
  <si>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</si>
  <si>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</si>
  <si>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</si>
  <si>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</si>
  <si>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</si>
  <si>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</si>
  <si>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</si>
  <si>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</si>
  <si>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</si>
  <si>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</si>
  <si>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</si>
  <si>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</si>
  <si>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</si>
  <si>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</si>
  <si>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</si>
  <si>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</si>
  <si>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</si>
  <si>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</si>
  <si>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</si>
  <si>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</si>
  <si>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</si>
  <si>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</si>
  <si>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</si>
  <si>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</si>
  <si>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</si>
  <si>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</si>
  <si>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</si>
  <si>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</si>
  <si>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</si>
  <si>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</si>
  <si>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</si>
  <si>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</si>
  <si>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</si>
  <si>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</si>
  <si>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</si>
  <si>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</si>
  <si>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</si>
  <si>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</si>
  <si>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</si>
  <si>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</si>
  <si>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</si>
  <si>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</si>
  <si>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</si>
  <si>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</si>
  <si>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</si>
  <si>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</si>
  <si>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</si>
  <si>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</si>
  <si>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</si>
  <si>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</si>
  <si>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</si>
  <si>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</si>
  <si>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</si>
  <si>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</si>
  <si>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</si>
  <si>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</si>
  <si>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</si>
  <si>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</si>
  <si>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</si>
  <si>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</si>
  <si>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</si>
  <si>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</si>
  <si>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</si>
  <si>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</si>
  <si>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</si>
  <si>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</si>
  <si>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</si>
  <si>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</si>
  <si>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</si>
  <si>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</si>
  <si>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</si>
  <si>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</si>
  <si>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</si>
  <si>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</si>
  <si>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</si>
  <si>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</si>
  <si>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</si>
  <si>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</si>
  <si>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</si>
  <si>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</si>
  <si>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</si>
  <si>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</si>
  <si>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</si>
  <si>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</si>
  <si>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</si>
  <si>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</si>
  <si>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</si>
  <si>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</si>
  <si>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</si>
  <si>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</si>
  <si>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</si>
  <si>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</si>
  <si>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</si>
  <si>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</si>
  <si>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</si>
  <si>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</si>
  <si>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</si>
  <si>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</si>
  <si>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</si>
  <si>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</si>
  <si>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</si>
  <si>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</si>
  <si>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</si>
  <si>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</si>
  <si>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</si>
  <si>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</si>
  <si>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</si>
  <si>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</si>
  <si>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</si>
  <si>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</si>
  <si>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</si>
  <si>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</si>
  <si>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</si>
  <si>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</si>
  <si>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</si>
  <si>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</si>
  <si>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</si>
  <si>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</si>
  <si>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</si>
  <si>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</si>
  <si>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</si>
  <si>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</si>
  <si>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</si>
  <si>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</si>
  <si>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</si>
  <si>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</si>
  <si>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</si>
  <si>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</si>
  <si>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</si>
  <si>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</si>
  <si>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</si>
  <si>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</si>
  <si>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</si>
  <si>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</si>
  <si>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</si>
  <si>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</si>
  <si>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</si>
  <si>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</si>
  <si>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</si>
  <si>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</si>
  <si>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</si>
  <si>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</si>
  <si>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</si>
  <si>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</si>
  <si>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</si>
  <si>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</si>
  <si>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</si>
  <si>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</si>
  <si>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</si>
  <si>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</si>
  <si>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</si>
  <si>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</si>
  <si>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</si>
  <si>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</si>
  <si>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</si>
  <si>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</si>
  <si>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</si>
  <si>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</si>
  <si>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</si>
  <si>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</si>
  <si>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</si>
  <si>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</si>
  <si>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</si>
  <si>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</si>
  <si>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</si>
  <si>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</si>
  <si>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</si>
  <si>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</si>
  <si>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</si>
  <si>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</si>
  <si>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</si>
  <si>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</si>
  <si>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</si>
  <si>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</si>
  <si>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</si>
  <si>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</si>
  <si>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</si>
  <si>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</si>
  <si>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</si>
  <si>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</si>
  <si>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</si>
  <si>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</si>
  <si>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</si>
  <si>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</si>
  <si>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</si>
  <si>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</si>
  <si>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</si>
  <si>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</si>
  <si>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</si>
  <si>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</si>
  <si>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</si>
  <si>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</si>
  <si>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</si>
  <si>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</si>
  <si>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</si>
  <si>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</si>
  <si>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</si>
  <si>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</si>
  <si>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</si>
  <si>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</si>
  <si>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</si>
  <si>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</si>
  <si>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</si>
  <si>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</si>
  <si>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</si>
  <si>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</si>
  <si>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</si>
  <si>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</si>
  <si>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</si>
  <si>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</si>
  <si>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</si>
  <si>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</si>
  <si>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</si>
  <si>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</si>
  <si>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</si>
  <si>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</si>
  <si>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</si>
  <si>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</si>
  <si>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</si>
  <si>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</si>
  <si>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</si>
  <si>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</si>
  <si>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</si>
  <si>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</si>
  <si>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</si>
  <si>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</si>
  <si>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</si>
  <si>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</si>
  <si>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</si>
  <si>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</si>
  <si>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</si>
  <si>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</si>
  <si>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</si>
  <si>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</si>
  <si>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</si>
  <si>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</si>
  <si>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</si>
  <si>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</si>
  <si>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</si>
  <si>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</si>
  <si>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</si>
  <si>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</si>
  <si>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</si>
  <si>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</si>
  <si>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</si>
  <si>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</si>
  <si>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</si>
  <si>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</si>
  <si>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</si>
  <si>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</si>
  <si>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</si>
  <si>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</si>
  <si>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</si>
  <si>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</si>
  <si>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</si>
  <si>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</si>
  <si>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</si>
  <si>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</si>
  <si>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</si>
  <si>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</si>
  <si>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</si>
  <si>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</si>
  <si>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</si>
  <si>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</si>
  <si>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</si>
  <si>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</si>
  <si>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</si>
  <si>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</si>
  <si>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</si>
  <si>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</si>
  <si>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</si>
  <si>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</si>
  <si>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</si>
  <si>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</si>
  <si>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</si>
  <si>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</si>
  <si>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</si>
  <si>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</si>
  <si>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</si>
  <si>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</si>
  <si>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</si>
  <si>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</si>
  <si>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</si>
  <si>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</si>
  <si>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</si>
  <si>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</si>
  <si>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</si>
  <si>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</si>
  <si>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</si>
  <si>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</si>
  <si>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</si>
  <si>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</si>
  <si>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</si>
  <si>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</si>
  <si>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</si>
  <si>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</si>
  <si>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</si>
  <si>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</si>
  <si>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</si>
  <si>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</si>
  <si>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</si>
  <si>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</si>
  <si>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</si>
  <si>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</si>
  <si>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</si>
  <si>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</si>
  <si>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</si>
  <si>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</si>
  <si>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</si>
  <si>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</si>
  <si>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</si>
  <si>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</si>
  <si>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</si>
  <si>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</si>
  <si>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</si>
  <si>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</si>
  <si>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</si>
  <si>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</si>
  <si>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</si>
  <si>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</si>
  <si>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</si>
  <si>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</si>
  <si>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</si>
  <si>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</si>
  <si>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</si>
  <si>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</si>
  <si>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</si>
  <si>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</si>
  <si>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</si>
  <si>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</si>
  <si>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</si>
  <si>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</si>
  <si>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</si>
  <si>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</si>
  <si>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</si>
  <si>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</si>
  <si>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</si>
  <si>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</si>
  <si>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</si>
  <si>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</si>
  <si>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</si>
  <si>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</si>
  <si>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</si>
  <si>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</si>
  <si>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</si>
  <si>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</si>
  <si>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</si>
  <si>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</si>
  <si>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</si>
  <si>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</si>
  <si>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</si>
  <si>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</si>
  <si>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</si>
  <si>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</si>
  <si>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</si>
  <si>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</si>
  <si>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</si>
  <si>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</si>
  <si>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</si>
  <si>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</si>
  <si>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</si>
  <si>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</si>
  <si>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</si>
  <si>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</si>
  <si>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</si>
  <si>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</si>
  <si>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</si>
  <si>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</si>
  <si>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</si>
  <si>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</si>
  <si>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</si>
  <si>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</si>
  <si>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</si>
  <si>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</si>
  <si>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</si>
  <si>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</si>
  <si>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</si>
  <si>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</si>
  <si>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</si>
  <si>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</si>
  <si>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</si>
  <si>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</si>
  <si>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</si>
  <si>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</si>
  <si>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</si>
  <si>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</si>
  <si>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</si>
  <si>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</si>
  <si>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</si>
  <si>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</si>
  <si>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</si>
  <si>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</si>
  <si>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</si>
  <si>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</si>
  <si>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</si>
  <si>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</si>
  <si>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</si>
  <si>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</si>
  <si>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</si>
  <si>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</si>
  <si>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</si>
  <si>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</si>
  <si>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</si>
  <si>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</si>
  <si>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</si>
  <si>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</si>
  <si>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</si>
  <si>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</si>
  <si>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</si>
  <si>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</si>
  <si>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</si>
  <si>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</si>
  <si>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</si>
  <si>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</si>
  <si>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</si>
  <si>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</si>
  <si>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</si>
  <si>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</si>
  <si>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</si>
  <si>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</si>
  <si>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</si>
  <si>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</si>
  <si>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</si>
  <si>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</si>
  <si>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</si>
  <si>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</si>
  <si>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</si>
  <si>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</si>
  <si>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</si>
  <si>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</si>
  <si>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</si>
  <si>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</si>
  <si>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</si>
  <si>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</si>
  <si>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</si>
  <si>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</si>
  <si>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</si>
  <si>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</si>
  <si>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</si>
  <si>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</si>
  <si>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</si>
  <si>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</si>
  <si>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</si>
  <si>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</si>
  <si>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</si>
  <si>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</si>
  <si>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</si>
  <si>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</si>
  <si>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</si>
  <si>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</si>
  <si>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</si>
  <si>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</si>
  <si>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</si>
  <si>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</si>
  <si>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</si>
  <si>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</si>
  <si>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</si>
  <si>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</si>
  <si>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</si>
  <si>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</si>
  <si>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</si>
  <si>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</si>
  <si>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</si>
  <si>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</si>
  <si>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</si>
  <si>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</si>
  <si>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</si>
  <si>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</si>
  <si>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</si>
  <si>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</si>
  <si>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</si>
  <si>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</si>
  <si>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</si>
  <si>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</si>
  <si>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</si>
  <si>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</si>
  <si>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</si>
  <si>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</si>
  <si>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</si>
  <si>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</si>
  <si>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</si>
  <si>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</si>
  <si>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</si>
  <si>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</si>
  <si>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</si>
  <si>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</si>
  <si>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セントラル・リート投資法人　投資証券</t>
  </si>
  <si>
    <t>CENTRAL REIT Investment Corporation</t>
  </si>
  <si>
    <t>348A</t>
  </si>
  <si>
    <t>ＭＡＸＩＳ読売３３３日本株上場投信　受益証券</t>
  </si>
  <si>
    <t>MAXIS Yomiuri333 Japan Stock ETF</t>
  </si>
  <si>
    <t>3492</t>
  </si>
  <si>
    <t>ＭＩＲＡＲＴＨ不動産投資法人　投資証券</t>
  </si>
  <si>
    <t>MIRARTH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</si>
  <si>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</si>
  <si>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</si>
  <si>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</si>
  <si>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</si>
  <si>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</si>
  <si>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</si>
  <si>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</si>
  <si>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</si>
  <si>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</si>
  <si>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</si>
  <si>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</si>
  <si>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</si>
  <si>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</si>
  <si>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</si>
  <si>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</si>
  <si>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</si>
  <si>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</si>
  <si>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</si>
  <si>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</si>
  <si>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</si>
  <si>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</si>
  <si>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</si>
  <si>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</si>
  <si>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</si>
  <si>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</si>
  <si>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</si>
  <si>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</si>
  <si>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</si>
  <si>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</si>
  <si>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</si>
  <si>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</si>
  <si>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</si>
  <si>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</si>
  <si>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</si>
  <si>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</si>
  <si>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</si>
  <si>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</si>
  <si>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</si>
  <si>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</si>
  <si>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</si>
  <si>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</si>
  <si>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</si>
  <si>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</si>
  <si>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</si>
  <si>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</si>
  <si>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</si>
  <si>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</si>
  <si>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</si>
  <si>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</si>
  <si>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</si>
  <si>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</si>
  <si>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</si>
  <si>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</si>
  <si>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</si>
  <si>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</si>
  <si>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</si>
  <si>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</si>
  <si>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</si>
  <si>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</si>
  <si>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</si>
  <si>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</si>
  <si>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</si>
  <si>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</si>
  <si>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</si>
  <si>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</si>
  <si>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</si>
  <si>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</si>
  <si>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</si>
  <si>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</si>
  <si>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</si>
  <si>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</si>
  <si>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</si>
  <si>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</si>
  <si>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</si>
  <si>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</si>
  <si>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</si>
  <si>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</si>
  <si>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</si>
  <si>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</si>
  <si>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</si>
  <si>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</si>
  <si>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>447A</t>
  </si>
  <si>
    <t>ステート・ストリート・スパイダー　ゴールド　ＥＴＦ（為替ヘッジなし）　受益証券</t>
  </si>
  <si>
    <t>State Street SPDR Gold ETF (JPY Unhedged)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</si>
  <si>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</si>
  <si>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</si>
  <si>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</si>
  <si>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</si>
  <si>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</si>
  <si>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</si>
  <si>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</si>
  <si>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</si>
  <si>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</si>
  <si>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</si>
  <si>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</si>
  <si>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</si>
  <si>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</si>
  <si>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</si>
  <si>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</si>
  <si>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</si>
  <si>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</si>
  <si>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</si>
  <si>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</si>
  <si>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</si>
  <si>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</si>
  <si>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</si>
  <si>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</si>
  <si>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</si>
  <si>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>465A</t>
  </si>
  <si>
    <t>グローバルＸ　日経平均株主還元４０－日本株式　ＥＴＦ　受益証券</t>
  </si>
  <si>
    <t>Global X Japan Nikkei 225 Shareholder Return 40 ETF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</si>
  <si>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</si>
  <si>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</si>
  <si>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</si>
  <si>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</si>
  <si>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</si>
  <si>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</si>
  <si>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</si>
  <si>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</si>
  <si>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</si>
  <si>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473A</t>
  </si>
  <si>
    <t>ニッセイＥＴＦ　日経２２５インデックス　受益証券</t>
  </si>
  <si>
    <t>Nissay ETF Nikkei 225 Index</t>
  </si>
  <si>
    <t>486A</t>
  </si>
  <si>
    <t>ＮＥＸＴ　ＦＵＮＤＳ　ユーロ・ストックス５０指数（為替ヘッジなし）連動型上場投信　受益証券</t>
  </si>
  <si>
    <t>NEXT FUNDS EURO STOXX 50 (Unhedged) Exchange Traded Fund</t>
  </si>
  <si>
    <t>487A</t>
  </si>
  <si>
    <t>ＮＥＸＴ　ＦＵＮＤＳ　ドイツ株式・ＤＡＸ（為替ヘッジなし）連動型上場投信　受益証券</t>
  </si>
  <si>
    <t>NEXT FUNDS German Equity DAX (Unhedged) Exchange Traded Fund</t>
  </si>
  <si>
    <t>488A</t>
  </si>
  <si>
    <t>ｉシェアーズ　円高フォーカス　ＥＴＦ　受益証券</t>
  </si>
  <si>
    <t>iShares Yen Appreciation Focus ETF</t>
  </si>
  <si>
    <t>489A</t>
  </si>
  <si>
    <t>東証ＲＥＩＴ物流フォーカスＥＴＦ　受益証券</t>
  </si>
  <si>
    <t>TSE REIT Logistics Focus ETF</t>
  </si>
  <si>
    <t>491A</t>
  </si>
  <si>
    <t>ｉシェアーズ　Ｓ＆Ｐ　５００　除く金融　ＥＴＦ（為替ヘッジあり）　受益証券</t>
  </si>
  <si>
    <t>iShares S&amp;P 500 Ex-Financials JPY Hedged ETF</t>
  </si>
  <si>
    <t>492A</t>
  </si>
  <si>
    <t>Ｏｎｅ　ＥＴＦ　日本国債　高クーポン（平均残存１０年未満）　受益証券</t>
  </si>
  <si>
    <t>One ETF Japanese Government Bond High Coupon (Average Duration Below Ten Years)</t>
  </si>
  <si>
    <t>493A</t>
  </si>
  <si>
    <t>Ｏｎｅ　ＥＴＦ　日本国債　１－３年　受益証券</t>
  </si>
  <si>
    <t>One ETF Japanese Government Bond 1-3 years</t>
  </si>
  <si>
    <t>494A</t>
  </si>
  <si>
    <t>Ｏｎｅ　ＥＴＦ　日本国債　３－７年　受益証券</t>
  </si>
  <si>
    <t>One ETF Japanese Government Bond 3-7 years</t>
  </si>
  <si>
    <t>495A</t>
  </si>
  <si>
    <t>Ｏｎｅ　ＥＴＦ　日本国債　７－１０年　受益証券</t>
  </si>
  <si>
    <t>One ETF Japanese Government Bond 7-10 years</t>
  </si>
  <si>
    <t>496A</t>
  </si>
  <si>
    <t>Ｏｎｅ　ＥＴＦ　日本国債　１７－２０年　受益証券</t>
  </si>
  <si>
    <t>One ETF Japanese Government Bond 17-20 years</t>
  </si>
  <si>
    <t>497A</t>
  </si>
  <si>
    <t>インバウンド消費関連　日本株（ネットリターン）ＥＴＮ　受益証券</t>
  </si>
  <si>
    <t>Inbound Consumer Related Japan Equity Net Return ETN</t>
  </si>
  <si>
    <t>498A</t>
  </si>
  <si>
    <t>防衛・航空宇宙　欧州株（ネットリターン）ＥＴＮ　受益証券</t>
  </si>
  <si>
    <t>Defense Aerospace Europe Equity Net Return ETN</t>
  </si>
  <si>
    <t>499A</t>
  </si>
  <si>
    <t>ラグジュアリー厳選１０　欧州株（ネットリターン）ＥＴＮ　受益証券</t>
  </si>
  <si>
    <t>Luxury Select 10 Europe Equity Net Return ETN</t>
  </si>
  <si>
    <t>502A</t>
  </si>
  <si>
    <t>グローバルＸ　超短期円建て債券　ＥＴＦ　受益証券</t>
  </si>
  <si>
    <t>Global X JPY Ultra Short-Term Bond ETF</t>
  </si>
  <si>
    <t>509A</t>
  </si>
  <si>
    <t>グリーンライト・再エネインフラ投資法人　投資証券</t>
  </si>
  <si>
    <t>Green Light Renewable Energy Infrastructure Fund</t>
  </si>
  <si>
    <t>512A</t>
  </si>
  <si>
    <t>グローバルＸ　ステーブルコイン＆トークンビジネス　ＥＴＦ（除く日本）　受益証券</t>
  </si>
  <si>
    <t>Global X Stablecoins &amp; Tokenization ETF (ex-Japan)</t>
  </si>
  <si>
    <t>513A</t>
  </si>
  <si>
    <t>グローバルＸ　防衛テック－日本株式　ＥＴＦ　受益証券</t>
  </si>
  <si>
    <t>Global X Japan Defense Tech ETF</t>
  </si>
  <si>
    <t>515A</t>
  </si>
  <si>
    <t>ｉシェアーズ　高格付け日本円社債　ＥＴＦ　受益証券</t>
  </si>
  <si>
    <t>iShares JPY Investment Grade Corporate Bond Active ETF</t>
  </si>
  <si>
    <t>516A</t>
  </si>
  <si>
    <t>ｉＦｒｅｅＥＴＦ　米ドル・ブル（１倍）　受益証券</t>
  </si>
  <si>
    <t>iFreeETF US Dollar Bull (1x)</t>
  </si>
  <si>
    <t>517A</t>
  </si>
  <si>
    <t>ｉＦｒｅｅＥＴＦ　米ドル・ベア（１倍）　受益証券</t>
  </si>
  <si>
    <t>iFreeETF US Dollar Bear (1x)</t>
  </si>
  <si>
    <t>518A</t>
  </si>
  <si>
    <t>ＮＥＸＴ　ＦＵＮＤＳ　ＦＴＳＥ日本株高配当キャッシュフロー５０指数連動型上場投信　受益証券</t>
  </si>
  <si>
    <t>NEXT FUNDS FTSE Japan ex-REITs High Income Cash Flow 50 Index Exchange Traded Fund</t>
  </si>
  <si>
    <t>521A</t>
  </si>
  <si>
    <t>ｉＦｒｅｅＥＴＦ　ＦＡＮＧ＋ゴールド　受益証券</t>
  </si>
  <si>
    <t>iFreeETF FANG+GOLD</t>
  </si>
  <si>
    <t>526A</t>
  </si>
  <si>
    <t>ＪＰＸスタートアップ急成長１００ＥＴＦ　受益証券</t>
  </si>
  <si>
    <t>JPX Startup100 ETF</t>
  </si>
  <si>
    <t>530A</t>
  </si>
  <si>
    <t>ＮＺＡＭ　上場投信　東証ＲＥＩＴ指数（２・５・８・１１月決算型）　受益証券</t>
  </si>
  <si>
    <t>NZAM ETF J-REIT Index(2 5 8 11)</t>
  </si>
  <si>
    <t>531A</t>
  </si>
  <si>
    <t>ＮＺＡＭ　上場投信　日経平均高配当株５０　受益証券</t>
  </si>
  <si>
    <t>NZAM ETF Nikkei High Dividend 50</t>
  </si>
  <si>
    <t>532A</t>
  </si>
  <si>
    <t>ＮＺＡＭ　上場投信　ＴＯＰＩＸ高配当４０　受益証券</t>
  </si>
  <si>
    <t>NZAM ETF TOPIX High Dividend 40</t>
  </si>
  <si>
    <t>533A</t>
  </si>
  <si>
    <t>ＮＺＡＭ　上場投信　Ｓ＆Ｐ５００（為替ヘッジなし）　受益証券</t>
  </si>
  <si>
    <t>NZAM ETF S&amp;P500(Unhedged)</t>
  </si>
  <si>
    <t>534A</t>
  </si>
  <si>
    <t>ＮＺＡＭ　上場投信　ＮＡＳＤＡＱ１００（為替ヘッジなし）　受益証券</t>
  </si>
  <si>
    <t>NZAM ETF NASDAQ100(Unhedged)</t>
  </si>
  <si>
    <t>535A</t>
  </si>
  <si>
    <t>ＮＺＡＭ　上場投信　ＤＡＸ（為替ヘッジなし）　受益証券</t>
  </si>
  <si>
    <t>NZAM ETF DAX(Unhedged)</t>
  </si>
  <si>
    <t>536A</t>
  </si>
  <si>
    <t>ＮＺＡＭ　上場投信　先進国株式（ＭＳＣＩ－ＫＯＫＵＳＡＩ）（為替ヘッジなし）　受益証券</t>
  </si>
  <si>
    <t>NZAM ETF MSCI-KOKUSAI(Unhedged)</t>
  </si>
  <si>
    <t>537A</t>
  </si>
  <si>
    <t>ＮＺＡＭ　上場投信　全世界株式（ＭＳＣＩ　ＡＣＷＩ）（為替ヘッジなし）　受益証券</t>
  </si>
  <si>
    <t>NZAM ETF MSCI ACWI(Unhedged)</t>
  </si>
  <si>
    <t>538A</t>
  </si>
  <si>
    <t>ＮＺＡＭ　上場投信　米国国債７－１０年（為替ヘッジなし）　受益証券</t>
  </si>
  <si>
    <t>NZAM ETF US Treasury 7-10Y(Unhedged)</t>
  </si>
  <si>
    <t>539A</t>
  </si>
  <si>
    <t>ＮＺＡＭ　上場投信　海外債券（ＦＴＳＥ　ＷＧＢＩ除く日本）（為替ヘッジなし）　受益証券</t>
  </si>
  <si>
    <t>NZAM ETF FTSE WGBI ex Japan(Unhedged)</t>
  </si>
  <si>
    <t>540A</t>
  </si>
  <si>
    <t>上場インデックスファンド日経銀行株トップ１０　受益証券</t>
  </si>
  <si>
    <t>Listed Index Fund Nikkei Bank Stock Top 10</t>
  </si>
  <si>
    <t>541A</t>
  </si>
  <si>
    <t>Ｏｎｅ　ＥＴＦ　ＴＯＰＩＸ高配当株グロース指数　受益証券</t>
  </si>
  <si>
    <t>One ETF TOPIX High Dividend Growth Index</t>
  </si>
  <si>
    <t>552A</t>
  </si>
  <si>
    <t>ＭＡＸＩＳ米国ＡＩインフラ株上場投信　受益証券</t>
  </si>
  <si>
    <t>MAXIS US AI Infrastructure Equity ETF</t>
  </si>
  <si>
    <t>563A</t>
  </si>
  <si>
    <t>グローバルＸ　ＮＡＳＤＡＱ１００・デイリー・カバード・コール　ＥＴＦ　受益証券</t>
  </si>
  <si>
    <t>Global X Nasdaq 100 Daily Covered Call ETF</t>
  </si>
  <si>
    <t xml:space="preserve">新規上場  </t>
  </si>
  <si>
    <t xml:space="preserve">New Listing  </t>
  </si>
  <si>
    <t xml:space="preserve">2026/04/23  </t>
  </si>
  <si>
    <t>564A</t>
  </si>
  <si>
    <t>グローバルＸ　Ｓ＆Ｐ先進国キャッシュフロー・トップ１００　ＥＴＦ　受益証券</t>
  </si>
  <si>
    <t>Global X S&amp;P Developed Cash Flow Top 100 ETF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</si>
  <si>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</si>
  <si>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</si>
  <si>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</si>
  <si>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</si>
  <si>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</si>
  <si>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</si>
  <si>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</si>
  <si>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</si>
  <si>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</si>
  <si>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</si>
  <si>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</si>
  <si>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</si>
  <si>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</si>
  <si>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</si>
  <si>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</si>
  <si>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</si>
  <si>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</si>
  <si>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</si>
  <si>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</si>
  <si>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</si>
  <si>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</si>
  <si>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</si>
  <si>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</si>
  <si>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</si>
  <si>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</si>
  <si>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</si>
  <si>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</si>
  <si>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</si>
  <si>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</si>
  <si>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</si>
  <si>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</si>
  <si>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</si>
  <si>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</si>
  <si>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</si>
  <si>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</si>
  <si>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</si>
  <si>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</si>
  <si>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</si>
  <si>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</si>
  <si>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</si>
  <si>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</si>
  <si>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</si>
  <si>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</si>
  <si>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</si>
  <si>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</si>
  <si>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</si>
  <si>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</si>
  <si>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</si>
  <si>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</si>
  <si>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</si>
  <si>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</si>
  <si>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</si>
  <si>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</si>
  <si>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</si>
  <si>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</si>
  <si>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</si>
  <si>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</si>
  <si>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</si>
  <si>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</si>
  <si>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</si>
  <si>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</si>
  <si>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</si>
  <si>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</si>
  <si>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</si>
  <si>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</si>
  <si>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</si>
  <si>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</si>
  <si>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</si>
  <si>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</si>
  <si>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</si>
  <si>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</si>
  <si>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</si>
  <si>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</si>
  <si>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</si>
  <si>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</si>
  <si>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</si>
  <si>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</si>
  <si>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</si>
  <si>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</si>
  <si>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</si>
  <si>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</si>
  <si>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</si>
  <si>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</si>
  <si>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</si>
  <si>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</si>
  <si>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</si>
  <si>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</si>
  <si>
    <t xml:space="preserve">上場廃止  </t>
  </si>
  <si>
    <t xml:space="preserve">Removal  </t>
  </si>
  <si>
    <t xml:space="preserve">2026/04/20  </t>
  </si>
  <si>
    <t>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</si>
</sst>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3873</f>
        <v>3873.0</v>
      </c>
      <c r="L7" s="34" t="s">
        <v>48</v>
      </c>
      <c r="M7" s="33" t="n">
        <f>4095</f>
        <v>4095.0</v>
      </c>
      <c r="N7" s="34" t="s">
        <v>49</v>
      </c>
      <c r="O7" s="33" t="n">
        <f>3854</f>
        <v>3854.0</v>
      </c>
      <c r="P7" s="34" t="s">
        <v>48</v>
      </c>
      <c r="Q7" s="33" t="n">
        <f>3987</f>
        <v>3987.0</v>
      </c>
      <c r="R7" s="34" t="s">
        <v>50</v>
      </c>
      <c r="S7" s="35" t="n">
        <f>3991.29</f>
        <v>3991.29</v>
      </c>
      <c r="T7" s="32" t="n">
        <f>14848770</f>
        <v>1.484877E7</v>
      </c>
      <c r="U7" s="32" t="n">
        <f>10021810</f>
        <v>1.002181E7</v>
      </c>
      <c r="V7" s="32" t="n">
        <f>59484675403</f>
        <v>5.9484675403E10</v>
      </c>
      <c r="W7" s="32" t="n">
        <f>40229124183</f>
        <v>4.0229124183E10</v>
      </c>
      <c r="X7" s="36" t="n">
        <f>21</f>
        <v>21.0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383.5</f>
        <v>383.5</v>
      </c>
      <c r="L8" s="34" t="s">
        <v>48</v>
      </c>
      <c r="M8" s="33" t="n">
        <f>405.4</f>
        <v>405.4</v>
      </c>
      <c r="N8" s="34" t="s">
        <v>49</v>
      </c>
      <c r="O8" s="33" t="n">
        <f>381.3</f>
        <v>381.3</v>
      </c>
      <c r="P8" s="34" t="s">
        <v>48</v>
      </c>
      <c r="Q8" s="33" t="n">
        <f>394.1</f>
        <v>394.1</v>
      </c>
      <c r="R8" s="34" t="s">
        <v>50</v>
      </c>
      <c r="S8" s="35" t="n">
        <f>395.11</f>
        <v>395.11</v>
      </c>
      <c r="T8" s="32" t="n">
        <f>627877910</f>
        <v>6.2787791E8</v>
      </c>
      <c r="U8" s="32" t="n">
        <f>294746260</f>
        <v>2.9474626E8</v>
      </c>
      <c r="V8" s="32" t="n">
        <f>248099438759</f>
        <v>2.48099438759E11</v>
      </c>
      <c r="W8" s="32" t="n">
        <f>116342406705</f>
        <v>1.16342406705E11</v>
      </c>
      <c r="X8" s="36" t="n">
        <f>21</f>
        <v>21.0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3787</f>
        <v>3787.0</v>
      </c>
      <c r="L9" s="34" t="s">
        <v>48</v>
      </c>
      <c r="M9" s="33" t="n">
        <f>4005</f>
        <v>4005.0</v>
      </c>
      <c r="N9" s="34" t="s">
        <v>49</v>
      </c>
      <c r="O9" s="33" t="n">
        <f>3769</f>
        <v>3769.0</v>
      </c>
      <c r="P9" s="34" t="s">
        <v>48</v>
      </c>
      <c r="Q9" s="33" t="n">
        <f>3898</f>
        <v>3898.0</v>
      </c>
      <c r="R9" s="34" t="s">
        <v>50</v>
      </c>
      <c r="S9" s="35" t="n">
        <f>3903.52</f>
        <v>3903.52</v>
      </c>
      <c r="T9" s="32" t="n">
        <f>15837831</f>
        <v>1.5837831E7</v>
      </c>
      <c r="U9" s="32" t="n">
        <f>11053494</f>
        <v>1.1053494E7</v>
      </c>
      <c r="V9" s="32" t="n">
        <f>62051151880</f>
        <v>6.205115188E10</v>
      </c>
      <c r="W9" s="32" t="n">
        <f>43364017608</f>
        <v>4.3364017608E10</v>
      </c>
      <c r="X9" s="36" t="n">
        <f>21</f>
        <v>21.0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51960</f>
        <v>51960.0</v>
      </c>
      <c r="L10" s="34" t="s">
        <v>48</v>
      </c>
      <c r="M10" s="33" t="n">
        <f>55550</f>
        <v>55550.0</v>
      </c>
      <c r="N10" s="34" t="s">
        <v>50</v>
      </c>
      <c r="O10" s="33" t="n">
        <f>51780</f>
        <v>51780.0</v>
      </c>
      <c r="P10" s="34" t="s">
        <v>60</v>
      </c>
      <c r="Q10" s="33" t="n">
        <f>55550</f>
        <v>55550.0</v>
      </c>
      <c r="R10" s="34" t="s">
        <v>50</v>
      </c>
      <c r="S10" s="35" t="n">
        <f>53750.95</f>
        <v>53750.95</v>
      </c>
      <c r="T10" s="32" t="n">
        <f>2431</f>
        <v>2431.0</v>
      </c>
      <c r="U10" s="32" t="str">
        <f>"－"</f>
        <v>－</v>
      </c>
      <c r="V10" s="32" t="n">
        <f>130993880</f>
        <v>1.3099388E8</v>
      </c>
      <c r="W10" s="32" t="str">
        <f>"－"</f>
        <v>－</v>
      </c>
      <c r="X10" s="36" t="n">
        <f>21</f>
        <v>21.0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1870</f>
        <v>1870.0</v>
      </c>
      <c r="L11" s="34" t="s">
        <v>48</v>
      </c>
      <c r="M11" s="33" t="n">
        <f>2002</f>
        <v>2002.0</v>
      </c>
      <c r="N11" s="34" t="s">
        <v>49</v>
      </c>
      <c r="O11" s="33" t="n">
        <f>1870</f>
        <v>1870.0</v>
      </c>
      <c r="P11" s="34" t="s">
        <v>48</v>
      </c>
      <c r="Q11" s="33" t="n">
        <f>1944</f>
        <v>1944.0</v>
      </c>
      <c r="R11" s="34" t="s">
        <v>50</v>
      </c>
      <c r="S11" s="35" t="n">
        <f>1949.19</f>
        <v>1949.19</v>
      </c>
      <c r="T11" s="32" t="n">
        <f>451638</f>
        <v>451638.0</v>
      </c>
      <c r="U11" s="32" t="n">
        <f>141450</f>
        <v>141450.0</v>
      </c>
      <c r="V11" s="32" t="n">
        <f>874452164</f>
        <v>8.74452164E8</v>
      </c>
      <c r="W11" s="32" t="n">
        <f>271958344</f>
        <v>2.71958344E8</v>
      </c>
      <c r="X11" s="36" t="n">
        <f>21</f>
        <v>21.0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680</f>
        <v>680.0</v>
      </c>
      <c r="L12" s="34" t="s">
        <v>48</v>
      </c>
      <c r="M12" s="33" t="n">
        <f>724.8</f>
        <v>724.8</v>
      </c>
      <c r="N12" s="34" t="s">
        <v>67</v>
      </c>
      <c r="O12" s="33" t="n">
        <f>660</f>
        <v>660.0</v>
      </c>
      <c r="P12" s="34" t="s">
        <v>68</v>
      </c>
      <c r="Q12" s="33" t="n">
        <f>686.2</f>
        <v>686.2</v>
      </c>
      <c r="R12" s="34" t="s">
        <v>50</v>
      </c>
      <c r="S12" s="35" t="n">
        <f>692.53</f>
        <v>692.53</v>
      </c>
      <c r="T12" s="32" t="n">
        <f>63000</f>
        <v>63000.0</v>
      </c>
      <c r="U12" s="32" t="str">
        <f>"－"</f>
        <v>－</v>
      </c>
      <c r="V12" s="32" t="n">
        <f>44320900</f>
        <v>4.43209E7</v>
      </c>
      <c r="W12" s="32" t="str">
        <f>"－"</f>
        <v>－</v>
      </c>
      <c r="X12" s="36" t="n">
        <f>14</f>
        <v>14.0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55250</f>
        <v>55250.0</v>
      </c>
      <c r="L13" s="34" t="s">
        <v>48</v>
      </c>
      <c r="M13" s="33" t="n">
        <f>63450</f>
        <v>63450.0</v>
      </c>
      <c r="N13" s="34" t="s">
        <v>72</v>
      </c>
      <c r="O13" s="33" t="n">
        <f>54480</f>
        <v>54480.0</v>
      </c>
      <c r="P13" s="34" t="s">
        <v>73</v>
      </c>
      <c r="Q13" s="33" t="n">
        <f>61740</f>
        <v>61740.0</v>
      </c>
      <c r="R13" s="34" t="s">
        <v>50</v>
      </c>
      <c r="S13" s="35" t="n">
        <f>59676.67</f>
        <v>59676.67</v>
      </c>
      <c r="T13" s="32" t="n">
        <f>2290480</f>
        <v>2290480.0</v>
      </c>
      <c r="U13" s="32" t="n">
        <f>1467739</f>
        <v>1467739.0</v>
      </c>
      <c r="V13" s="32" t="n">
        <f>136462156091</f>
        <v>1.36462156091E11</v>
      </c>
      <c r="W13" s="32" t="n">
        <f>87527414531</f>
        <v>8.7527414531E10</v>
      </c>
      <c r="X13" s="36" t="n">
        <f>21</f>
        <v>21.0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55480</f>
        <v>55480.0</v>
      </c>
      <c r="L14" s="34" t="s">
        <v>48</v>
      </c>
      <c r="M14" s="33" t="n">
        <f>63690</f>
        <v>63690.0</v>
      </c>
      <c r="N14" s="34" t="s">
        <v>72</v>
      </c>
      <c r="O14" s="33" t="n">
        <f>54680</f>
        <v>54680.0</v>
      </c>
      <c r="P14" s="34" t="s">
        <v>73</v>
      </c>
      <c r="Q14" s="33" t="n">
        <f>61990</f>
        <v>61990.0</v>
      </c>
      <c r="R14" s="34" t="s">
        <v>50</v>
      </c>
      <c r="S14" s="35" t="n">
        <f>59908.1</f>
        <v>59908.1</v>
      </c>
      <c r="T14" s="32" t="n">
        <f>9839938</f>
        <v>9839938.0</v>
      </c>
      <c r="U14" s="32" t="n">
        <f>1778001</f>
        <v>1778001.0</v>
      </c>
      <c r="V14" s="32" t="n">
        <f>585371199208</f>
        <v>5.85371199208E11</v>
      </c>
      <c r="W14" s="32" t="n">
        <f>103146479638</f>
        <v>1.03146479638E11</v>
      </c>
      <c r="X14" s="36" t="n">
        <f>21</f>
        <v>21.0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11220</f>
        <v>11220.0</v>
      </c>
      <c r="L15" s="34" t="s">
        <v>48</v>
      </c>
      <c r="M15" s="33" t="n">
        <f>12190</f>
        <v>12190.0</v>
      </c>
      <c r="N15" s="34" t="s">
        <v>80</v>
      </c>
      <c r="O15" s="33" t="n">
        <f>10925</f>
        <v>10925.0</v>
      </c>
      <c r="P15" s="34" t="s">
        <v>68</v>
      </c>
      <c r="Q15" s="33" t="n">
        <f>12000</f>
        <v>12000.0</v>
      </c>
      <c r="R15" s="34" t="s">
        <v>50</v>
      </c>
      <c r="S15" s="35" t="n">
        <f>11571.67</f>
        <v>11571.67</v>
      </c>
      <c r="T15" s="32" t="n">
        <f>12171</f>
        <v>12171.0</v>
      </c>
      <c r="U15" s="32" t="str">
        <f>"－"</f>
        <v>－</v>
      </c>
      <c r="V15" s="32" t="n">
        <f>143153425</f>
        <v>1.43153425E8</v>
      </c>
      <c r="W15" s="32" t="str">
        <f>"－"</f>
        <v>－</v>
      </c>
      <c r="X15" s="36" t="n">
        <f>21</f>
        <v>21.0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318</f>
        <v>318.0</v>
      </c>
      <c r="L16" s="34" t="s">
        <v>48</v>
      </c>
      <c r="M16" s="33" t="n">
        <f>358</f>
        <v>358.0</v>
      </c>
      <c r="N16" s="34" t="s">
        <v>84</v>
      </c>
      <c r="O16" s="33" t="n">
        <f>318</f>
        <v>318.0</v>
      </c>
      <c r="P16" s="34" t="s">
        <v>48</v>
      </c>
      <c r="Q16" s="33" t="n">
        <f>329.5</f>
        <v>329.5</v>
      </c>
      <c r="R16" s="34" t="s">
        <v>50</v>
      </c>
      <c r="S16" s="35" t="n">
        <f>337.06</f>
        <v>337.06</v>
      </c>
      <c r="T16" s="32" t="n">
        <f>2934110</f>
        <v>2934110.0</v>
      </c>
      <c r="U16" s="32" t="n">
        <f>1497230</f>
        <v>1497230.0</v>
      </c>
      <c r="V16" s="32" t="n">
        <f>1014574778</f>
        <v>1.014574778E9</v>
      </c>
      <c r="W16" s="32" t="n">
        <f>528133279</f>
        <v>5.28133279E8</v>
      </c>
      <c r="X16" s="36" t="n">
        <f>21</f>
        <v>21.0</v>
      </c>
    </row>
    <row r="17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68510</f>
        <v>68510.0</v>
      </c>
      <c r="L17" s="34" t="s">
        <v>48</v>
      </c>
      <c r="M17" s="33" t="n">
        <f>71080</f>
        <v>71080.0</v>
      </c>
      <c r="N17" s="34" t="s">
        <v>88</v>
      </c>
      <c r="O17" s="33" t="n">
        <f>66690</f>
        <v>66690.0</v>
      </c>
      <c r="P17" s="34" t="s">
        <v>73</v>
      </c>
      <c r="Q17" s="33" t="n">
        <f>67380</f>
        <v>67380.0</v>
      </c>
      <c r="R17" s="34" t="s">
        <v>50</v>
      </c>
      <c r="S17" s="35" t="n">
        <f>69026.67</f>
        <v>69026.67</v>
      </c>
      <c r="T17" s="32" t="n">
        <f>354756</f>
        <v>354756.0</v>
      </c>
      <c r="U17" s="32" t="n">
        <f>67</f>
        <v>67.0</v>
      </c>
      <c r="V17" s="32" t="n">
        <f>24477983155</f>
        <v>2.4477983155E10</v>
      </c>
      <c r="W17" s="32" t="n">
        <f>4699245</f>
        <v>4699245.0</v>
      </c>
      <c r="X17" s="36" t="n">
        <f>21</f>
        <v>21.0</v>
      </c>
    </row>
    <row r="18">
      <c r="A18" s="27" t="s">
        <v>42</v>
      </c>
      <c r="B18" s="27" t="s">
        <v>89</v>
      </c>
      <c r="C18" s="27" t="s">
        <v>90</v>
      </c>
      <c r="D18" s="27" t="s">
        <v>91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17655</f>
        <v>17655.0</v>
      </c>
      <c r="L18" s="34" t="s">
        <v>48</v>
      </c>
      <c r="M18" s="33" t="n">
        <f>18335</f>
        <v>18335.0</v>
      </c>
      <c r="N18" s="34" t="s">
        <v>88</v>
      </c>
      <c r="O18" s="33" t="n">
        <f>17200</f>
        <v>17200.0</v>
      </c>
      <c r="P18" s="34" t="s">
        <v>73</v>
      </c>
      <c r="Q18" s="33" t="n">
        <f>17355</f>
        <v>17355.0</v>
      </c>
      <c r="R18" s="34" t="s">
        <v>50</v>
      </c>
      <c r="S18" s="35" t="n">
        <f>17794.52</f>
        <v>17794.52</v>
      </c>
      <c r="T18" s="32" t="n">
        <f>954664</f>
        <v>954664.0</v>
      </c>
      <c r="U18" s="32" t="n">
        <f>10248</f>
        <v>10248.0</v>
      </c>
      <c r="V18" s="32" t="n">
        <f>16998765750</f>
        <v>1.699876575E10</v>
      </c>
      <c r="W18" s="32" t="n">
        <f>181692840</f>
        <v>1.8169284E8</v>
      </c>
      <c r="X18" s="36" t="n">
        <f>21</f>
        <v>21.0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5516</f>
        <v>5516.0</v>
      </c>
      <c r="L19" s="34" t="s">
        <v>48</v>
      </c>
      <c r="M19" s="33" t="n">
        <f>6336</f>
        <v>6336.0</v>
      </c>
      <c r="N19" s="34" t="s">
        <v>72</v>
      </c>
      <c r="O19" s="33" t="n">
        <f>5441</f>
        <v>5441.0</v>
      </c>
      <c r="P19" s="34" t="s">
        <v>73</v>
      </c>
      <c r="Q19" s="33" t="n">
        <f>6169</f>
        <v>6169.0</v>
      </c>
      <c r="R19" s="34" t="s">
        <v>50</v>
      </c>
      <c r="S19" s="35" t="n">
        <f>5958.81</f>
        <v>5958.81</v>
      </c>
      <c r="T19" s="32" t="n">
        <f>17578967</f>
        <v>1.7578967E7</v>
      </c>
      <c r="U19" s="32" t="n">
        <f>4574907</f>
        <v>4574907.0</v>
      </c>
      <c r="V19" s="32" t="n">
        <f>105017127071</f>
        <v>1.05017127071E11</v>
      </c>
      <c r="W19" s="32" t="n">
        <f>27113423565</f>
        <v>2.7113423565E10</v>
      </c>
      <c r="X19" s="36" t="n">
        <f>21</f>
        <v>21.0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55470</f>
        <v>55470.0</v>
      </c>
      <c r="L20" s="34" t="s">
        <v>48</v>
      </c>
      <c r="M20" s="33" t="n">
        <f>63780</f>
        <v>63780.0</v>
      </c>
      <c r="N20" s="34" t="s">
        <v>72</v>
      </c>
      <c r="O20" s="33" t="n">
        <f>54750</f>
        <v>54750.0</v>
      </c>
      <c r="P20" s="34" t="s">
        <v>73</v>
      </c>
      <c r="Q20" s="33" t="n">
        <f>62040</f>
        <v>62040.0</v>
      </c>
      <c r="R20" s="34" t="s">
        <v>50</v>
      </c>
      <c r="S20" s="35" t="n">
        <f>59983.81</f>
        <v>59983.81</v>
      </c>
      <c r="T20" s="32" t="n">
        <f>2002002</f>
        <v>2002002.0</v>
      </c>
      <c r="U20" s="32" t="n">
        <f>1125195</f>
        <v>1125195.0</v>
      </c>
      <c r="V20" s="32" t="n">
        <f>119618997002</f>
        <v>1.19618997002E11</v>
      </c>
      <c r="W20" s="32" t="n">
        <f>66785124702</f>
        <v>6.6785124702E10</v>
      </c>
      <c r="X20" s="36" t="n">
        <f>21</f>
        <v>21.0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1069</f>
        <v>1069.0</v>
      </c>
      <c r="L21" s="34" t="s">
        <v>48</v>
      </c>
      <c r="M21" s="33" t="n">
        <f>1088</f>
        <v>1088.0</v>
      </c>
      <c r="N21" s="34" t="s">
        <v>50</v>
      </c>
      <c r="O21" s="33" t="n">
        <f>1068</f>
        <v>1068.0</v>
      </c>
      <c r="P21" s="34" t="s">
        <v>48</v>
      </c>
      <c r="Q21" s="33" t="n">
        <f>1087</f>
        <v>1087.0</v>
      </c>
      <c r="R21" s="34" t="s">
        <v>50</v>
      </c>
      <c r="S21" s="35" t="n">
        <f>1076.67</f>
        <v>1076.67</v>
      </c>
      <c r="T21" s="32" t="n">
        <f>2389020</f>
        <v>2389020.0</v>
      </c>
      <c r="U21" s="32" t="n">
        <f>197697</f>
        <v>197697.0</v>
      </c>
      <c r="V21" s="32" t="n">
        <f>2567479726</f>
        <v>2.567479726E9</v>
      </c>
      <c r="W21" s="32" t="n">
        <f>211423289</f>
        <v>2.11423289E8</v>
      </c>
      <c r="X21" s="36" t="n">
        <f>21</f>
        <v>21.0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2039</f>
        <v>2039.0</v>
      </c>
      <c r="L22" s="34" t="s">
        <v>48</v>
      </c>
      <c r="M22" s="33" t="n">
        <f>2107.5</f>
        <v>2107.5</v>
      </c>
      <c r="N22" s="34" t="s">
        <v>88</v>
      </c>
      <c r="O22" s="33" t="n">
        <f>2025.5</f>
        <v>2025.5</v>
      </c>
      <c r="P22" s="34" t="s">
        <v>48</v>
      </c>
      <c r="Q22" s="33" t="n">
        <f>2043.5</f>
        <v>2043.5</v>
      </c>
      <c r="R22" s="34" t="s">
        <v>50</v>
      </c>
      <c r="S22" s="35" t="n">
        <f>2069.17</f>
        <v>2069.17</v>
      </c>
      <c r="T22" s="32" t="n">
        <f>20091300</f>
        <v>2.00913E7</v>
      </c>
      <c r="U22" s="32" t="n">
        <f>6484770</f>
        <v>6484770.0</v>
      </c>
      <c r="V22" s="32" t="n">
        <f>41571719241</f>
        <v>4.1571719241E10</v>
      </c>
      <c r="W22" s="32" t="n">
        <f>13438816451</f>
        <v>1.3438816451E10</v>
      </c>
      <c r="X22" s="36" t="n">
        <f>21</f>
        <v>21.0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1904.5</f>
        <v>1904.5</v>
      </c>
      <c r="L23" s="34" t="s">
        <v>48</v>
      </c>
      <c r="M23" s="33" t="n">
        <f>1975</f>
        <v>1975.0</v>
      </c>
      <c r="N23" s="34" t="s">
        <v>88</v>
      </c>
      <c r="O23" s="33" t="n">
        <f>1897.5</f>
        <v>1897.5</v>
      </c>
      <c r="P23" s="34" t="s">
        <v>48</v>
      </c>
      <c r="Q23" s="33" t="n">
        <f>1916</f>
        <v>1916.0</v>
      </c>
      <c r="R23" s="34" t="s">
        <v>50</v>
      </c>
      <c r="S23" s="35" t="n">
        <f>1935.67</f>
        <v>1935.67</v>
      </c>
      <c r="T23" s="32" t="n">
        <f>1637463</f>
        <v>1637463.0</v>
      </c>
      <c r="U23" s="32" t="n">
        <f>602598</f>
        <v>602598.0</v>
      </c>
      <c r="V23" s="32" t="n">
        <f>3161535701</f>
        <v>3.161535701E9</v>
      </c>
      <c r="W23" s="32" t="n">
        <f>1159765759</f>
        <v>1.159765759E9</v>
      </c>
      <c r="X23" s="36" t="n">
        <f>21</f>
        <v>21.0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55050</f>
        <v>55050.0</v>
      </c>
      <c r="L24" s="34" t="s">
        <v>48</v>
      </c>
      <c r="M24" s="33" t="n">
        <f>63330</f>
        <v>63330.0</v>
      </c>
      <c r="N24" s="34" t="s">
        <v>72</v>
      </c>
      <c r="O24" s="33" t="n">
        <f>54380</f>
        <v>54380.0</v>
      </c>
      <c r="P24" s="34" t="s">
        <v>73</v>
      </c>
      <c r="Q24" s="33" t="n">
        <f>61590</f>
        <v>61590.0</v>
      </c>
      <c r="R24" s="34" t="s">
        <v>50</v>
      </c>
      <c r="S24" s="35" t="n">
        <f>59550.95</f>
        <v>59550.95</v>
      </c>
      <c r="T24" s="32" t="n">
        <f>1701784</f>
        <v>1701784.0</v>
      </c>
      <c r="U24" s="32" t="n">
        <f>1061739</f>
        <v>1061739.0</v>
      </c>
      <c r="V24" s="32" t="n">
        <f>98895792390</f>
        <v>9.889579239E10</v>
      </c>
      <c r="W24" s="32" t="n">
        <f>60745514830</f>
        <v>6.074551483E10</v>
      </c>
      <c r="X24" s="36" t="n">
        <f>21</f>
        <v>21.0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3785</f>
        <v>3785.0</v>
      </c>
      <c r="L25" s="34" t="s">
        <v>48</v>
      </c>
      <c r="M25" s="33" t="n">
        <f>4001</f>
        <v>4001.0</v>
      </c>
      <c r="N25" s="34" t="s">
        <v>49</v>
      </c>
      <c r="O25" s="33" t="n">
        <f>3764</f>
        <v>3764.0</v>
      </c>
      <c r="P25" s="34" t="s">
        <v>48</v>
      </c>
      <c r="Q25" s="33" t="n">
        <f>3895</f>
        <v>3895.0</v>
      </c>
      <c r="R25" s="34" t="s">
        <v>50</v>
      </c>
      <c r="S25" s="35" t="n">
        <f>3899.95</f>
        <v>3899.95</v>
      </c>
      <c r="T25" s="32" t="n">
        <f>9794234</f>
        <v>9794234.0</v>
      </c>
      <c r="U25" s="32" t="n">
        <f>6081017</f>
        <v>6081017.0</v>
      </c>
      <c r="V25" s="32" t="n">
        <f>38435576035</f>
        <v>3.8435576035E10</v>
      </c>
      <c r="W25" s="32" t="n">
        <f>23878221752</f>
        <v>2.3878221752E10</v>
      </c>
      <c r="X25" s="36" t="n">
        <f>21</f>
        <v>21.0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17500</f>
        <v>17500.0</v>
      </c>
      <c r="L26" s="34" t="s">
        <v>48</v>
      </c>
      <c r="M26" s="33" t="n">
        <f>18685</f>
        <v>18685.0</v>
      </c>
      <c r="N26" s="34" t="s">
        <v>116</v>
      </c>
      <c r="O26" s="33" t="n">
        <f>17500</f>
        <v>17500.0</v>
      </c>
      <c r="P26" s="34" t="s">
        <v>48</v>
      </c>
      <c r="Q26" s="33" t="n">
        <f>17915</f>
        <v>17915.0</v>
      </c>
      <c r="R26" s="34" t="s">
        <v>50</v>
      </c>
      <c r="S26" s="35" t="n">
        <f>17908.24</f>
        <v>17908.24</v>
      </c>
      <c r="T26" s="32" t="n">
        <f>640</f>
        <v>640.0</v>
      </c>
      <c r="U26" s="32" t="str">
        <f>"－"</f>
        <v>－</v>
      </c>
      <c r="V26" s="32" t="n">
        <f>11513710</f>
        <v>1.151371E7</v>
      </c>
      <c r="W26" s="32" t="str">
        <f>"－"</f>
        <v>－</v>
      </c>
      <c r="X26" s="36" t="n">
        <f>17</f>
        <v>17.0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141.9</f>
        <v>141.9</v>
      </c>
      <c r="L27" s="34" t="s">
        <v>48</v>
      </c>
      <c r="M27" s="33" t="n">
        <f>143.6</f>
        <v>143.6</v>
      </c>
      <c r="N27" s="34" t="s">
        <v>48</v>
      </c>
      <c r="O27" s="33" t="n">
        <f>125.5</f>
        <v>125.5</v>
      </c>
      <c r="P27" s="34" t="s">
        <v>49</v>
      </c>
      <c r="Q27" s="33" t="n">
        <f>132.4</f>
        <v>132.4</v>
      </c>
      <c r="R27" s="34" t="s">
        <v>50</v>
      </c>
      <c r="S27" s="35" t="n">
        <f>132.43</f>
        <v>132.43</v>
      </c>
      <c r="T27" s="32" t="n">
        <f>165246570</f>
        <v>1.6524657E8</v>
      </c>
      <c r="U27" s="32" t="n">
        <f>892300</f>
        <v>892300.0</v>
      </c>
      <c r="V27" s="32" t="n">
        <f>21979916141</f>
        <v>2.1979916141E10</v>
      </c>
      <c r="W27" s="32" t="n">
        <f>118204438</f>
        <v>1.18204438E8</v>
      </c>
      <c r="X27" s="36" t="n">
        <f>21</f>
        <v>21.0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4878</f>
        <v>4878.0</v>
      </c>
      <c r="L28" s="34" t="s">
        <v>48</v>
      </c>
      <c r="M28" s="33" t="n">
        <f>4970</f>
        <v>4970.0</v>
      </c>
      <c r="N28" s="34" t="s">
        <v>73</v>
      </c>
      <c r="O28" s="33" t="n">
        <f>3604</f>
        <v>3604.0</v>
      </c>
      <c r="P28" s="34" t="s">
        <v>72</v>
      </c>
      <c r="Q28" s="33" t="n">
        <f>3808</f>
        <v>3808.0</v>
      </c>
      <c r="R28" s="34" t="s">
        <v>50</v>
      </c>
      <c r="S28" s="35" t="n">
        <f>4126.38</f>
        <v>4126.38</v>
      </c>
      <c r="T28" s="32" t="n">
        <f>185483028</f>
        <v>1.85483028E8</v>
      </c>
      <c r="U28" s="32" t="n">
        <f>2257999</f>
        <v>2257999.0</v>
      </c>
      <c r="V28" s="32" t="n">
        <f>773117338394</f>
        <v>7.73117338394E11</v>
      </c>
      <c r="W28" s="32" t="n">
        <f>9294050285</f>
        <v>9.294050285E9</v>
      </c>
      <c r="X28" s="36" t="n">
        <f>21</f>
        <v>21.0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89380</f>
        <v>89380.0</v>
      </c>
      <c r="L29" s="34" t="s">
        <v>48</v>
      </c>
      <c r="M29" s="33" t="n">
        <f>117100</f>
        <v>117100.0</v>
      </c>
      <c r="N29" s="34" t="s">
        <v>72</v>
      </c>
      <c r="O29" s="33" t="n">
        <f>86900</f>
        <v>86900.0</v>
      </c>
      <c r="P29" s="34" t="s">
        <v>73</v>
      </c>
      <c r="Q29" s="33" t="n">
        <f>110700</f>
        <v>110700.0</v>
      </c>
      <c r="R29" s="34" t="s">
        <v>50</v>
      </c>
      <c r="S29" s="35" t="n">
        <f>104121.43</f>
        <v>104121.43</v>
      </c>
      <c r="T29" s="32" t="n">
        <f>333584</f>
        <v>333584.0</v>
      </c>
      <c r="U29" s="32" t="n">
        <f>3383</f>
        <v>3383.0</v>
      </c>
      <c r="V29" s="32" t="n">
        <f>34268503632</f>
        <v>3.4268503632E10</v>
      </c>
      <c r="W29" s="32" t="n">
        <f>350335212</f>
        <v>3.50335212E8</v>
      </c>
      <c r="X29" s="36" t="n">
        <f>21</f>
        <v>21.0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119.5</f>
        <v>119.5</v>
      </c>
      <c r="L30" s="34" t="s">
        <v>48</v>
      </c>
      <c r="M30" s="33" t="n">
        <f>122</f>
        <v>122.0</v>
      </c>
      <c r="N30" s="34" t="s">
        <v>73</v>
      </c>
      <c r="O30" s="33" t="n">
        <f>88.4</f>
        <v>88.4</v>
      </c>
      <c r="P30" s="34" t="s">
        <v>72</v>
      </c>
      <c r="Q30" s="33" t="n">
        <f>93.6</f>
        <v>93.6</v>
      </c>
      <c r="R30" s="34" t="s">
        <v>50</v>
      </c>
      <c r="S30" s="35" t="n">
        <f>101.33</f>
        <v>101.33</v>
      </c>
      <c r="T30" s="32" t="n">
        <f>3095453360</f>
        <v>3.09545336E9</v>
      </c>
      <c r="U30" s="32" t="n">
        <f>41847720</f>
        <v>4.184772E7</v>
      </c>
      <c r="V30" s="32" t="n">
        <f>314419447497</f>
        <v>3.14419447497E11</v>
      </c>
      <c r="W30" s="32" t="n">
        <f>4293698811</f>
        <v>4.293698811E9</v>
      </c>
      <c r="X30" s="36" t="n">
        <f>21</f>
        <v>21.0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3371</f>
        <v>3371.0</v>
      </c>
      <c r="L31" s="34" t="s">
        <v>48</v>
      </c>
      <c r="M31" s="33" t="n">
        <f>3572</f>
        <v>3572.0</v>
      </c>
      <c r="N31" s="34" t="s">
        <v>49</v>
      </c>
      <c r="O31" s="33" t="n">
        <f>3361</f>
        <v>3361.0</v>
      </c>
      <c r="P31" s="34" t="s">
        <v>73</v>
      </c>
      <c r="Q31" s="33" t="n">
        <f>3499</f>
        <v>3499.0</v>
      </c>
      <c r="R31" s="34" t="s">
        <v>50</v>
      </c>
      <c r="S31" s="35" t="n">
        <f>3489.24</f>
        <v>3489.24</v>
      </c>
      <c r="T31" s="32" t="n">
        <f>2587933</f>
        <v>2587933.0</v>
      </c>
      <c r="U31" s="32" t="n">
        <f>2223928</f>
        <v>2223928.0</v>
      </c>
      <c r="V31" s="32" t="n">
        <f>9067095448</f>
        <v>9.067095448E9</v>
      </c>
      <c r="W31" s="32" t="n">
        <f>7795413745</f>
        <v>7.795413745E9</v>
      </c>
      <c r="X31" s="36" t="n">
        <f>21</f>
        <v>21.0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135</v>
      </c>
      <c r="F32" s="29" t="s">
        <v>136</v>
      </c>
      <c r="G32" s="30" t="s">
        <v>46</v>
      </c>
      <c r="H32" s="31"/>
      <c r="I32" s="31" t="s">
        <v>47</v>
      </c>
      <c r="J32" s="32" t="n">
        <v>1.0</v>
      </c>
      <c r="K32" s="33" t="n">
        <f>71800</f>
        <v>71800.0</v>
      </c>
      <c r="L32" s="34" t="s">
        <v>48</v>
      </c>
      <c r="M32" s="33" t="n">
        <f>85840</f>
        <v>85840.0</v>
      </c>
      <c r="N32" s="34" t="s">
        <v>84</v>
      </c>
      <c r="O32" s="33" t="n">
        <f>70070</f>
        <v>70070.0</v>
      </c>
      <c r="P32" s="34" t="s">
        <v>73</v>
      </c>
      <c r="Q32" s="33" t="n">
        <f>85500</f>
        <v>85500.0</v>
      </c>
      <c r="R32" s="34" t="s">
        <v>84</v>
      </c>
      <c r="S32" s="35" t="n">
        <f>77459</f>
        <v>77459.0</v>
      </c>
      <c r="T32" s="32" t="n">
        <f>219478</f>
        <v>219478.0</v>
      </c>
      <c r="U32" s="32" t="n">
        <f>7787</f>
        <v>7787.0</v>
      </c>
      <c r="V32" s="32" t="n">
        <f>17108047263</f>
        <v>1.7108047263E10</v>
      </c>
      <c r="W32" s="32" t="n">
        <f>616747993</f>
        <v>6.16747993E8</v>
      </c>
      <c r="X32" s="36" t="n">
        <f>10</f>
        <v>10.0</v>
      </c>
    </row>
    <row r="33">
      <c r="A33" s="27" t="s">
        <v>42</v>
      </c>
      <c r="B33" s="27" t="s">
        <v>132</v>
      </c>
      <c r="C33" s="27" t="s">
        <v>133</v>
      </c>
      <c r="D33" s="27" t="s">
        <v>134</v>
      </c>
      <c r="E33" s="28" t="s">
        <v>135</v>
      </c>
      <c r="F33" s="29" t="s">
        <v>136</v>
      </c>
      <c r="G33" s="30" t="s">
        <v>46</v>
      </c>
      <c r="H33" s="31"/>
      <c r="I33" s="31" t="s">
        <v>47</v>
      </c>
      <c r="J33" s="32" t="n">
        <v>1.0</v>
      </c>
      <c r="K33" s="33" t="n">
        <f>3522</f>
        <v>3522.0</v>
      </c>
      <c r="L33" s="34" t="s">
        <v>88</v>
      </c>
      <c r="M33" s="33" t="n">
        <f>3779</f>
        <v>3779.0</v>
      </c>
      <c r="N33" s="34" t="s">
        <v>72</v>
      </c>
      <c r="O33" s="33" t="n">
        <f>3441</f>
        <v>3441.0</v>
      </c>
      <c r="P33" s="34" t="s">
        <v>88</v>
      </c>
      <c r="Q33" s="33" t="n">
        <f>3572</f>
        <v>3572.0</v>
      </c>
      <c r="R33" s="34" t="s">
        <v>50</v>
      </c>
      <c r="S33" s="35" t="n">
        <f>3591.27</f>
        <v>3591.27</v>
      </c>
      <c r="T33" s="32" t="n">
        <f>3999265</f>
        <v>3999265.0</v>
      </c>
      <c r="U33" s="32" t="n">
        <f>375014</f>
        <v>375014.0</v>
      </c>
      <c r="V33" s="32" t="n">
        <f>14403077359</f>
        <v>1.4403077359E10</v>
      </c>
      <c r="W33" s="32" t="n">
        <f>1352631202</f>
        <v>1.352631202E9</v>
      </c>
      <c r="X33" s="36" t="n">
        <f>11</f>
        <v>11.0</v>
      </c>
    </row>
    <row r="34">
      <c r="A34" s="27" t="s">
        <v>42</v>
      </c>
      <c r="B34" s="27" t="s">
        <v>137</v>
      </c>
      <c r="C34" s="27" t="s">
        <v>138</v>
      </c>
      <c r="D34" s="27" t="s">
        <v>139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122</f>
        <v>122.0</v>
      </c>
      <c r="L34" s="34" t="s">
        <v>48</v>
      </c>
      <c r="M34" s="33" t="n">
        <f>125</f>
        <v>125.0</v>
      </c>
      <c r="N34" s="34" t="s">
        <v>73</v>
      </c>
      <c r="O34" s="33" t="n">
        <f>90</f>
        <v>90.0</v>
      </c>
      <c r="P34" s="34" t="s">
        <v>72</v>
      </c>
      <c r="Q34" s="33" t="n">
        <f>96</f>
        <v>96.0</v>
      </c>
      <c r="R34" s="34" t="s">
        <v>50</v>
      </c>
      <c r="S34" s="35" t="n">
        <f>103.67</f>
        <v>103.67</v>
      </c>
      <c r="T34" s="32" t="n">
        <f>106455161</f>
        <v>1.06455161E8</v>
      </c>
      <c r="U34" s="32" t="n">
        <f>799822</f>
        <v>799822.0</v>
      </c>
      <c r="V34" s="32" t="n">
        <f>10865493721</f>
        <v>1.0865493721E10</v>
      </c>
      <c r="W34" s="32" t="n">
        <f>83704820</f>
        <v>8.370482E7</v>
      </c>
      <c r="X34" s="36" t="n">
        <f>21</f>
        <v>21.0</v>
      </c>
    </row>
    <row r="35">
      <c r="A35" s="27" t="s">
        <v>42</v>
      </c>
      <c r="B35" s="27" t="s">
        <v>140</v>
      </c>
      <c r="C35" s="27" t="s">
        <v>141</v>
      </c>
      <c r="D35" s="27" t="s">
        <v>142</v>
      </c>
      <c r="E35" s="28" t="s">
        <v>135</v>
      </c>
      <c r="F35" s="29" t="s">
        <v>136</v>
      </c>
      <c r="G35" s="30" t="s">
        <v>46</v>
      </c>
      <c r="H35" s="31"/>
      <c r="I35" s="31" t="s">
        <v>47</v>
      </c>
      <c r="J35" s="32" t="n">
        <v>1.0</v>
      </c>
      <c r="K35" s="33" t="n">
        <f>61610</f>
        <v>61610.0</v>
      </c>
      <c r="L35" s="34" t="s">
        <v>48</v>
      </c>
      <c r="M35" s="33" t="n">
        <f>67550</f>
        <v>67550.0</v>
      </c>
      <c r="N35" s="34" t="s">
        <v>143</v>
      </c>
      <c r="O35" s="33" t="n">
        <f>61180</f>
        <v>61180.0</v>
      </c>
      <c r="P35" s="34" t="s">
        <v>48</v>
      </c>
      <c r="Q35" s="33" t="n">
        <f>66370</f>
        <v>66370.0</v>
      </c>
      <c r="R35" s="34" t="s">
        <v>84</v>
      </c>
      <c r="S35" s="35" t="n">
        <f>64409</f>
        <v>64409.0</v>
      </c>
      <c r="T35" s="32" t="n">
        <f>55982</f>
        <v>55982.0</v>
      </c>
      <c r="U35" s="32" t="n">
        <f>697</f>
        <v>697.0</v>
      </c>
      <c r="V35" s="32" t="n">
        <f>3625097016</f>
        <v>3.625097016E9</v>
      </c>
      <c r="W35" s="32" t="n">
        <f>44952516</f>
        <v>4.4952516E7</v>
      </c>
      <c r="X35" s="36" t="n">
        <f>10</f>
        <v>10.0</v>
      </c>
    </row>
    <row r="36">
      <c r="A36" s="27" t="s">
        <v>42</v>
      </c>
      <c r="B36" s="27" t="s">
        <v>140</v>
      </c>
      <c r="C36" s="27" t="s">
        <v>141</v>
      </c>
      <c r="D36" s="27" t="s">
        <v>142</v>
      </c>
      <c r="E36" s="28" t="s">
        <v>135</v>
      </c>
      <c r="F36" s="29" t="s">
        <v>136</v>
      </c>
      <c r="G36" s="30" t="s">
        <v>46</v>
      </c>
      <c r="H36" s="31"/>
      <c r="I36" s="31" t="s">
        <v>47</v>
      </c>
      <c r="J36" s="32" t="n">
        <v>1.0</v>
      </c>
      <c r="K36" s="33" t="n">
        <f>2710</f>
        <v>2710.0</v>
      </c>
      <c r="L36" s="34" t="s">
        <v>88</v>
      </c>
      <c r="M36" s="33" t="n">
        <f>2754</f>
        <v>2754.0</v>
      </c>
      <c r="N36" s="34" t="s">
        <v>49</v>
      </c>
      <c r="O36" s="33" t="n">
        <f>2548</f>
        <v>2548.0</v>
      </c>
      <c r="P36" s="34" t="s">
        <v>144</v>
      </c>
      <c r="Q36" s="33" t="n">
        <f>2591</f>
        <v>2591.0</v>
      </c>
      <c r="R36" s="34" t="s">
        <v>50</v>
      </c>
      <c r="S36" s="35" t="n">
        <f>2655.64</f>
        <v>2655.64</v>
      </c>
      <c r="T36" s="32" t="n">
        <f>848824</f>
        <v>848824.0</v>
      </c>
      <c r="U36" s="32" t="n">
        <f>6167</f>
        <v>6167.0</v>
      </c>
      <c r="V36" s="32" t="n">
        <f>2245043345</f>
        <v>2.245043345E9</v>
      </c>
      <c r="W36" s="32" t="n">
        <f>16175134</f>
        <v>1.6175134E7</v>
      </c>
      <c r="X36" s="36" t="n">
        <f>11</f>
        <v>11.0</v>
      </c>
    </row>
    <row r="37">
      <c r="A37" s="27" t="s">
        <v>42</v>
      </c>
      <c r="B37" s="27" t="s">
        <v>145</v>
      </c>
      <c r="C37" s="27" t="s">
        <v>146</v>
      </c>
      <c r="D37" s="27" t="s">
        <v>147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207</f>
        <v>207.0</v>
      </c>
      <c r="L37" s="34" t="s">
        <v>48</v>
      </c>
      <c r="M37" s="33" t="n">
        <f>209</f>
        <v>209.0</v>
      </c>
      <c r="N37" s="34" t="s">
        <v>48</v>
      </c>
      <c r="O37" s="33" t="n">
        <f>182</f>
        <v>182.0</v>
      </c>
      <c r="P37" s="34" t="s">
        <v>49</v>
      </c>
      <c r="Q37" s="33" t="n">
        <f>194</f>
        <v>194.0</v>
      </c>
      <c r="R37" s="34" t="s">
        <v>50</v>
      </c>
      <c r="S37" s="35" t="n">
        <f>192.62</f>
        <v>192.62</v>
      </c>
      <c r="T37" s="32" t="n">
        <f>4484969</f>
        <v>4484969.0</v>
      </c>
      <c r="U37" s="32" t="n">
        <f>1390</f>
        <v>1390.0</v>
      </c>
      <c r="V37" s="32" t="n">
        <f>875435069</f>
        <v>8.75435069E8</v>
      </c>
      <c r="W37" s="32" t="n">
        <f>262380</f>
        <v>262380.0</v>
      </c>
      <c r="X37" s="36" t="n">
        <f>21</f>
        <v>21.0</v>
      </c>
    </row>
    <row r="38">
      <c r="A38" s="27" t="s">
        <v>42</v>
      </c>
      <c r="B38" s="27" t="s">
        <v>148</v>
      </c>
      <c r="C38" s="27" t="s">
        <v>149</v>
      </c>
      <c r="D38" s="27" t="s">
        <v>150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53600</f>
        <v>53600.0</v>
      </c>
      <c r="L38" s="34" t="s">
        <v>48</v>
      </c>
      <c r="M38" s="33" t="n">
        <f>61560</f>
        <v>61560.0</v>
      </c>
      <c r="N38" s="34" t="s">
        <v>72</v>
      </c>
      <c r="O38" s="33" t="n">
        <f>52880</f>
        <v>52880.0</v>
      </c>
      <c r="P38" s="34" t="s">
        <v>73</v>
      </c>
      <c r="Q38" s="33" t="n">
        <f>59780</f>
        <v>59780.0</v>
      </c>
      <c r="R38" s="34" t="s">
        <v>50</v>
      </c>
      <c r="S38" s="35" t="n">
        <f>57933.33</f>
        <v>57933.33</v>
      </c>
      <c r="T38" s="32" t="n">
        <f>168239</f>
        <v>168239.0</v>
      </c>
      <c r="U38" s="32" t="n">
        <f>36935</f>
        <v>36935.0</v>
      </c>
      <c r="V38" s="32" t="n">
        <f>9841355285</f>
        <v>9.841355285E9</v>
      </c>
      <c r="W38" s="32" t="n">
        <f>2150796195</f>
        <v>2.150796195E9</v>
      </c>
      <c r="X38" s="36" t="n">
        <f>21</f>
        <v>21.0</v>
      </c>
    </row>
    <row r="39">
      <c r="A39" s="27" t="s">
        <v>42</v>
      </c>
      <c r="B39" s="27" t="s">
        <v>151</v>
      </c>
      <c r="C39" s="27" t="s">
        <v>152</v>
      </c>
      <c r="D39" s="27" t="s">
        <v>153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53930</f>
        <v>53930.0</v>
      </c>
      <c r="L39" s="34" t="s">
        <v>48</v>
      </c>
      <c r="M39" s="33" t="n">
        <f>61520</f>
        <v>61520.0</v>
      </c>
      <c r="N39" s="34" t="s">
        <v>72</v>
      </c>
      <c r="O39" s="33" t="n">
        <f>53220</f>
        <v>53220.0</v>
      </c>
      <c r="P39" s="34" t="s">
        <v>73</v>
      </c>
      <c r="Q39" s="33" t="n">
        <f>59820</f>
        <v>59820.0</v>
      </c>
      <c r="R39" s="34" t="s">
        <v>50</v>
      </c>
      <c r="S39" s="35" t="n">
        <f>57964.29</f>
        <v>57964.29</v>
      </c>
      <c r="T39" s="32" t="n">
        <f>313476</f>
        <v>313476.0</v>
      </c>
      <c r="U39" s="32" t="n">
        <f>251297</f>
        <v>251297.0</v>
      </c>
      <c r="V39" s="32" t="n">
        <f>17864292895</f>
        <v>1.7864292895E10</v>
      </c>
      <c r="W39" s="32" t="n">
        <f>14240967705</f>
        <v>1.4240967705E10</v>
      </c>
      <c r="X39" s="36" t="n">
        <f>21</f>
        <v>21.0</v>
      </c>
    </row>
    <row r="40">
      <c r="A40" s="27" t="s">
        <v>42</v>
      </c>
      <c r="B40" s="27" t="s">
        <v>154</v>
      </c>
      <c r="C40" s="27" t="s">
        <v>155</v>
      </c>
      <c r="D40" s="27" t="s">
        <v>156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10.0</v>
      </c>
      <c r="K40" s="33" t="n">
        <f>1942</f>
        <v>1942.0</v>
      </c>
      <c r="L40" s="34" t="s">
        <v>48</v>
      </c>
      <c r="M40" s="33" t="n">
        <f>1993</f>
        <v>1993.0</v>
      </c>
      <c r="N40" s="34" t="s">
        <v>88</v>
      </c>
      <c r="O40" s="33" t="n">
        <f>1911</f>
        <v>1911.0</v>
      </c>
      <c r="P40" s="34" t="s">
        <v>72</v>
      </c>
      <c r="Q40" s="33" t="n">
        <f>1930</f>
        <v>1930.0</v>
      </c>
      <c r="R40" s="34" t="s">
        <v>50</v>
      </c>
      <c r="S40" s="35" t="n">
        <f>1956.36</f>
        <v>1956.36</v>
      </c>
      <c r="T40" s="32" t="n">
        <f>22706750</f>
        <v>2.270675E7</v>
      </c>
      <c r="U40" s="32" t="n">
        <f>1928810</f>
        <v>1928810.0</v>
      </c>
      <c r="V40" s="32" t="n">
        <f>44419187105</f>
        <v>4.4419187105E10</v>
      </c>
      <c r="W40" s="32" t="n">
        <f>3771589705</f>
        <v>3.771589705E9</v>
      </c>
      <c r="X40" s="36" t="n">
        <f>21</f>
        <v>21.0</v>
      </c>
    </row>
    <row r="41">
      <c r="A41" s="27" t="s">
        <v>42</v>
      </c>
      <c r="B41" s="27" t="s">
        <v>157</v>
      </c>
      <c r="C41" s="27" t="s">
        <v>158</v>
      </c>
      <c r="D41" s="27" t="s">
        <v>159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2958</f>
        <v>2958.0</v>
      </c>
      <c r="L41" s="34" t="s">
        <v>48</v>
      </c>
      <c r="M41" s="33" t="n">
        <f>3041</f>
        <v>3041.0</v>
      </c>
      <c r="N41" s="34" t="s">
        <v>73</v>
      </c>
      <c r="O41" s="33" t="n">
        <f>2831</f>
        <v>2831.0</v>
      </c>
      <c r="P41" s="34" t="s">
        <v>72</v>
      </c>
      <c r="Q41" s="33" t="n">
        <f>2869</f>
        <v>2869.0</v>
      </c>
      <c r="R41" s="34" t="s">
        <v>50</v>
      </c>
      <c r="S41" s="35" t="n">
        <f>2944.86</f>
        <v>2944.86</v>
      </c>
      <c r="T41" s="32" t="n">
        <f>29436</f>
        <v>29436.0</v>
      </c>
      <c r="U41" s="32" t="n">
        <f>500</f>
        <v>500.0</v>
      </c>
      <c r="V41" s="32" t="n">
        <f>86360242</f>
        <v>8.6360242E7</v>
      </c>
      <c r="W41" s="32" t="n">
        <f>1471599</f>
        <v>1471599.0</v>
      </c>
      <c r="X41" s="36" t="n">
        <f>21</f>
        <v>21.0</v>
      </c>
    </row>
    <row r="42">
      <c r="A42" s="27" t="s">
        <v>42</v>
      </c>
      <c r="B42" s="27" t="s">
        <v>160</v>
      </c>
      <c r="C42" s="27" t="s">
        <v>161</v>
      </c>
      <c r="D42" s="27" t="s">
        <v>162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1973</f>
        <v>1973.0</v>
      </c>
      <c r="L42" s="34" t="s">
        <v>48</v>
      </c>
      <c r="M42" s="33" t="n">
        <f>2014</f>
        <v>2014.0</v>
      </c>
      <c r="N42" s="34" t="s">
        <v>60</v>
      </c>
      <c r="O42" s="33" t="n">
        <f>1960</f>
        <v>1960.0</v>
      </c>
      <c r="P42" s="34" t="s">
        <v>80</v>
      </c>
      <c r="Q42" s="33" t="n">
        <f>1987</f>
        <v>1987.0</v>
      </c>
      <c r="R42" s="34" t="s">
        <v>50</v>
      </c>
      <c r="S42" s="35" t="n">
        <f>1973</f>
        <v>1973.0</v>
      </c>
      <c r="T42" s="32" t="n">
        <f>10231</f>
        <v>10231.0</v>
      </c>
      <c r="U42" s="32" t="str">
        <f>"－"</f>
        <v>－</v>
      </c>
      <c r="V42" s="32" t="n">
        <f>20227834</f>
        <v>2.0227834E7</v>
      </c>
      <c r="W42" s="32" t="str">
        <f>"－"</f>
        <v>－</v>
      </c>
      <c r="X42" s="36" t="n">
        <f>19</f>
        <v>19.0</v>
      </c>
    </row>
    <row r="43">
      <c r="A43" s="27" t="s">
        <v>42</v>
      </c>
      <c r="B43" s="27" t="s">
        <v>163</v>
      </c>
      <c r="C43" s="27" t="s">
        <v>164</v>
      </c>
      <c r="D43" s="27" t="s">
        <v>165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1635</f>
        <v>1635.0</v>
      </c>
      <c r="L43" s="34" t="s">
        <v>48</v>
      </c>
      <c r="M43" s="33" t="n">
        <f>1656</f>
        <v>1656.0</v>
      </c>
      <c r="N43" s="34" t="s">
        <v>73</v>
      </c>
      <c r="O43" s="33" t="n">
        <f>1414</f>
        <v>1414.0</v>
      </c>
      <c r="P43" s="34" t="s">
        <v>72</v>
      </c>
      <c r="Q43" s="33" t="n">
        <f>1455</f>
        <v>1455.0</v>
      </c>
      <c r="R43" s="34" t="s">
        <v>50</v>
      </c>
      <c r="S43" s="35" t="n">
        <f>1509.86</f>
        <v>1509.86</v>
      </c>
      <c r="T43" s="32" t="n">
        <f>7493205</f>
        <v>7493205.0</v>
      </c>
      <c r="U43" s="32" t="n">
        <f>4599000</f>
        <v>4599000.0</v>
      </c>
      <c r="V43" s="32" t="n">
        <f>11210691073</f>
        <v>1.1210691073E10</v>
      </c>
      <c r="W43" s="32" t="n">
        <f>6866652502</f>
        <v>6.866652502E9</v>
      </c>
      <c r="X43" s="36" t="n">
        <f>21</f>
        <v>21.0</v>
      </c>
    </row>
    <row r="44">
      <c r="A44" s="27" t="s">
        <v>42</v>
      </c>
      <c r="B44" s="27" t="s">
        <v>166</v>
      </c>
      <c r="C44" s="27" t="s">
        <v>167</v>
      </c>
      <c r="D44" s="27" t="s">
        <v>168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2026</f>
        <v>2026.0</v>
      </c>
      <c r="L44" s="34" t="s">
        <v>48</v>
      </c>
      <c r="M44" s="33" t="n">
        <f>2032</f>
        <v>2032.0</v>
      </c>
      <c r="N44" s="34" t="s">
        <v>48</v>
      </c>
      <c r="O44" s="33" t="n">
        <f>1909</f>
        <v>1909.0</v>
      </c>
      <c r="P44" s="34" t="s">
        <v>49</v>
      </c>
      <c r="Q44" s="33" t="n">
        <f>1958</f>
        <v>1958.0</v>
      </c>
      <c r="R44" s="34" t="s">
        <v>50</v>
      </c>
      <c r="S44" s="35" t="n">
        <f>1960.19</f>
        <v>1960.19</v>
      </c>
      <c r="T44" s="32" t="n">
        <f>14502992</f>
        <v>1.4502992E7</v>
      </c>
      <c r="U44" s="32" t="n">
        <f>13996877</f>
        <v>1.3996877E7</v>
      </c>
      <c r="V44" s="32" t="n">
        <f>28967361459</f>
        <v>2.8967361459E10</v>
      </c>
      <c r="W44" s="32" t="n">
        <f>27977593912</f>
        <v>2.7977593912E10</v>
      </c>
      <c r="X44" s="36" t="n">
        <f>21</f>
        <v>21.0</v>
      </c>
    </row>
    <row r="45">
      <c r="A45" s="27" t="s">
        <v>42</v>
      </c>
      <c r="B45" s="27" t="s">
        <v>169</v>
      </c>
      <c r="C45" s="27" t="s">
        <v>170</v>
      </c>
      <c r="D45" s="27" t="s">
        <v>171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55840</f>
        <v>55840.0</v>
      </c>
      <c r="L45" s="34" t="s">
        <v>48</v>
      </c>
      <c r="M45" s="33" t="n">
        <f>73210</f>
        <v>73210.0</v>
      </c>
      <c r="N45" s="34" t="s">
        <v>72</v>
      </c>
      <c r="O45" s="33" t="n">
        <f>54250</f>
        <v>54250.0</v>
      </c>
      <c r="P45" s="34" t="s">
        <v>73</v>
      </c>
      <c r="Q45" s="33" t="n">
        <f>69280</f>
        <v>69280.0</v>
      </c>
      <c r="R45" s="34" t="s">
        <v>50</v>
      </c>
      <c r="S45" s="35" t="n">
        <f>65028.1</f>
        <v>65028.1</v>
      </c>
      <c r="T45" s="32" t="n">
        <f>4676333</f>
        <v>4676333.0</v>
      </c>
      <c r="U45" s="32" t="n">
        <f>16229</f>
        <v>16229.0</v>
      </c>
      <c r="V45" s="32" t="n">
        <f>304575394246</f>
        <v>3.04575394246E11</v>
      </c>
      <c r="W45" s="32" t="n">
        <f>1035995146</f>
        <v>1.035995146E9</v>
      </c>
      <c r="X45" s="36" t="n">
        <f>21</f>
        <v>21.0</v>
      </c>
    </row>
    <row r="46">
      <c r="A46" s="27" t="s">
        <v>42</v>
      </c>
      <c r="B46" s="27" t="s">
        <v>172</v>
      </c>
      <c r="C46" s="27" t="s">
        <v>173</v>
      </c>
      <c r="D46" s="27" t="s">
        <v>174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196</f>
        <v>196.0</v>
      </c>
      <c r="L46" s="34" t="s">
        <v>48</v>
      </c>
      <c r="M46" s="33" t="n">
        <f>201</f>
        <v>201.0</v>
      </c>
      <c r="N46" s="34" t="s">
        <v>73</v>
      </c>
      <c r="O46" s="33" t="n">
        <f>145</f>
        <v>145.0</v>
      </c>
      <c r="P46" s="34" t="s">
        <v>72</v>
      </c>
      <c r="Q46" s="33" t="n">
        <f>153</f>
        <v>153.0</v>
      </c>
      <c r="R46" s="34" t="s">
        <v>50</v>
      </c>
      <c r="S46" s="35" t="n">
        <f>166.43</f>
        <v>166.43</v>
      </c>
      <c r="T46" s="32" t="n">
        <f>282295030</f>
        <v>2.8229503E8</v>
      </c>
      <c r="U46" s="32" t="n">
        <f>6254217</f>
        <v>6254217.0</v>
      </c>
      <c r="V46" s="32" t="n">
        <f>47207480879</f>
        <v>4.7207480879E10</v>
      </c>
      <c r="W46" s="32" t="n">
        <f>1041140568</f>
        <v>1.041140568E9</v>
      </c>
      <c r="X46" s="36" t="n">
        <f>21</f>
        <v>21.0</v>
      </c>
    </row>
    <row r="47">
      <c r="A47" s="27" t="s">
        <v>42</v>
      </c>
      <c r="B47" s="27" t="s">
        <v>175</v>
      </c>
      <c r="C47" s="27" t="s">
        <v>176</v>
      </c>
      <c r="D47" s="27" t="s">
        <v>177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259</f>
        <v>259.0</v>
      </c>
      <c r="L47" s="34" t="s">
        <v>48</v>
      </c>
      <c r="M47" s="33" t="n">
        <f>265</f>
        <v>265.0</v>
      </c>
      <c r="N47" s="34" t="s">
        <v>48</v>
      </c>
      <c r="O47" s="33" t="n">
        <f>232</f>
        <v>232.0</v>
      </c>
      <c r="P47" s="34" t="s">
        <v>49</v>
      </c>
      <c r="Q47" s="33" t="n">
        <f>242</f>
        <v>242.0</v>
      </c>
      <c r="R47" s="34" t="s">
        <v>50</v>
      </c>
      <c r="S47" s="35" t="n">
        <f>244.76</f>
        <v>244.76</v>
      </c>
      <c r="T47" s="32" t="n">
        <f>61881</f>
        <v>61881.0</v>
      </c>
      <c r="U47" s="32" t="str">
        <f>"－"</f>
        <v>－</v>
      </c>
      <c r="V47" s="32" t="n">
        <f>15215988</f>
        <v>1.5215988E7</v>
      </c>
      <c r="W47" s="32" t="str">
        <f>"－"</f>
        <v>－</v>
      </c>
      <c r="X47" s="36" t="n">
        <f>21</f>
        <v>21.0</v>
      </c>
    </row>
    <row r="48">
      <c r="A48" s="27" t="s">
        <v>42</v>
      </c>
      <c r="B48" s="27" t="s">
        <v>178</v>
      </c>
      <c r="C48" s="27" t="s">
        <v>179</v>
      </c>
      <c r="D48" s="27" t="s">
        <v>180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250.9</f>
        <v>250.9</v>
      </c>
      <c r="L48" s="34" t="s">
        <v>48</v>
      </c>
      <c r="M48" s="33" t="n">
        <f>253</f>
        <v>253.0</v>
      </c>
      <c r="N48" s="34" t="s">
        <v>48</v>
      </c>
      <c r="O48" s="33" t="n">
        <f>221.5</f>
        <v>221.5</v>
      </c>
      <c r="P48" s="34" t="s">
        <v>49</v>
      </c>
      <c r="Q48" s="33" t="n">
        <f>228.4</f>
        <v>228.4</v>
      </c>
      <c r="R48" s="34" t="s">
        <v>50</v>
      </c>
      <c r="S48" s="35" t="n">
        <f>232</f>
        <v>232.0</v>
      </c>
      <c r="T48" s="32" t="n">
        <f>881900</f>
        <v>881900.0</v>
      </c>
      <c r="U48" s="32" t="n">
        <f>37760</f>
        <v>37760.0</v>
      </c>
      <c r="V48" s="32" t="n">
        <f>210298863</f>
        <v>2.10298863E8</v>
      </c>
      <c r="W48" s="32" t="n">
        <f>8674210</f>
        <v>8674210.0</v>
      </c>
      <c r="X48" s="36" t="n">
        <f>21</f>
        <v>21.0</v>
      </c>
    </row>
    <row r="49">
      <c r="A49" s="27" t="s">
        <v>42</v>
      </c>
      <c r="B49" s="27" t="s">
        <v>181</v>
      </c>
      <c r="C49" s="27" t="s">
        <v>182</v>
      </c>
      <c r="D49" s="27" t="s">
        <v>183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103</f>
        <v>103.0</v>
      </c>
      <c r="L49" s="34" t="s">
        <v>48</v>
      </c>
      <c r="M49" s="33" t="n">
        <f>104</f>
        <v>104.0</v>
      </c>
      <c r="N49" s="34" t="s">
        <v>48</v>
      </c>
      <c r="O49" s="33" t="n">
        <f>90</f>
        <v>90.0</v>
      </c>
      <c r="P49" s="34" t="s">
        <v>184</v>
      </c>
      <c r="Q49" s="33" t="n">
        <f>95</f>
        <v>95.0</v>
      </c>
      <c r="R49" s="34" t="s">
        <v>50</v>
      </c>
      <c r="S49" s="35" t="n">
        <f>95.9</f>
        <v>95.9</v>
      </c>
      <c r="T49" s="32" t="n">
        <f>264734</f>
        <v>264734.0</v>
      </c>
      <c r="U49" s="32" t="str">
        <f>"－"</f>
        <v>－</v>
      </c>
      <c r="V49" s="32" t="n">
        <f>25318854</f>
        <v>2.5318854E7</v>
      </c>
      <c r="W49" s="32" t="str">
        <f>"－"</f>
        <v>－</v>
      </c>
      <c r="X49" s="36" t="n">
        <f>21</f>
        <v>21.0</v>
      </c>
    </row>
    <row r="50">
      <c r="A50" s="27" t="s">
        <v>42</v>
      </c>
      <c r="B50" s="27" t="s">
        <v>185</v>
      </c>
      <c r="C50" s="27" t="s">
        <v>186</v>
      </c>
      <c r="D50" s="27" t="s">
        <v>187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3723</f>
        <v>3723.0</v>
      </c>
      <c r="L50" s="34" t="s">
        <v>48</v>
      </c>
      <c r="M50" s="33" t="n">
        <f>3927</f>
        <v>3927.0</v>
      </c>
      <c r="N50" s="34" t="s">
        <v>49</v>
      </c>
      <c r="O50" s="33" t="n">
        <f>3701</f>
        <v>3701.0</v>
      </c>
      <c r="P50" s="34" t="s">
        <v>73</v>
      </c>
      <c r="Q50" s="33" t="n">
        <f>3816</f>
        <v>3816.0</v>
      </c>
      <c r="R50" s="34" t="s">
        <v>50</v>
      </c>
      <c r="S50" s="35" t="n">
        <f>3829.14</f>
        <v>3829.14</v>
      </c>
      <c r="T50" s="32" t="n">
        <f>1285740</f>
        <v>1285740.0</v>
      </c>
      <c r="U50" s="32" t="n">
        <f>706830</f>
        <v>706830.0</v>
      </c>
      <c r="V50" s="32" t="n">
        <f>4936016391</f>
        <v>4.936016391E9</v>
      </c>
      <c r="W50" s="32" t="n">
        <f>2715901671</f>
        <v>2.715901671E9</v>
      </c>
      <c r="X50" s="36" t="n">
        <f>21</f>
        <v>21.0</v>
      </c>
    </row>
    <row r="51">
      <c r="A51" s="27" t="s">
        <v>42</v>
      </c>
      <c r="B51" s="27" t="s">
        <v>188</v>
      </c>
      <c r="C51" s="27" t="s">
        <v>189</v>
      </c>
      <c r="D51" s="27" t="s">
        <v>190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33770</f>
        <v>33770.0</v>
      </c>
      <c r="L51" s="34" t="s">
        <v>48</v>
      </c>
      <c r="M51" s="33" t="n">
        <f>35270</f>
        <v>35270.0</v>
      </c>
      <c r="N51" s="34" t="s">
        <v>49</v>
      </c>
      <c r="O51" s="33" t="n">
        <f>33240</f>
        <v>33240.0</v>
      </c>
      <c r="P51" s="34" t="s">
        <v>73</v>
      </c>
      <c r="Q51" s="33" t="n">
        <f>34560</f>
        <v>34560.0</v>
      </c>
      <c r="R51" s="34" t="s">
        <v>50</v>
      </c>
      <c r="S51" s="35" t="n">
        <f>34455.71</f>
        <v>34455.71</v>
      </c>
      <c r="T51" s="32" t="n">
        <f>21930</f>
        <v>21930.0</v>
      </c>
      <c r="U51" s="32" t="n">
        <f>6704</f>
        <v>6704.0</v>
      </c>
      <c r="V51" s="32" t="n">
        <f>752492276</f>
        <v>7.52492276E8</v>
      </c>
      <c r="W51" s="32" t="n">
        <f>228892066</f>
        <v>2.28892066E8</v>
      </c>
      <c r="X51" s="36" t="n">
        <f>21</f>
        <v>21.0</v>
      </c>
    </row>
    <row r="52">
      <c r="A52" s="27" t="s">
        <v>42</v>
      </c>
      <c r="B52" s="27" t="s">
        <v>191</v>
      </c>
      <c r="C52" s="27" t="s">
        <v>192</v>
      </c>
      <c r="D52" s="27" t="s">
        <v>193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374.3</f>
        <v>374.3</v>
      </c>
      <c r="L52" s="34" t="s">
        <v>48</v>
      </c>
      <c r="M52" s="33" t="n">
        <f>395.9</f>
        <v>395.9</v>
      </c>
      <c r="N52" s="34" t="s">
        <v>49</v>
      </c>
      <c r="O52" s="33" t="n">
        <f>372.3</f>
        <v>372.3</v>
      </c>
      <c r="P52" s="34" t="s">
        <v>48</v>
      </c>
      <c r="Q52" s="33" t="n">
        <f>385.5</f>
        <v>385.5</v>
      </c>
      <c r="R52" s="34" t="s">
        <v>50</v>
      </c>
      <c r="S52" s="35" t="n">
        <f>385.82</f>
        <v>385.82</v>
      </c>
      <c r="T52" s="32" t="n">
        <f>198489750</f>
        <v>1.9848975E8</v>
      </c>
      <c r="U52" s="32" t="n">
        <f>103844840</f>
        <v>1.0384484E8</v>
      </c>
      <c r="V52" s="32" t="n">
        <f>76304166229</f>
        <v>7.6304166229E10</v>
      </c>
      <c r="W52" s="32" t="n">
        <f>39761487229</f>
        <v>3.9761487229E10</v>
      </c>
      <c r="X52" s="36" t="n">
        <f>21</f>
        <v>21.0</v>
      </c>
    </row>
    <row r="53">
      <c r="A53" s="27" t="s">
        <v>42</v>
      </c>
      <c r="B53" s="27" t="s">
        <v>194</v>
      </c>
      <c r="C53" s="27" t="s">
        <v>195</v>
      </c>
      <c r="D53" s="27" t="s">
        <v>196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1946</f>
        <v>1946.0</v>
      </c>
      <c r="L53" s="34" t="s">
        <v>48</v>
      </c>
      <c r="M53" s="33" t="n">
        <f>2021</f>
        <v>2021.0</v>
      </c>
      <c r="N53" s="34" t="s">
        <v>88</v>
      </c>
      <c r="O53" s="33" t="n">
        <f>1943</f>
        <v>1943.0</v>
      </c>
      <c r="P53" s="34" t="s">
        <v>48</v>
      </c>
      <c r="Q53" s="33" t="n">
        <f>1960</f>
        <v>1960.0</v>
      </c>
      <c r="R53" s="34" t="s">
        <v>50</v>
      </c>
      <c r="S53" s="35" t="n">
        <f>1981.9</f>
        <v>1981.9</v>
      </c>
      <c r="T53" s="32" t="n">
        <f>7774349</f>
        <v>7774349.0</v>
      </c>
      <c r="U53" s="32" t="n">
        <f>4487187</f>
        <v>4487187.0</v>
      </c>
      <c r="V53" s="32" t="n">
        <f>15441640722</f>
        <v>1.5441640722E10</v>
      </c>
      <c r="W53" s="32" t="n">
        <f>8923054609</f>
        <v>8.923054609E9</v>
      </c>
      <c r="X53" s="36" t="n">
        <f>21</f>
        <v>21.0</v>
      </c>
    </row>
    <row r="54">
      <c r="A54" s="27" t="s">
        <v>42</v>
      </c>
      <c r="B54" s="27" t="s">
        <v>197</v>
      </c>
      <c r="C54" s="27" t="s">
        <v>198</v>
      </c>
      <c r="D54" s="27" t="s">
        <v>199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3154</f>
        <v>3154.0</v>
      </c>
      <c r="L54" s="34" t="s">
        <v>48</v>
      </c>
      <c r="M54" s="33" t="n">
        <f>3286</f>
        <v>3286.0</v>
      </c>
      <c r="N54" s="34" t="s">
        <v>200</v>
      </c>
      <c r="O54" s="33" t="n">
        <f>3047</f>
        <v>3047.0</v>
      </c>
      <c r="P54" s="34" t="s">
        <v>73</v>
      </c>
      <c r="Q54" s="33" t="n">
        <f>3090</f>
        <v>3090.0</v>
      </c>
      <c r="R54" s="34" t="s">
        <v>50</v>
      </c>
      <c r="S54" s="35" t="n">
        <f>3166.62</f>
        <v>3166.62</v>
      </c>
      <c r="T54" s="32" t="n">
        <f>476051</f>
        <v>476051.0</v>
      </c>
      <c r="U54" s="32" t="n">
        <f>306239</f>
        <v>306239.0</v>
      </c>
      <c r="V54" s="32" t="n">
        <f>1520104912</f>
        <v>1.520104912E9</v>
      </c>
      <c r="W54" s="32" t="n">
        <f>979232479</f>
        <v>9.79232479E8</v>
      </c>
      <c r="X54" s="36" t="n">
        <f>21</f>
        <v>21.0</v>
      </c>
    </row>
    <row r="55">
      <c r="A55" s="27" t="s">
        <v>42</v>
      </c>
      <c r="B55" s="27" t="s">
        <v>201</v>
      </c>
      <c r="C55" s="27" t="s">
        <v>202</v>
      </c>
      <c r="D55" s="27" t="s">
        <v>203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5017</f>
        <v>5017.0</v>
      </c>
      <c r="L55" s="34" t="s">
        <v>48</v>
      </c>
      <c r="M55" s="33" t="n">
        <f>5190</f>
        <v>5190.0</v>
      </c>
      <c r="N55" s="34" t="s">
        <v>200</v>
      </c>
      <c r="O55" s="33" t="n">
        <f>4853</f>
        <v>4853.0</v>
      </c>
      <c r="P55" s="34" t="s">
        <v>72</v>
      </c>
      <c r="Q55" s="33" t="n">
        <f>4895</f>
        <v>4895.0</v>
      </c>
      <c r="R55" s="34" t="s">
        <v>50</v>
      </c>
      <c r="S55" s="35" t="n">
        <f>5018.19</f>
        <v>5018.19</v>
      </c>
      <c r="T55" s="32" t="n">
        <f>1959554</f>
        <v>1959554.0</v>
      </c>
      <c r="U55" s="32" t="n">
        <f>1098903</f>
        <v>1098903.0</v>
      </c>
      <c r="V55" s="32" t="n">
        <f>9853173106</f>
        <v>9.853173106E9</v>
      </c>
      <c r="W55" s="32" t="n">
        <f>5557135048</f>
        <v>5.557135048E9</v>
      </c>
      <c r="X55" s="36" t="n">
        <f>21</f>
        <v>21.0</v>
      </c>
    </row>
    <row r="56">
      <c r="A56" s="27" t="s">
        <v>42</v>
      </c>
      <c r="B56" s="27" t="s">
        <v>204</v>
      </c>
      <c r="C56" s="27" t="s">
        <v>205</v>
      </c>
      <c r="D56" s="27" t="s">
        <v>206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49770</f>
        <v>49770.0</v>
      </c>
      <c r="L56" s="34" t="s">
        <v>67</v>
      </c>
      <c r="M56" s="33" t="n">
        <f>49850</f>
        <v>49850.0</v>
      </c>
      <c r="N56" s="34" t="s">
        <v>67</v>
      </c>
      <c r="O56" s="33" t="n">
        <f>44920</f>
        <v>44920.0</v>
      </c>
      <c r="P56" s="34" t="s">
        <v>80</v>
      </c>
      <c r="Q56" s="33" t="n">
        <f>46960</f>
        <v>46960.0</v>
      </c>
      <c r="R56" s="34" t="s">
        <v>207</v>
      </c>
      <c r="S56" s="35" t="n">
        <f>46860</f>
        <v>46860.0</v>
      </c>
      <c r="T56" s="32" t="n">
        <f>344</f>
        <v>344.0</v>
      </c>
      <c r="U56" s="32" t="n">
        <f>4</f>
        <v>4.0</v>
      </c>
      <c r="V56" s="32" t="n">
        <f>16375034</f>
        <v>1.6375034E7</v>
      </c>
      <c r="W56" s="32" t="n">
        <f>181204</f>
        <v>181204.0</v>
      </c>
      <c r="X56" s="36" t="n">
        <f>6</f>
        <v>6.0</v>
      </c>
    </row>
    <row r="57">
      <c r="A57" s="27" t="s">
        <v>42</v>
      </c>
      <c r="B57" s="27" t="s">
        <v>208</v>
      </c>
      <c r="C57" s="27" t="s">
        <v>209</v>
      </c>
      <c r="D57" s="27" t="s">
        <v>210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36040</f>
        <v>36040.0</v>
      </c>
      <c r="L57" s="34" t="s">
        <v>73</v>
      </c>
      <c r="M57" s="33" t="n">
        <f>37020</f>
        <v>37020.0</v>
      </c>
      <c r="N57" s="34" t="s">
        <v>143</v>
      </c>
      <c r="O57" s="33" t="n">
        <f>34650</f>
        <v>34650.0</v>
      </c>
      <c r="P57" s="34" t="s">
        <v>60</v>
      </c>
      <c r="Q57" s="33" t="n">
        <f>36470</f>
        <v>36470.0</v>
      </c>
      <c r="R57" s="34" t="s">
        <v>144</v>
      </c>
      <c r="S57" s="35" t="n">
        <f>36290</f>
        <v>36290.0</v>
      </c>
      <c r="T57" s="32" t="n">
        <f>149</f>
        <v>149.0</v>
      </c>
      <c r="U57" s="32" t="str">
        <f>"－"</f>
        <v>－</v>
      </c>
      <c r="V57" s="32" t="n">
        <f>5429270</f>
        <v>5429270.0</v>
      </c>
      <c r="W57" s="32" t="str">
        <f>"－"</f>
        <v>－</v>
      </c>
      <c r="X57" s="36" t="n">
        <f>7</f>
        <v>7.0</v>
      </c>
    </row>
    <row r="58">
      <c r="A58" s="27" t="s">
        <v>42</v>
      </c>
      <c r="B58" s="27" t="s">
        <v>211</v>
      </c>
      <c r="C58" s="27" t="s">
        <v>212</v>
      </c>
      <c r="D58" s="27" t="s">
        <v>213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3421</f>
        <v>3421.0</v>
      </c>
      <c r="L58" s="34" t="s">
        <v>48</v>
      </c>
      <c r="M58" s="33" t="n">
        <f>3632</f>
        <v>3632.0</v>
      </c>
      <c r="N58" s="34" t="s">
        <v>116</v>
      </c>
      <c r="O58" s="33" t="n">
        <f>3144</f>
        <v>3144.0</v>
      </c>
      <c r="P58" s="34" t="s">
        <v>72</v>
      </c>
      <c r="Q58" s="33" t="n">
        <f>3332</f>
        <v>3332.0</v>
      </c>
      <c r="R58" s="34" t="s">
        <v>50</v>
      </c>
      <c r="S58" s="35" t="n">
        <f>3420.2</f>
        <v>3420.2</v>
      </c>
      <c r="T58" s="32" t="n">
        <f>3467</f>
        <v>3467.0</v>
      </c>
      <c r="U58" s="32" t="str">
        <f>"－"</f>
        <v>－</v>
      </c>
      <c r="V58" s="32" t="n">
        <f>11375587</f>
        <v>1.1375587E7</v>
      </c>
      <c r="W58" s="32" t="str">
        <f>"－"</f>
        <v>－</v>
      </c>
      <c r="X58" s="36" t="n">
        <f>15</f>
        <v>15.0</v>
      </c>
    </row>
    <row r="59">
      <c r="A59" s="27" t="s">
        <v>42</v>
      </c>
      <c r="B59" s="27" t="s">
        <v>214</v>
      </c>
      <c r="C59" s="27" t="s">
        <v>215</v>
      </c>
      <c r="D59" s="27" t="s">
        <v>216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1607</f>
        <v>1607.0</v>
      </c>
      <c r="L59" s="34" t="s">
        <v>48</v>
      </c>
      <c r="M59" s="33" t="n">
        <f>1616</f>
        <v>1616.0</v>
      </c>
      <c r="N59" s="34" t="s">
        <v>200</v>
      </c>
      <c r="O59" s="33" t="n">
        <f>1577</f>
        <v>1577.0</v>
      </c>
      <c r="P59" s="34" t="s">
        <v>50</v>
      </c>
      <c r="Q59" s="33" t="n">
        <f>1577</f>
        <v>1577.0</v>
      </c>
      <c r="R59" s="34" t="s">
        <v>50</v>
      </c>
      <c r="S59" s="35" t="n">
        <f>1595.71</f>
        <v>1595.71</v>
      </c>
      <c r="T59" s="32" t="n">
        <f>4111796</f>
        <v>4111796.0</v>
      </c>
      <c r="U59" s="32" t="n">
        <f>2450337</f>
        <v>2450337.0</v>
      </c>
      <c r="V59" s="32" t="n">
        <f>6550335884</f>
        <v>6.550335884E9</v>
      </c>
      <c r="W59" s="32" t="n">
        <f>3902707689</f>
        <v>3.902707689E9</v>
      </c>
      <c r="X59" s="36" t="n">
        <f>21</f>
        <v>21.0</v>
      </c>
    </row>
    <row r="60">
      <c r="A60" s="27" t="s">
        <v>42</v>
      </c>
      <c r="B60" s="27" t="s">
        <v>217</v>
      </c>
      <c r="C60" s="27" t="s">
        <v>218</v>
      </c>
      <c r="D60" s="27" t="s">
        <v>219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3421</f>
        <v>3421.0</v>
      </c>
      <c r="L60" s="34" t="s">
        <v>48</v>
      </c>
      <c r="M60" s="33" t="n">
        <f>3511</f>
        <v>3511.0</v>
      </c>
      <c r="N60" s="34" t="s">
        <v>220</v>
      </c>
      <c r="O60" s="33" t="n">
        <f>3274</f>
        <v>3274.0</v>
      </c>
      <c r="P60" s="34" t="s">
        <v>72</v>
      </c>
      <c r="Q60" s="33" t="n">
        <f>3299</f>
        <v>3299.0</v>
      </c>
      <c r="R60" s="34" t="s">
        <v>50</v>
      </c>
      <c r="S60" s="35" t="n">
        <f>3411.31</f>
        <v>3411.31</v>
      </c>
      <c r="T60" s="32" t="n">
        <f>173</f>
        <v>173.0</v>
      </c>
      <c r="U60" s="32" t="str">
        <f>"－"</f>
        <v>－</v>
      </c>
      <c r="V60" s="32" t="n">
        <f>593014</f>
        <v>593014.0</v>
      </c>
      <c r="W60" s="32" t="str">
        <f>"－"</f>
        <v>－</v>
      </c>
      <c r="X60" s="36" t="n">
        <f>13</f>
        <v>13.0</v>
      </c>
    </row>
    <row r="61">
      <c r="A61" s="27" t="s">
        <v>42</v>
      </c>
      <c r="B61" s="27" t="s">
        <v>221</v>
      </c>
      <c r="C61" s="27" t="s">
        <v>222</v>
      </c>
      <c r="D61" s="27" t="s">
        <v>223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3372</f>
        <v>3372.0</v>
      </c>
      <c r="L61" s="34" t="s">
        <v>73</v>
      </c>
      <c r="M61" s="33" t="n">
        <f>3495</f>
        <v>3495.0</v>
      </c>
      <c r="N61" s="34" t="s">
        <v>143</v>
      </c>
      <c r="O61" s="33" t="n">
        <f>3265</f>
        <v>3265.0</v>
      </c>
      <c r="P61" s="34" t="s">
        <v>72</v>
      </c>
      <c r="Q61" s="33" t="n">
        <f>3285</f>
        <v>3285.0</v>
      </c>
      <c r="R61" s="34" t="s">
        <v>50</v>
      </c>
      <c r="S61" s="35" t="n">
        <f>3387.68</f>
        <v>3387.68</v>
      </c>
      <c r="T61" s="32" t="n">
        <f>6190</f>
        <v>6190.0</v>
      </c>
      <c r="U61" s="32" t="str">
        <f>"－"</f>
        <v>－</v>
      </c>
      <c r="V61" s="32" t="n">
        <f>21090920</f>
        <v>2.109092E7</v>
      </c>
      <c r="W61" s="32" t="str">
        <f>"－"</f>
        <v>－</v>
      </c>
      <c r="X61" s="36" t="n">
        <f>19</f>
        <v>19.0</v>
      </c>
    </row>
    <row r="62">
      <c r="A62" s="27" t="s">
        <v>42</v>
      </c>
      <c r="B62" s="27" t="s">
        <v>224</v>
      </c>
      <c r="C62" s="27" t="s">
        <v>225</v>
      </c>
      <c r="D62" s="27" t="s">
        <v>226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48370</f>
        <v>48370.0</v>
      </c>
      <c r="L62" s="34" t="s">
        <v>200</v>
      </c>
      <c r="M62" s="33" t="n">
        <f>54310</f>
        <v>54310.0</v>
      </c>
      <c r="N62" s="34" t="s">
        <v>67</v>
      </c>
      <c r="O62" s="33" t="n">
        <f>48370</f>
        <v>48370.0</v>
      </c>
      <c r="P62" s="34" t="s">
        <v>200</v>
      </c>
      <c r="Q62" s="33" t="n">
        <f>51340</f>
        <v>51340.0</v>
      </c>
      <c r="R62" s="34" t="s">
        <v>144</v>
      </c>
      <c r="S62" s="35" t="n">
        <f>51059</f>
        <v>51059.0</v>
      </c>
      <c r="T62" s="32" t="n">
        <f>46</f>
        <v>46.0</v>
      </c>
      <c r="U62" s="32" t="str">
        <f>"－"</f>
        <v>－</v>
      </c>
      <c r="V62" s="32" t="n">
        <f>2376930</f>
        <v>2376930.0</v>
      </c>
      <c r="W62" s="32" t="str">
        <f>"－"</f>
        <v>－</v>
      </c>
      <c r="X62" s="36" t="n">
        <f>10</f>
        <v>10.0</v>
      </c>
    </row>
    <row r="63">
      <c r="A63" s="27" t="s">
        <v>42</v>
      </c>
      <c r="B63" s="27" t="s">
        <v>227</v>
      </c>
      <c r="C63" s="27" t="s">
        <v>228</v>
      </c>
      <c r="D63" s="27" t="s">
        <v>229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24485</f>
        <v>24485.0</v>
      </c>
      <c r="L63" s="34" t="s">
        <v>48</v>
      </c>
      <c r="M63" s="33" t="n">
        <f>24735</f>
        <v>24735.0</v>
      </c>
      <c r="N63" s="34" t="s">
        <v>80</v>
      </c>
      <c r="O63" s="33" t="n">
        <f>24480</f>
        <v>24480.0</v>
      </c>
      <c r="P63" s="34" t="s">
        <v>73</v>
      </c>
      <c r="Q63" s="33" t="n">
        <f>24660</f>
        <v>24660.0</v>
      </c>
      <c r="R63" s="34" t="s">
        <v>50</v>
      </c>
      <c r="S63" s="35" t="n">
        <f>24644.52</f>
        <v>24644.52</v>
      </c>
      <c r="T63" s="32" t="n">
        <f>125831</f>
        <v>125831.0</v>
      </c>
      <c r="U63" s="32" t="n">
        <f>110778</f>
        <v>110778.0</v>
      </c>
      <c r="V63" s="32" t="n">
        <f>3100359834</f>
        <v>3.100359834E9</v>
      </c>
      <c r="W63" s="32" t="n">
        <f>2729553909</f>
        <v>2.729553909E9</v>
      </c>
      <c r="X63" s="36" t="n">
        <f>21</f>
        <v>21.0</v>
      </c>
    </row>
    <row r="64">
      <c r="A64" s="27" t="s">
        <v>42</v>
      </c>
      <c r="B64" s="27" t="s">
        <v>230</v>
      </c>
      <c r="C64" s="27" t="s">
        <v>231</v>
      </c>
      <c r="D64" s="27" t="s">
        <v>232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12300</f>
        <v>12300.0</v>
      </c>
      <c r="L64" s="34" t="s">
        <v>48</v>
      </c>
      <c r="M64" s="33" t="n">
        <f>12430</f>
        <v>12430.0</v>
      </c>
      <c r="N64" s="34" t="s">
        <v>143</v>
      </c>
      <c r="O64" s="33" t="n">
        <f>12205</f>
        <v>12205.0</v>
      </c>
      <c r="P64" s="34" t="s">
        <v>50</v>
      </c>
      <c r="Q64" s="33" t="n">
        <f>12220</f>
        <v>12220.0</v>
      </c>
      <c r="R64" s="34" t="s">
        <v>50</v>
      </c>
      <c r="S64" s="35" t="n">
        <f>12313.57</f>
        <v>12313.57</v>
      </c>
      <c r="T64" s="32" t="n">
        <f>415686</f>
        <v>415686.0</v>
      </c>
      <c r="U64" s="32" t="n">
        <f>345738</f>
        <v>345738.0</v>
      </c>
      <c r="V64" s="32" t="n">
        <f>5127052395</f>
        <v>5.127052395E9</v>
      </c>
      <c r="W64" s="32" t="n">
        <f>4264546170</f>
        <v>4.26454617E9</v>
      </c>
      <c r="X64" s="36" t="n">
        <f>21</f>
        <v>21.0</v>
      </c>
    </row>
    <row r="65">
      <c r="A65" s="27" t="s">
        <v>42</v>
      </c>
      <c r="B65" s="27" t="s">
        <v>233</v>
      </c>
      <c r="C65" s="27" t="s">
        <v>234</v>
      </c>
      <c r="D65" s="27" t="s">
        <v>235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1949</f>
        <v>1949.0</v>
      </c>
      <c r="L65" s="34" t="s">
        <v>48</v>
      </c>
      <c r="M65" s="33" t="n">
        <f>2009</f>
        <v>2009.0</v>
      </c>
      <c r="N65" s="34" t="s">
        <v>88</v>
      </c>
      <c r="O65" s="33" t="n">
        <f>1932</f>
        <v>1932.0</v>
      </c>
      <c r="P65" s="34" t="s">
        <v>48</v>
      </c>
      <c r="Q65" s="33" t="n">
        <f>1945</f>
        <v>1945.0</v>
      </c>
      <c r="R65" s="34" t="s">
        <v>50</v>
      </c>
      <c r="S65" s="35" t="n">
        <f>1970.05</f>
        <v>1970.05</v>
      </c>
      <c r="T65" s="32" t="n">
        <f>4490651</f>
        <v>4490651.0</v>
      </c>
      <c r="U65" s="32" t="n">
        <f>1534696</f>
        <v>1534696.0</v>
      </c>
      <c r="V65" s="32" t="n">
        <f>8855742830</f>
        <v>8.85574283E9</v>
      </c>
      <c r="W65" s="32" t="n">
        <f>3033953511</f>
        <v>3.033953511E9</v>
      </c>
      <c r="X65" s="36" t="n">
        <f>21</f>
        <v>21.0</v>
      </c>
    </row>
    <row r="66">
      <c r="A66" s="27" t="s">
        <v>42</v>
      </c>
      <c r="B66" s="27" t="s">
        <v>236</v>
      </c>
      <c r="C66" s="27" t="s">
        <v>237</v>
      </c>
      <c r="D66" s="27" t="s">
        <v>238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3205</f>
        <v>3205.0</v>
      </c>
      <c r="L66" s="34" t="s">
        <v>48</v>
      </c>
      <c r="M66" s="33" t="n">
        <f>3262</f>
        <v>3262.0</v>
      </c>
      <c r="N66" s="34" t="s">
        <v>73</v>
      </c>
      <c r="O66" s="33" t="n">
        <f>3029</f>
        <v>3029.0</v>
      </c>
      <c r="P66" s="34" t="s">
        <v>72</v>
      </c>
      <c r="Q66" s="33" t="n">
        <f>3108</f>
        <v>3108.0</v>
      </c>
      <c r="R66" s="34" t="s">
        <v>50</v>
      </c>
      <c r="S66" s="35" t="n">
        <f>3155.76</f>
        <v>3155.76</v>
      </c>
      <c r="T66" s="32" t="n">
        <f>20649631</f>
        <v>2.0649631E7</v>
      </c>
      <c r="U66" s="32" t="n">
        <f>5287278</f>
        <v>5287278.0</v>
      </c>
      <c r="V66" s="32" t="n">
        <f>65295623994</f>
        <v>6.5295623994E10</v>
      </c>
      <c r="W66" s="32" t="n">
        <f>16750284537</f>
        <v>1.6750284537E10</v>
      </c>
      <c r="X66" s="36" t="n">
        <f>21</f>
        <v>21.0</v>
      </c>
    </row>
    <row r="67">
      <c r="A67" s="27" t="s">
        <v>42</v>
      </c>
      <c r="B67" s="27" t="s">
        <v>239</v>
      </c>
      <c r="C67" s="27" t="s">
        <v>240</v>
      </c>
      <c r="D67" s="27" t="s">
        <v>241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7711</f>
        <v>7711.0</v>
      </c>
      <c r="L67" s="34" t="s">
        <v>48</v>
      </c>
      <c r="M67" s="33" t="n">
        <f>8000</f>
        <v>8000.0</v>
      </c>
      <c r="N67" s="34" t="s">
        <v>242</v>
      </c>
      <c r="O67" s="33" t="n">
        <f>7470</f>
        <v>7470.0</v>
      </c>
      <c r="P67" s="34" t="s">
        <v>207</v>
      </c>
      <c r="Q67" s="33" t="n">
        <f>7567</f>
        <v>7567.0</v>
      </c>
      <c r="R67" s="34" t="s">
        <v>50</v>
      </c>
      <c r="S67" s="35" t="n">
        <f>7759.13</f>
        <v>7759.13</v>
      </c>
      <c r="T67" s="32" t="n">
        <f>192</f>
        <v>192.0</v>
      </c>
      <c r="U67" s="32" t="n">
        <f>6</f>
        <v>6.0</v>
      </c>
      <c r="V67" s="32" t="n">
        <f>1499005</f>
        <v>1499005.0</v>
      </c>
      <c r="W67" s="32" t="n">
        <f>47323</f>
        <v>47323.0</v>
      </c>
      <c r="X67" s="36" t="n">
        <f>15</f>
        <v>15.0</v>
      </c>
    </row>
    <row r="68">
      <c r="A68" s="27" t="s">
        <v>42</v>
      </c>
      <c r="B68" s="27" t="s">
        <v>243</v>
      </c>
      <c r="C68" s="27" t="s">
        <v>244</v>
      </c>
      <c r="D68" s="27" t="s">
        <v>245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24180</f>
        <v>24180.0</v>
      </c>
      <c r="L68" s="34" t="s">
        <v>48</v>
      </c>
      <c r="M68" s="33" t="n">
        <f>25180</f>
        <v>25180.0</v>
      </c>
      <c r="N68" s="34" t="s">
        <v>80</v>
      </c>
      <c r="O68" s="33" t="n">
        <f>24100</f>
        <v>24100.0</v>
      </c>
      <c r="P68" s="34" t="s">
        <v>48</v>
      </c>
      <c r="Q68" s="33" t="n">
        <f>24780</f>
        <v>24780.0</v>
      </c>
      <c r="R68" s="34" t="s">
        <v>50</v>
      </c>
      <c r="S68" s="35" t="n">
        <f>24649.52</f>
        <v>24649.52</v>
      </c>
      <c r="T68" s="32" t="n">
        <f>2139</f>
        <v>2139.0</v>
      </c>
      <c r="U68" s="32" t="n">
        <f>38</f>
        <v>38.0</v>
      </c>
      <c r="V68" s="32" t="n">
        <f>52870037</f>
        <v>5.2870037E7</v>
      </c>
      <c r="W68" s="32" t="n">
        <f>949727</f>
        <v>949727.0</v>
      </c>
      <c r="X68" s="36" t="n">
        <f>21</f>
        <v>21.0</v>
      </c>
    </row>
    <row r="69">
      <c r="A69" s="27" t="s">
        <v>42</v>
      </c>
      <c r="B69" s="27" t="s">
        <v>246</v>
      </c>
      <c r="C69" s="27" t="s">
        <v>247</v>
      </c>
      <c r="D69" s="27" t="s">
        <v>248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41950</f>
        <v>41950.0</v>
      </c>
      <c r="L69" s="34" t="s">
        <v>48</v>
      </c>
      <c r="M69" s="33" t="n">
        <f>42990</f>
        <v>42990.0</v>
      </c>
      <c r="N69" s="34" t="s">
        <v>200</v>
      </c>
      <c r="O69" s="33" t="n">
        <f>40100</f>
        <v>40100.0</v>
      </c>
      <c r="P69" s="34" t="s">
        <v>72</v>
      </c>
      <c r="Q69" s="33" t="n">
        <f>40810</f>
        <v>40810.0</v>
      </c>
      <c r="R69" s="34" t="s">
        <v>50</v>
      </c>
      <c r="S69" s="35" t="n">
        <f>41602.38</f>
        <v>41602.38</v>
      </c>
      <c r="T69" s="32" t="n">
        <f>124325</f>
        <v>124325.0</v>
      </c>
      <c r="U69" s="32" t="n">
        <f>80391</f>
        <v>80391.0</v>
      </c>
      <c r="V69" s="32" t="n">
        <f>5169053359</f>
        <v>5.169053359E9</v>
      </c>
      <c r="W69" s="32" t="n">
        <f>3337652779</f>
        <v>3.337652779E9</v>
      </c>
      <c r="X69" s="36" t="n">
        <f>21</f>
        <v>21.0</v>
      </c>
    </row>
    <row r="70">
      <c r="A70" s="27" t="s">
        <v>42</v>
      </c>
      <c r="B70" s="27" t="s">
        <v>249</v>
      </c>
      <c r="C70" s="27" t="s">
        <v>250</v>
      </c>
      <c r="D70" s="27" t="s">
        <v>251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11445</f>
        <v>11445.0</v>
      </c>
      <c r="L70" s="34" t="s">
        <v>48</v>
      </c>
      <c r="M70" s="33" t="n">
        <f>12055</f>
        <v>12055.0</v>
      </c>
      <c r="N70" s="34" t="s">
        <v>49</v>
      </c>
      <c r="O70" s="33" t="n">
        <f>11260</f>
        <v>11260.0</v>
      </c>
      <c r="P70" s="34" t="s">
        <v>73</v>
      </c>
      <c r="Q70" s="33" t="n">
        <f>11610</f>
        <v>11610.0</v>
      </c>
      <c r="R70" s="34" t="s">
        <v>50</v>
      </c>
      <c r="S70" s="35" t="n">
        <f>11720.24</f>
        <v>11720.24</v>
      </c>
      <c r="T70" s="32" t="n">
        <f>7821</f>
        <v>7821.0</v>
      </c>
      <c r="U70" s="32" t="n">
        <f>485</f>
        <v>485.0</v>
      </c>
      <c r="V70" s="32" t="n">
        <f>90986468</f>
        <v>9.0986468E7</v>
      </c>
      <c r="W70" s="32" t="n">
        <f>5724358</f>
        <v>5724358.0</v>
      </c>
      <c r="X70" s="36" t="n">
        <f>21</f>
        <v>21.0</v>
      </c>
    </row>
    <row r="71">
      <c r="A71" s="27" t="s">
        <v>42</v>
      </c>
      <c r="B71" s="27" t="s">
        <v>252</v>
      </c>
      <c r="C71" s="27" t="s">
        <v>253</v>
      </c>
      <c r="D71" s="27" t="s">
        <v>254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1700</f>
        <v>1700.0</v>
      </c>
      <c r="L71" s="34" t="s">
        <v>48</v>
      </c>
      <c r="M71" s="33" t="n">
        <f>1723</f>
        <v>1723.0</v>
      </c>
      <c r="N71" s="34" t="s">
        <v>200</v>
      </c>
      <c r="O71" s="33" t="n">
        <f>1678</f>
        <v>1678.0</v>
      </c>
      <c r="P71" s="34" t="s">
        <v>50</v>
      </c>
      <c r="Q71" s="33" t="n">
        <f>1678</f>
        <v>1678.0</v>
      </c>
      <c r="R71" s="34" t="s">
        <v>50</v>
      </c>
      <c r="S71" s="35" t="n">
        <f>1696.62</f>
        <v>1696.62</v>
      </c>
      <c r="T71" s="32" t="n">
        <f>1022835</f>
        <v>1022835.0</v>
      </c>
      <c r="U71" s="32" t="n">
        <f>559000</f>
        <v>559000.0</v>
      </c>
      <c r="V71" s="32" t="n">
        <f>1736709809</f>
        <v>1.736709809E9</v>
      </c>
      <c r="W71" s="32" t="n">
        <f>947079560</f>
        <v>9.4707956E8</v>
      </c>
      <c r="X71" s="36" t="n">
        <f>21</f>
        <v>21.0</v>
      </c>
    </row>
    <row r="72">
      <c r="A72" s="27" t="s">
        <v>42</v>
      </c>
      <c r="B72" s="27" t="s">
        <v>255</v>
      </c>
      <c r="C72" s="27" t="s">
        <v>256</v>
      </c>
      <c r="D72" s="27" t="s">
        <v>257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1763</f>
        <v>1763.0</v>
      </c>
      <c r="L72" s="34" t="s">
        <v>48</v>
      </c>
      <c r="M72" s="33" t="n">
        <f>1786</f>
        <v>1786.0</v>
      </c>
      <c r="N72" s="34" t="s">
        <v>200</v>
      </c>
      <c r="O72" s="33" t="n">
        <f>1752</f>
        <v>1752.0</v>
      </c>
      <c r="P72" s="34" t="s">
        <v>242</v>
      </c>
      <c r="Q72" s="33" t="n">
        <f>1758</f>
        <v>1758.0</v>
      </c>
      <c r="R72" s="34" t="s">
        <v>50</v>
      </c>
      <c r="S72" s="35" t="n">
        <f>1765.43</f>
        <v>1765.43</v>
      </c>
      <c r="T72" s="32" t="n">
        <f>243883</f>
        <v>243883.0</v>
      </c>
      <c r="U72" s="32" t="str">
        <f>"－"</f>
        <v>－</v>
      </c>
      <c r="V72" s="32" t="n">
        <f>430450751</f>
        <v>4.30450751E8</v>
      </c>
      <c r="W72" s="32" t="str">
        <f>"－"</f>
        <v>－</v>
      </c>
      <c r="X72" s="36" t="n">
        <f>21</f>
        <v>21.0</v>
      </c>
    </row>
    <row r="73">
      <c r="A73" s="27" t="s">
        <v>42</v>
      </c>
      <c r="B73" s="27" t="s">
        <v>258</v>
      </c>
      <c r="C73" s="27" t="s">
        <v>259</v>
      </c>
      <c r="D73" s="27" t="s">
        <v>260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29800</f>
        <v>29800.0</v>
      </c>
      <c r="L73" s="34" t="s">
        <v>48</v>
      </c>
      <c r="M73" s="33" t="n">
        <f>31470</f>
        <v>31470.0</v>
      </c>
      <c r="N73" s="34" t="s">
        <v>50</v>
      </c>
      <c r="O73" s="33" t="n">
        <f>29510</f>
        <v>29510.0</v>
      </c>
      <c r="P73" s="34" t="s">
        <v>73</v>
      </c>
      <c r="Q73" s="33" t="n">
        <f>30440</f>
        <v>30440.0</v>
      </c>
      <c r="R73" s="34" t="s">
        <v>50</v>
      </c>
      <c r="S73" s="35" t="n">
        <f>30564.76</f>
        <v>30564.76</v>
      </c>
      <c r="T73" s="32" t="n">
        <f>20124</f>
        <v>20124.0</v>
      </c>
      <c r="U73" s="32" t="n">
        <f>16400</f>
        <v>16400.0</v>
      </c>
      <c r="V73" s="32" t="n">
        <f>612379158</f>
        <v>6.12379158E8</v>
      </c>
      <c r="W73" s="32" t="n">
        <f>498927768</f>
        <v>4.98927768E8</v>
      </c>
      <c r="X73" s="36" t="n">
        <f>21</f>
        <v>21.0</v>
      </c>
    </row>
    <row r="74">
      <c r="A74" s="27" t="s">
        <v>42</v>
      </c>
      <c r="B74" s="27" t="s">
        <v>261</v>
      </c>
      <c r="C74" s="27" t="s">
        <v>262</v>
      </c>
      <c r="D74" s="27" t="s">
        <v>263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9699</f>
        <v>9699.0</v>
      </c>
      <c r="L74" s="34" t="s">
        <v>48</v>
      </c>
      <c r="M74" s="33" t="n">
        <f>9764</f>
        <v>9764.0</v>
      </c>
      <c r="N74" s="34" t="s">
        <v>60</v>
      </c>
      <c r="O74" s="33" t="n">
        <f>9002</f>
        <v>9002.0</v>
      </c>
      <c r="P74" s="34" t="s">
        <v>207</v>
      </c>
      <c r="Q74" s="33" t="n">
        <f>9050</f>
        <v>9050.0</v>
      </c>
      <c r="R74" s="34" t="s">
        <v>50</v>
      </c>
      <c r="S74" s="35" t="n">
        <f>9305.76</f>
        <v>9305.76</v>
      </c>
      <c r="T74" s="32" t="n">
        <f>3796</f>
        <v>3796.0</v>
      </c>
      <c r="U74" s="32" t="n">
        <f>4</f>
        <v>4.0</v>
      </c>
      <c r="V74" s="32" t="n">
        <f>35572201</f>
        <v>3.5572201E7</v>
      </c>
      <c r="W74" s="32" t="n">
        <f>37226</f>
        <v>37226.0</v>
      </c>
      <c r="X74" s="36" t="n">
        <f>21</f>
        <v>21.0</v>
      </c>
    </row>
    <row r="75">
      <c r="A75" s="27" t="s">
        <v>42</v>
      </c>
      <c r="B75" s="27" t="s">
        <v>264</v>
      </c>
      <c r="C75" s="27" t="s">
        <v>265</v>
      </c>
      <c r="D75" s="27" t="s">
        <v>266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22580</f>
        <v>22580.0</v>
      </c>
      <c r="L75" s="34" t="s">
        <v>48</v>
      </c>
      <c r="M75" s="33" t="n">
        <f>23250</f>
        <v>23250.0</v>
      </c>
      <c r="N75" s="34" t="s">
        <v>88</v>
      </c>
      <c r="O75" s="33" t="n">
        <f>21820</f>
        <v>21820.0</v>
      </c>
      <c r="P75" s="34" t="s">
        <v>50</v>
      </c>
      <c r="Q75" s="33" t="n">
        <f>21985</f>
        <v>21985.0</v>
      </c>
      <c r="R75" s="34" t="s">
        <v>50</v>
      </c>
      <c r="S75" s="35" t="n">
        <f>22587.14</f>
        <v>22587.14</v>
      </c>
      <c r="T75" s="32" t="n">
        <f>7493771</f>
        <v>7493771.0</v>
      </c>
      <c r="U75" s="32" t="n">
        <f>62851</f>
        <v>62851.0</v>
      </c>
      <c r="V75" s="32" t="n">
        <f>169234656965</f>
        <v>1.69234656965E11</v>
      </c>
      <c r="W75" s="32" t="n">
        <f>1411482500</f>
        <v>1.4114825E9</v>
      </c>
      <c r="X75" s="36" t="n">
        <f>21</f>
        <v>21.0</v>
      </c>
    </row>
    <row r="76">
      <c r="A76" s="27" t="s">
        <v>42</v>
      </c>
      <c r="B76" s="27" t="s">
        <v>267</v>
      </c>
      <c r="C76" s="27" t="s">
        <v>268</v>
      </c>
      <c r="D76" s="27" t="s">
        <v>269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9202</f>
        <v>9202.0</v>
      </c>
      <c r="L76" s="34" t="s">
        <v>48</v>
      </c>
      <c r="M76" s="33" t="n">
        <f>10025</f>
        <v>10025.0</v>
      </c>
      <c r="N76" s="34" t="s">
        <v>49</v>
      </c>
      <c r="O76" s="33" t="n">
        <f>8830</f>
        <v>8830.0</v>
      </c>
      <c r="P76" s="34" t="s">
        <v>73</v>
      </c>
      <c r="Q76" s="33" t="n">
        <f>8965</f>
        <v>8965.0</v>
      </c>
      <c r="R76" s="34" t="s">
        <v>50</v>
      </c>
      <c r="S76" s="35" t="n">
        <f>9478.9</f>
        <v>9478.9</v>
      </c>
      <c r="T76" s="32" t="n">
        <f>864520</f>
        <v>864520.0</v>
      </c>
      <c r="U76" s="32" t="n">
        <f>602</f>
        <v>602.0</v>
      </c>
      <c r="V76" s="32" t="n">
        <f>8179408714</f>
        <v>8.179408714E9</v>
      </c>
      <c r="W76" s="32" t="n">
        <f>5681888</f>
        <v>5681888.0</v>
      </c>
      <c r="X76" s="36" t="n">
        <f>21</f>
        <v>21.0</v>
      </c>
    </row>
    <row r="77">
      <c r="A77" s="27" t="s">
        <v>42</v>
      </c>
      <c r="B77" s="27" t="s">
        <v>270</v>
      </c>
      <c r="C77" s="27" t="s">
        <v>271</v>
      </c>
      <c r="D77" s="27" t="s">
        <v>272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34580</f>
        <v>34580.0</v>
      </c>
      <c r="L77" s="34" t="s">
        <v>48</v>
      </c>
      <c r="M77" s="33" t="n">
        <f>37700</f>
        <v>37700.0</v>
      </c>
      <c r="N77" s="34" t="s">
        <v>67</v>
      </c>
      <c r="O77" s="33" t="n">
        <f>32100</f>
        <v>32100.0</v>
      </c>
      <c r="P77" s="34" t="s">
        <v>73</v>
      </c>
      <c r="Q77" s="33" t="n">
        <f>34180</f>
        <v>34180.0</v>
      </c>
      <c r="R77" s="34" t="s">
        <v>50</v>
      </c>
      <c r="S77" s="35" t="n">
        <f>35116.19</f>
        <v>35116.19</v>
      </c>
      <c r="T77" s="32" t="n">
        <f>2411315</f>
        <v>2411315.0</v>
      </c>
      <c r="U77" s="32" t="n">
        <f>22587</f>
        <v>22587.0</v>
      </c>
      <c r="V77" s="32" t="n">
        <f>84776355571</f>
        <v>8.4776355571E10</v>
      </c>
      <c r="W77" s="32" t="n">
        <f>797963291</f>
        <v>7.97963291E8</v>
      </c>
      <c r="X77" s="36" t="n">
        <f>21</f>
        <v>21.0</v>
      </c>
    </row>
    <row r="78">
      <c r="A78" s="27" t="s">
        <v>42</v>
      </c>
      <c r="B78" s="27" t="s">
        <v>273</v>
      </c>
      <c r="C78" s="27" t="s">
        <v>274</v>
      </c>
      <c r="D78" s="27" t="s">
        <v>275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68880</f>
        <v>68880.0</v>
      </c>
      <c r="L78" s="34" t="s">
        <v>48</v>
      </c>
      <c r="M78" s="33" t="n">
        <f>74280</f>
        <v>74280.0</v>
      </c>
      <c r="N78" s="34" t="s">
        <v>88</v>
      </c>
      <c r="O78" s="33" t="n">
        <f>65760</f>
        <v>65760.0</v>
      </c>
      <c r="P78" s="34" t="s">
        <v>73</v>
      </c>
      <c r="Q78" s="33" t="n">
        <f>67380</f>
        <v>67380.0</v>
      </c>
      <c r="R78" s="34" t="s">
        <v>50</v>
      </c>
      <c r="S78" s="35" t="n">
        <f>69536.19</f>
        <v>69536.19</v>
      </c>
      <c r="T78" s="32" t="n">
        <f>17182</f>
        <v>17182.0</v>
      </c>
      <c r="U78" s="32" t="n">
        <f>437</f>
        <v>437.0</v>
      </c>
      <c r="V78" s="32" t="n">
        <f>1194927748</f>
        <v>1.194927748E9</v>
      </c>
      <c r="W78" s="32" t="n">
        <f>30388828</f>
        <v>3.0388828E7</v>
      </c>
      <c r="X78" s="36" t="n">
        <f>21</f>
        <v>21.0</v>
      </c>
    </row>
    <row r="79">
      <c r="A79" s="27" t="s">
        <v>42</v>
      </c>
      <c r="B79" s="27" t="s">
        <v>276</v>
      </c>
      <c r="C79" s="27" t="s">
        <v>277</v>
      </c>
      <c r="D79" s="27" t="s">
        <v>278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38240</f>
        <v>38240.0</v>
      </c>
      <c r="L79" s="34" t="s">
        <v>48</v>
      </c>
      <c r="M79" s="33" t="n">
        <f>44510</f>
        <v>44510.0</v>
      </c>
      <c r="N79" s="34" t="s">
        <v>50</v>
      </c>
      <c r="O79" s="33" t="n">
        <f>37980</f>
        <v>37980.0</v>
      </c>
      <c r="P79" s="34" t="s">
        <v>73</v>
      </c>
      <c r="Q79" s="33" t="n">
        <f>43970</f>
        <v>43970.0</v>
      </c>
      <c r="R79" s="34" t="s">
        <v>50</v>
      </c>
      <c r="S79" s="35" t="n">
        <f>41302.38</f>
        <v>41302.38</v>
      </c>
      <c r="T79" s="32" t="n">
        <f>907235</f>
        <v>907235.0</v>
      </c>
      <c r="U79" s="32" t="n">
        <f>24582</f>
        <v>24582.0</v>
      </c>
      <c r="V79" s="32" t="n">
        <f>38196617320</f>
        <v>3.819661732E10</v>
      </c>
      <c r="W79" s="32" t="n">
        <f>1057484800</f>
        <v>1.0574848E9</v>
      </c>
      <c r="X79" s="36" t="n">
        <f>21</f>
        <v>21.0</v>
      </c>
    </row>
    <row r="80">
      <c r="A80" s="27" t="s">
        <v>42</v>
      </c>
      <c r="B80" s="27" t="s">
        <v>279</v>
      </c>
      <c r="C80" s="27" t="s">
        <v>280</v>
      </c>
      <c r="D80" s="27" t="s">
        <v>281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71820</f>
        <v>71820.0</v>
      </c>
      <c r="L80" s="34" t="s">
        <v>48</v>
      </c>
      <c r="M80" s="33" t="n">
        <f>76960</f>
        <v>76960.0</v>
      </c>
      <c r="N80" s="34" t="s">
        <v>282</v>
      </c>
      <c r="O80" s="33" t="n">
        <f>71540</f>
        <v>71540.0</v>
      </c>
      <c r="P80" s="34" t="s">
        <v>73</v>
      </c>
      <c r="Q80" s="33" t="n">
        <f>76180</f>
        <v>76180.0</v>
      </c>
      <c r="R80" s="34" t="s">
        <v>50</v>
      </c>
      <c r="S80" s="35" t="n">
        <f>74850.95</f>
        <v>74850.95</v>
      </c>
      <c r="T80" s="32" t="n">
        <f>30645</f>
        <v>30645.0</v>
      </c>
      <c r="U80" s="32" t="n">
        <f>3152</f>
        <v>3152.0</v>
      </c>
      <c r="V80" s="32" t="n">
        <f>2290174988</f>
        <v>2.290174988E9</v>
      </c>
      <c r="W80" s="32" t="n">
        <f>236272708</f>
        <v>2.36272708E8</v>
      </c>
      <c r="X80" s="36" t="n">
        <f>21</f>
        <v>21.0</v>
      </c>
    </row>
    <row r="81">
      <c r="A81" s="27" t="s">
        <v>42</v>
      </c>
      <c r="B81" s="27" t="s">
        <v>283</v>
      </c>
      <c r="C81" s="27" t="s">
        <v>284</v>
      </c>
      <c r="D81" s="27" t="s">
        <v>285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11260</f>
        <v>11260.0</v>
      </c>
      <c r="L81" s="34" t="s">
        <v>48</v>
      </c>
      <c r="M81" s="33" t="n">
        <f>12525</f>
        <v>12525.0</v>
      </c>
      <c r="N81" s="34" t="s">
        <v>207</v>
      </c>
      <c r="O81" s="33" t="n">
        <f>11200</f>
        <v>11200.0</v>
      </c>
      <c r="P81" s="34" t="s">
        <v>73</v>
      </c>
      <c r="Q81" s="33" t="n">
        <f>12410</f>
        <v>12410.0</v>
      </c>
      <c r="R81" s="34" t="s">
        <v>50</v>
      </c>
      <c r="S81" s="35" t="n">
        <f>11919.76</f>
        <v>11919.76</v>
      </c>
      <c r="T81" s="32" t="n">
        <f>485918</f>
        <v>485918.0</v>
      </c>
      <c r="U81" s="32" t="n">
        <f>3159</f>
        <v>3159.0</v>
      </c>
      <c r="V81" s="32" t="n">
        <f>5794908308</f>
        <v>5.794908308E9</v>
      </c>
      <c r="W81" s="32" t="n">
        <f>37298723</f>
        <v>3.7298723E7</v>
      </c>
      <c r="X81" s="36" t="n">
        <f>21</f>
        <v>21.0</v>
      </c>
    </row>
    <row r="82">
      <c r="A82" s="27" t="s">
        <v>42</v>
      </c>
      <c r="B82" s="27" t="s">
        <v>286</v>
      </c>
      <c r="C82" s="27" t="s">
        <v>287</v>
      </c>
      <c r="D82" s="27" t="s">
        <v>288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7049</f>
        <v>7049.0</v>
      </c>
      <c r="L82" s="34" t="s">
        <v>48</v>
      </c>
      <c r="M82" s="33" t="n">
        <f>7726</f>
        <v>7726.0</v>
      </c>
      <c r="N82" s="34" t="s">
        <v>207</v>
      </c>
      <c r="O82" s="33" t="n">
        <f>6999</f>
        <v>6999.0</v>
      </c>
      <c r="P82" s="34" t="s">
        <v>68</v>
      </c>
      <c r="Q82" s="33" t="n">
        <f>7664</f>
        <v>7664.0</v>
      </c>
      <c r="R82" s="34" t="s">
        <v>50</v>
      </c>
      <c r="S82" s="35" t="n">
        <f>7449.71</f>
        <v>7449.71</v>
      </c>
      <c r="T82" s="32" t="n">
        <f>128346</f>
        <v>128346.0</v>
      </c>
      <c r="U82" s="32" t="n">
        <f>40911</f>
        <v>40911.0</v>
      </c>
      <c r="V82" s="32" t="n">
        <f>957221035</f>
        <v>9.57221035E8</v>
      </c>
      <c r="W82" s="32" t="n">
        <f>306245749</f>
        <v>3.06245749E8</v>
      </c>
      <c r="X82" s="36" t="n">
        <f>21</f>
        <v>21.0</v>
      </c>
    </row>
    <row r="83">
      <c r="A83" s="27" t="s">
        <v>42</v>
      </c>
      <c r="B83" s="27" t="s">
        <v>289</v>
      </c>
      <c r="C83" s="27" t="s">
        <v>290</v>
      </c>
      <c r="D83" s="27" t="s">
        <v>291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6724</f>
        <v>6724.0</v>
      </c>
      <c r="L83" s="34" t="s">
        <v>48</v>
      </c>
      <c r="M83" s="33" t="n">
        <f>7221</f>
        <v>7221.0</v>
      </c>
      <c r="N83" s="34" t="s">
        <v>73</v>
      </c>
      <c r="O83" s="33" t="n">
        <f>6683</f>
        <v>6683.0</v>
      </c>
      <c r="P83" s="34" t="s">
        <v>67</v>
      </c>
      <c r="Q83" s="33" t="n">
        <f>6844</f>
        <v>6844.0</v>
      </c>
      <c r="R83" s="34" t="s">
        <v>50</v>
      </c>
      <c r="S83" s="35" t="n">
        <f>6847.29</f>
        <v>6847.29</v>
      </c>
      <c r="T83" s="32" t="n">
        <f>4010</f>
        <v>4010.0</v>
      </c>
      <c r="U83" s="32" t="n">
        <f>160</f>
        <v>160.0</v>
      </c>
      <c r="V83" s="32" t="n">
        <f>27583897</f>
        <v>2.7583897E7</v>
      </c>
      <c r="W83" s="32" t="n">
        <f>1096677</f>
        <v>1096677.0</v>
      </c>
      <c r="X83" s="36" t="n">
        <f>21</f>
        <v>21.0</v>
      </c>
    </row>
    <row r="84">
      <c r="A84" s="27" t="s">
        <v>42</v>
      </c>
      <c r="B84" s="27" t="s">
        <v>292</v>
      </c>
      <c r="C84" s="27" t="s">
        <v>293</v>
      </c>
      <c r="D84" s="27" t="s">
        <v>294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5885</f>
        <v>5885.0</v>
      </c>
      <c r="L84" s="34" t="s">
        <v>48</v>
      </c>
      <c r="M84" s="33" t="n">
        <f>6459</f>
        <v>6459.0</v>
      </c>
      <c r="N84" s="34" t="s">
        <v>72</v>
      </c>
      <c r="O84" s="33" t="n">
        <f>5834</f>
        <v>5834.0</v>
      </c>
      <c r="P84" s="34" t="s">
        <v>73</v>
      </c>
      <c r="Q84" s="33" t="n">
        <f>6400</f>
        <v>6400.0</v>
      </c>
      <c r="R84" s="34" t="s">
        <v>50</v>
      </c>
      <c r="S84" s="35" t="n">
        <f>6211.86</f>
        <v>6211.86</v>
      </c>
      <c r="T84" s="32" t="n">
        <f>54689</f>
        <v>54689.0</v>
      </c>
      <c r="U84" s="32" t="n">
        <f>943</f>
        <v>943.0</v>
      </c>
      <c r="V84" s="32" t="n">
        <f>340136479</f>
        <v>3.40136479E8</v>
      </c>
      <c r="W84" s="32" t="n">
        <f>5863358</f>
        <v>5863358.0</v>
      </c>
      <c r="X84" s="36" t="n">
        <f>21</f>
        <v>21.0</v>
      </c>
    </row>
    <row r="85">
      <c r="A85" s="27" t="s">
        <v>42</v>
      </c>
      <c r="B85" s="27" t="s">
        <v>295</v>
      </c>
      <c r="C85" s="27" t="s">
        <v>296</v>
      </c>
      <c r="D85" s="27" t="s">
        <v>297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2202</f>
        <v>2202.0</v>
      </c>
      <c r="L85" s="34" t="s">
        <v>48</v>
      </c>
      <c r="M85" s="33" t="n">
        <f>2525</f>
        <v>2525.0</v>
      </c>
      <c r="N85" s="34" t="s">
        <v>80</v>
      </c>
      <c r="O85" s="33" t="n">
        <f>2202</f>
        <v>2202.0</v>
      </c>
      <c r="P85" s="34" t="s">
        <v>48</v>
      </c>
      <c r="Q85" s="33" t="n">
        <f>2478</f>
        <v>2478.0</v>
      </c>
      <c r="R85" s="34" t="s">
        <v>50</v>
      </c>
      <c r="S85" s="35" t="n">
        <f>2390.14</f>
        <v>2390.14</v>
      </c>
      <c r="T85" s="32" t="n">
        <f>52758</f>
        <v>52758.0</v>
      </c>
      <c r="U85" s="32" t="n">
        <f>2570</f>
        <v>2570.0</v>
      </c>
      <c r="V85" s="32" t="n">
        <f>125761373</f>
        <v>1.25761373E8</v>
      </c>
      <c r="W85" s="32" t="n">
        <f>6247844</f>
        <v>6247844.0</v>
      </c>
      <c r="X85" s="36" t="n">
        <f>21</f>
        <v>21.0</v>
      </c>
    </row>
    <row r="86">
      <c r="A86" s="27" t="s">
        <v>42</v>
      </c>
      <c r="B86" s="27" t="s">
        <v>298</v>
      </c>
      <c r="C86" s="27" t="s">
        <v>299</v>
      </c>
      <c r="D86" s="27" t="s">
        <v>300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103400</f>
        <v>103400.0</v>
      </c>
      <c r="L86" s="34" t="s">
        <v>48</v>
      </c>
      <c r="M86" s="33" t="n">
        <f>114650</f>
        <v>114650.0</v>
      </c>
      <c r="N86" s="34" t="s">
        <v>50</v>
      </c>
      <c r="O86" s="33" t="n">
        <f>102950</f>
        <v>102950.0</v>
      </c>
      <c r="P86" s="34" t="s">
        <v>73</v>
      </c>
      <c r="Q86" s="33" t="n">
        <f>113900</f>
        <v>113900.0</v>
      </c>
      <c r="R86" s="34" t="s">
        <v>50</v>
      </c>
      <c r="S86" s="35" t="n">
        <f>109535.71</f>
        <v>109535.71</v>
      </c>
      <c r="T86" s="32" t="n">
        <f>42997</f>
        <v>42997.0</v>
      </c>
      <c r="U86" s="32" t="n">
        <f>75</f>
        <v>75.0</v>
      </c>
      <c r="V86" s="32" t="n">
        <f>4709861600</f>
        <v>4.7098616E9</v>
      </c>
      <c r="W86" s="32" t="n">
        <f>8428950</f>
        <v>8428950.0</v>
      </c>
      <c r="X86" s="36" t="n">
        <f>21</f>
        <v>21.0</v>
      </c>
    </row>
    <row r="87">
      <c r="A87" s="27" t="s">
        <v>42</v>
      </c>
      <c r="B87" s="27" t="s">
        <v>301</v>
      </c>
      <c r="C87" s="27" t="s">
        <v>302</v>
      </c>
      <c r="D87" s="27" t="s">
        <v>303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4340</f>
        <v>4340.0</v>
      </c>
      <c r="L87" s="34" t="s">
        <v>48</v>
      </c>
      <c r="M87" s="33" t="n">
        <f>4635</f>
        <v>4635.0</v>
      </c>
      <c r="N87" s="34" t="s">
        <v>84</v>
      </c>
      <c r="O87" s="33" t="n">
        <f>4314</f>
        <v>4314.0</v>
      </c>
      <c r="P87" s="34" t="s">
        <v>60</v>
      </c>
      <c r="Q87" s="33" t="n">
        <f>4425</f>
        <v>4425.0</v>
      </c>
      <c r="R87" s="34" t="s">
        <v>50</v>
      </c>
      <c r="S87" s="35" t="n">
        <f>4477.76</f>
        <v>4477.76</v>
      </c>
      <c r="T87" s="32" t="n">
        <f>11080</f>
        <v>11080.0</v>
      </c>
      <c r="U87" s="32" t="str">
        <f>"－"</f>
        <v>－</v>
      </c>
      <c r="V87" s="32" t="n">
        <f>49663015</f>
        <v>4.9663015E7</v>
      </c>
      <c r="W87" s="32" t="str">
        <f>"－"</f>
        <v>－</v>
      </c>
      <c r="X87" s="36" t="n">
        <f>21</f>
        <v>21.0</v>
      </c>
    </row>
    <row r="88">
      <c r="A88" s="27" t="s">
        <v>42</v>
      </c>
      <c r="B88" s="27" t="s">
        <v>304</v>
      </c>
      <c r="C88" s="27" t="s">
        <v>305</v>
      </c>
      <c r="D88" s="27" t="s">
        <v>306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6700</f>
        <v>6700.0</v>
      </c>
      <c r="L88" s="34" t="s">
        <v>48</v>
      </c>
      <c r="M88" s="33" t="n">
        <f>6900</f>
        <v>6900.0</v>
      </c>
      <c r="N88" s="34" t="s">
        <v>67</v>
      </c>
      <c r="O88" s="33" t="n">
        <f>6606</f>
        <v>6606.0</v>
      </c>
      <c r="P88" s="34" t="s">
        <v>220</v>
      </c>
      <c r="Q88" s="33" t="n">
        <f>6820</f>
        <v>6820.0</v>
      </c>
      <c r="R88" s="34" t="s">
        <v>50</v>
      </c>
      <c r="S88" s="35" t="n">
        <f>6770.43</f>
        <v>6770.43</v>
      </c>
      <c r="T88" s="32" t="n">
        <f>5867</f>
        <v>5867.0</v>
      </c>
      <c r="U88" s="32" t="str">
        <f>"－"</f>
        <v>－</v>
      </c>
      <c r="V88" s="32" t="n">
        <f>39679079</f>
        <v>3.9679079E7</v>
      </c>
      <c r="W88" s="32" t="str">
        <f>"－"</f>
        <v>－</v>
      </c>
      <c r="X88" s="36" t="n">
        <f>21</f>
        <v>21.0</v>
      </c>
    </row>
    <row r="89">
      <c r="A89" s="27" t="s">
        <v>42</v>
      </c>
      <c r="B89" s="27" t="s">
        <v>307</v>
      </c>
      <c r="C89" s="27" t="s">
        <v>308</v>
      </c>
      <c r="D89" s="27" t="s">
        <v>309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2339</f>
        <v>2339.0</v>
      </c>
      <c r="L89" s="34" t="s">
        <v>48</v>
      </c>
      <c r="M89" s="33" t="n">
        <f>2610</f>
        <v>2610.0</v>
      </c>
      <c r="N89" s="34" t="s">
        <v>67</v>
      </c>
      <c r="O89" s="33" t="n">
        <f>2308</f>
        <v>2308.0</v>
      </c>
      <c r="P89" s="34" t="s">
        <v>48</v>
      </c>
      <c r="Q89" s="33" t="n">
        <f>2346</f>
        <v>2346.0</v>
      </c>
      <c r="R89" s="34" t="s">
        <v>50</v>
      </c>
      <c r="S89" s="35" t="n">
        <f>2459.33</f>
        <v>2459.33</v>
      </c>
      <c r="T89" s="32" t="n">
        <f>306352</f>
        <v>306352.0</v>
      </c>
      <c r="U89" s="32" t="n">
        <f>410</f>
        <v>410.0</v>
      </c>
      <c r="V89" s="32" t="n">
        <f>753377410</f>
        <v>7.5337741E8</v>
      </c>
      <c r="W89" s="32" t="n">
        <f>979059</f>
        <v>979059.0</v>
      </c>
      <c r="X89" s="36" t="n">
        <f>21</f>
        <v>21.0</v>
      </c>
    </row>
    <row r="90">
      <c r="A90" s="27" t="s">
        <v>42</v>
      </c>
      <c r="B90" s="27" t="s">
        <v>310</v>
      </c>
      <c r="C90" s="27" t="s">
        <v>311</v>
      </c>
      <c r="D90" s="27" t="s">
        <v>312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52840</f>
        <v>52840.0</v>
      </c>
      <c r="L90" s="34" t="s">
        <v>48</v>
      </c>
      <c r="M90" s="33" t="n">
        <f>59950</f>
        <v>59950.0</v>
      </c>
      <c r="N90" s="34" t="s">
        <v>207</v>
      </c>
      <c r="O90" s="33" t="n">
        <f>52560</f>
        <v>52560.0</v>
      </c>
      <c r="P90" s="34" t="s">
        <v>48</v>
      </c>
      <c r="Q90" s="33" t="n">
        <f>54690</f>
        <v>54690.0</v>
      </c>
      <c r="R90" s="34" t="s">
        <v>50</v>
      </c>
      <c r="S90" s="35" t="n">
        <f>54366.67</f>
        <v>54366.67</v>
      </c>
      <c r="T90" s="32" t="n">
        <f>16561</f>
        <v>16561.0</v>
      </c>
      <c r="U90" s="32" t="n">
        <f>31</f>
        <v>31.0</v>
      </c>
      <c r="V90" s="32" t="n">
        <f>902990431</f>
        <v>9.02990431E8</v>
      </c>
      <c r="W90" s="32" t="n">
        <f>1638751</f>
        <v>1638751.0</v>
      </c>
      <c r="X90" s="36" t="n">
        <f>21</f>
        <v>21.0</v>
      </c>
    </row>
    <row r="91">
      <c r="A91" s="27" t="s">
        <v>42</v>
      </c>
      <c r="B91" s="27" t="s">
        <v>313</v>
      </c>
      <c r="C91" s="27" t="s">
        <v>314</v>
      </c>
      <c r="D91" s="27" t="s">
        <v>315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10.0</v>
      </c>
      <c r="K91" s="33" t="n">
        <f>797.6</f>
        <v>797.6</v>
      </c>
      <c r="L91" s="34" t="s">
        <v>48</v>
      </c>
      <c r="M91" s="33" t="n">
        <f>892.1</f>
        <v>892.1</v>
      </c>
      <c r="N91" s="34" t="s">
        <v>49</v>
      </c>
      <c r="O91" s="33" t="n">
        <f>792.1</f>
        <v>792.1</v>
      </c>
      <c r="P91" s="34" t="s">
        <v>48</v>
      </c>
      <c r="Q91" s="33" t="n">
        <f>845.2</f>
        <v>845.2</v>
      </c>
      <c r="R91" s="34" t="s">
        <v>50</v>
      </c>
      <c r="S91" s="35" t="n">
        <f>848.05</f>
        <v>848.05</v>
      </c>
      <c r="T91" s="32" t="n">
        <f>88835730</f>
        <v>8.883573E7</v>
      </c>
      <c r="U91" s="32" t="n">
        <f>232730</f>
        <v>232730.0</v>
      </c>
      <c r="V91" s="32" t="n">
        <f>75373672482</f>
        <v>7.5373672482E10</v>
      </c>
      <c r="W91" s="32" t="n">
        <f>197379959</f>
        <v>1.97379959E8</v>
      </c>
      <c r="X91" s="36" t="n">
        <f>21</f>
        <v>21.0</v>
      </c>
    </row>
    <row r="92">
      <c r="A92" s="27" t="s">
        <v>42</v>
      </c>
      <c r="B92" s="27" t="s">
        <v>316</v>
      </c>
      <c r="C92" s="27" t="s">
        <v>317</v>
      </c>
      <c r="D92" s="27" t="s">
        <v>318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10.0</v>
      </c>
      <c r="K92" s="33" t="n">
        <f>847.8</f>
        <v>847.8</v>
      </c>
      <c r="L92" s="34" t="s">
        <v>48</v>
      </c>
      <c r="M92" s="33" t="n">
        <f>852.5</f>
        <v>852.5</v>
      </c>
      <c r="N92" s="34" t="s">
        <v>48</v>
      </c>
      <c r="O92" s="33" t="n">
        <f>797.6</f>
        <v>797.6</v>
      </c>
      <c r="P92" s="34" t="s">
        <v>49</v>
      </c>
      <c r="Q92" s="33" t="n">
        <f>819</f>
        <v>819.0</v>
      </c>
      <c r="R92" s="34" t="s">
        <v>50</v>
      </c>
      <c r="S92" s="35" t="n">
        <f>819.43</f>
        <v>819.43</v>
      </c>
      <c r="T92" s="32" t="n">
        <f>9546070</f>
        <v>9546070.0</v>
      </c>
      <c r="U92" s="32" t="n">
        <f>7679230</f>
        <v>7679230.0</v>
      </c>
      <c r="V92" s="32" t="n">
        <f>7972587272</f>
        <v>7.972587272E9</v>
      </c>
      <c r="W92" s="32" t="n">
        <f>6449044689</f>
        <v>6.449044689E9</v>
      </c>
      <c r="X92" s="36" t="n">
        <f>21</f>
        <v>21.0</v>
      </c>
    </row>
    <row r="93">
      <c r="A93" s="27" t="s">
        <v>42</v>
      </c>
      <c r="B93" s="27" t="s">
        <v>319</v>
      </c>
      <c r="C93" s="27" t="s">
        <v>320</v>
      </c>
      <c r="D93" s="27" t="s">
        <v>321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46750</f>
        <v>46750.0</v>
      </c>
      <c r="L93" s="34" t="s">
        <v>48</v>
      </c>
      <c r="M93" s="33" t="n">
        <f>61420</f>
        <v>61420.0</v>
      </c>
      <c r="N93" s="34" t="s">
        <v>72</v>
      </c>
      <c r="O93" s="33" t="n">
        <f>45610</f>
        <v>45610.0</v>
      </c>
      <c r="P93" s="34" t="s">
        <v>73</v>
      </c>
      <c r="Q93" s="33" t="n">
        <f>58070</f>
        <v>58070.0</v>
      </c>
      <c r="R93" s="34" t="s">
        <v>50</v>
      </c>
      <c r="S93" s="35" t="n">
        <f>54597.14</f>
        <v>54597.14</v>
      </c>
      <c r="T93" s="32" t="n">
        <f>79963253</f>
        <v>7.9963253E7</v>
      </c>
      <c r="U93" s="32" t="n">
        <f>784660</f>
        <v>784660.0</v>
      </c>
      <c r="V93" s="32" t="n">
        <f>4368857473732</f>
        <v>4.368857473732E12</v>
      </c>
      <c r="W93" s="32" t="n">
        <f>43630250942</f>
        <v>4.3630250942E10</v>
      </c>
      <c r="X93" s="36" t="n">
        <f>21</f>
        <v>21.0</v>
      </c>
    </row>
    <row r="94">
      <c r="A94" s="27" t="s">
        <v>42</v>
      </c>
      <c r="B94" s="27" t="s">
        <v>322</v>
      </c>
      <c r="C94" s="27" t="s">
        <v>323</v>
      </c>
      <c r="D94" s="27" t="s">
        <v>324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385</f>
        <v>385.0</v>
      </c>
      <c r="L94" s="34" t="s">
        <v>48</v>
      </c>
      <c r="M94" s="33" t="n">
        <f>389</f>
        <v>389.0</v>
      </c>
      <c r="N94" s="34" t="s">
        <v>73</v>
      </c>
      <c r="O94" s="33" t="n">
        <f>332</f>
        <v>332.0</v>
      </c>
      <c r="P94" s="34" t="s">
        <v>72</v>
      </c>
      <c r="Q94" s="33" t="n">
        <f>342</f>
        <v>342.0</v>
      </c>
      <c r="R94" s="34" t="s">
        <v>50</v>
      </c>
      <c r="S94" s="35" t="n">
        <f>354.86</f>
        <v>354.86</v>
      </c>
      <c r="T94" s="32" t="n">
        <f>60840168</f>
        <v>6.0840168E7</v>
      </c>
      <c r="U94" s="32" t="n">
        <f>16674974</f>
        <v>1.6674974E7</v>
      </c>
      <c r="V94" s="32" t="n">
        <f>21511783042</f>
        <v>2.1511783042E10</v>
      </c>
      <c r="W94" s="32" t="n">
        <f>5932994320</f>
        <v>5.93299432E9</v>
      </c>
      <c r="X94" s="36" t="n">
        <f>21</f>
        <v>21.0</v>
      </c>
    </row>
    <row r="95">
      <c r="A95" s="27" t="s">
        <v>42</v>
      </c>
      <c r="B95" s="27" t="s">
        <v>325</v>
      </c>
      <c r="C95" s="27" t="s">
        <v>326</v>
      </c>
      <c r="D95" s="27" t="s">
        <v>327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7150</f>
        <v>7150.0</v>
      </c>
      <c r="L95" s="34" t="s">
        <v>48</v>
      </c>
      <c r="M95" s="33" t="n">
        <f>7850</f>
        <v>7850.0</v>
      </c>
      <c r="N95" s="34" t="s">
        <v>80</v>
      </c>
      <c r="O95" s="33" t="n">
        <f>6907</f>
        <v>6907.0</v>
      </c>
      <c r="P95" s="34" t="s">
        <v>60</v>
      </c>
      <c r="Q95" s="33" t="n">
        <f>7492</f>
        <v>7492.0</v>
      </c>
      <c r="R95" s="34" t="s">
        <v>50</v>
      </c>
      <c r="S95" s="35" t="n">
        <f>7396.62</f>
        <v>7396.62</v>
      </c>
      <c r="T95" s="32" t="n">
        <f>115690</f>
        <v>115690.0</v>
      </c>
      <c r="U95" s="32" t="str">
        <f>"－"</f>
        <v>－</v>
      </c>
      <c r="V95" s="32" t="n">
        <f>844516130</f>
        <v>8.4451613E8</v>
      </c>
      <c r="W95" s="32" t="str">
        <f>"－"</f>
        <v>－</v>
      </c>
      <c r="X95" s="36" t="n">
        <f>21</f>
        <v>21.0</v>
      </c>
    </row>
    <row r="96">
      <c r="A96" s="27" t="s">
        <v>42</v>
      </c>
      <c r="B96" s="27" t="s">
        <v>328</v>
      </c>
      <c r="C96" s="27" t="s">
        <v>329</v>
      </c>
      <c r="D96" s="27" t="s">
        <v>330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8451</f>
        <v>8451.0</v>
      </c>
      <c r="L96" s="34" t="s">
        <v>48</v>
      </c>
      <c r="M96" s="33" t="n">
        <f>8649</f>
        <v>8649.0</v>
      </c>
      <c r="N96" s="34" t="s">
        <v>68</v>
      </c>
      <c r="O96" s="33" t="n">
        <f>7945</f>
        <v>7945.0</v>
      </c>
      <c r="P96" s="34" t="s">
        <v>80</v>
      </c>
      <c r="Q96" s="33" t="n">
        <f>8299</f>
        <v>8299.0</v>
      </c>
      <c r="R96" s="34" t="s">
        <v>50</v>
      </c>
      <c r="S96" s="35" t="n">
        <f>8258.95</f>
        <v>8258.95</v>
      </c>
      <c r="T96" s="32" t="n">
        <f>16780</f>
        <v>16780.0</v>
      </c>
      <c r="U96" s="32" t="str">
        <f>"－"</f>
        <v>－</v>
      </c>
      <c r="V96" s="32" t="n">
        <f>138039840</f>
        <v>1.3803984E8</v>
      </c>
      <c r="W96" s="32" t="str">
        <f>"－"</f>
        <v>－</v>
      </c>
      <c r="X96" s="36" t="n">
        <f>21</f>
        <v>21.0</v>
      </c>
    </row>
    <row r="97">
      <c r="A97" s="27" t="s">
        <v>42</v>
      </c>
      <c r="B97" s="27" t="s">
        <v>331</v>
      </c>
      <c r="C97" s="27" t="s">
        <v>332</v>
      </c>
      <c r="D97" s="27" t="s">
        <v>333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54110</f>
        <v>54110.0</v>
      </c>
      <c r="L97" s="34" t="s">
        <v>48</v>
      </c>
      <c r="M97" s="33" t="n">
        <f>55500</f>
        <v>55500.0</v>
      </c>
      <c r="N97" s="34" t="s">
        <v>73</v>
      </c>
      <c r="O97" s="33" t="n">
        <f>51140</f>
        <v>51140.0</v>
      </c>
      <c r="P97" s="34" t="s">
        <v>72</v>
      </c>
      <c r="Q97" s="33" t="n">
        <f>52140</f>
        <v>52140.0</v>
      </c>
      <c r="R97" s="34" t="s">
        <v>50</v>
      </c>
      <c r="S97" s="35" t="n">
        <f>53650.48</f>
        <v>53650.48</v>
      </c>
      <c r="T97" s="32" t="n">
        <f>209122</f>
        <v>209122.0</v>
      </c>
      <c r="U97" s="32" t="n">
        <f>125802</f>
        <v>125802.0</v>
      </c>
      <c r="V97" s="32" t="n">
        <f>11353277062</f>
        <v>1.1353277062E10</v>
      </c>
      <c r="W97" s="32" t="n">
        <f>6877428902</f>
        <v>6.877428902E9</v>
      </c>
      <c r="X97" s="36" t="n">
        <f>21</f>
        <v>21.0</v>
      </c>
    </row>
    <row r="98">
      <c r="A98" s="27" t="s">
        <v>42</v>
      </c>
      <c r="B98" s="27" t="s">
        <v>334</v>
      </c>
      <c r="C98" s="27" t="s">
        <v>335</v>
      </c>
      <c r="D98" s="27" t="s">
        <v>336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4263</f>
        <v>4263.0</v>
      </c>
      <c r="L98" s="34" t="s">
        <v>48</v>
      </c>
      <c r="M98" s="33" t="n">
        <f>4888</f>
        <v>4888.0</v>
      </c>
      <c r="N98" s="34" t="s">
        <v>72</v>
      </c>
      <c r="O98" s="33" t="n">
        <f>4199</f>
        <v>4199.0</v>
      </c>
      <c r="P98" s="34" t="s">
        <v>73</v>
      </c>
      <c r="Q98" s="33" t="n">
        <f>4763</f>
        <v>4763.0</v>
      </c>
      <c r="R98" s="34" t="s">
        <v>50</v>
      </c>
      <c r="S98" s="35" t="n">
        <f>4598</f>
        <v>4598.0</v>
      </c>
      <c r="T98" s="32" t="n">
        <f>587604</f>
        <v>587604.0</v>
      </c>
      <c r="U98" s="32" t="n">
        <f>263305</f>
        <v>263305.0</v>
      </c>
      <c r="V98" s="32" t="n">
        <f>2711551992</f>
        <v>2.711551992E9</v>
      </c>
      <c r="W98" s="32" t="n">
        <f>1190359014</f>
        <v>1.190359014E9</v>
      </c>
      <c r="X98" s="36" t="n">
        <f>21</f>
        <v>21.0</v>
      </c>
    </row>
    <row r="99">
      <c r="A99" s="27" t="s">
        <v>42</v>
      </c>
      <c r="B99" s="27" t="s">
        <v>337</v>
      </c>
      <c r="C99" s="27" t="s">
        <v>338</v>
      </c>
      <c r="D99" s="27" t="s">
        <v>339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504.9</f>
        <v>504.9</v>
      </c>
      <c r="L99" s="34" t="s">
        <v>48</v>
      </c>
      <c r="M99" s="33" t="n">
        <f>663.2</f>
        <v>663.2</v>
      </c>
      <c r="N99" s="34" t="s">
        <v>72</v>
      </c>
      <c r="O99" s="33" t="n">
        <f>491.4</f>
        <v>491.4</v>
      </c>
      <c r="P99" s="34" t="s">
        <v>73</v>
      </c>
      <c r="Q99" s="33" t="n">
        <f>626.8</f>
        <v>626.8</v>
      </c>
      <c r="R99" s="34" t="s">
        <v>50</v>
      </c>
      <c r="S99" s="35" t="n">
        <f>588.92</f>
        <v>588.92</v>
      </c>
      <c r="T99" s="32" t="n">
        <f>427792880</f>
        <v>4.2779288E8</v>
      </c>
      <c r="U99" s="32" t="n">
        <f>10124580</f>
        <v>1.012458E7</v>
      </c>
      <c r="V99" s="32" t="n">
        <f>248680532597</f>
        <v>2.48680532597E11</v>
      </c>
      <c r="W99" s="32" t="n">
        <f>5946861507</f>
        <v>5.946861507E9</v>
      </c>
      <c r="X99" s="36" t="n">
        <f>21</f>
        <v>21.0</v>
      </c>
    </row>
    <row r="100">
      <c r="A100" s="27" t="s">
        <v>42</v>
      </c>
      <c r="B100" s="27" t="s">
        <v>340</v>
      </c>
      <c r="C100" s="27" t="s">
        <v>341</v>
      </c>
      <c r="D100" s="27" t="s">
        <v>342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1019.5</f>
        <v>1019.5</v>
      </c>
      <c r="L100" s="34" t="s">
        <v>48</v>
      </c>
      <c r="M100" s="33" t="n">
        <f>1032</f>
        <v>1032.0</v>
      </c>
      <c r="N100" s="34" t="s">
        <v>73</v>
      </c>
      <c r="O100" s="33" t="n">
        <f>882</f>
        <v>882.0</v>
      </c>
      <c r="P100" s="34" t="s">
        <v>72</v>
      </c>
      <c r="Q100" s="33" t="n">
        <f>907.7</f>
        <v>907.7</v>
      </c>
      <c r="R100" s="34" t="s">
        <v>50</v>
      </c>
      <c r="S100" s="35" t="n">
        <f>941.36</f>
        <v>941.36</v>
      </c>
      <c r="T100" s="32" t="n">
        <f>14238400</f>
        <v>1.42384E7</v>
      </c>
      <c r="U100" s="32" t="n">
        <f>3538960</f>
        <v>3538960.0</v>
      </c>
      <c r="V100" s="32" t="n">
        <f>13498042607</f>
        <v>1.3498042607E10</v>
      </c>
      <c r="W100" s="32" t="n">
        <f>3475485528</f>
        <v>3.475485528E9</v>
      </c>
      <c r="X100" s="36" t="n">
        <f>21</f>
        <v>21.0</v>
      </c>
    </row>
    <row r="101">
      <c r="A101" s="27" t="s">
        <v>42</v>
      </c>
      <c r="B101" s="27" t="s">
        <v>343</v>
      </c>
      <c r="C101" s="27" t="s">
        <v>344</v>
      </c>
      <c r="D101" s="27" t="s">
        <v>345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2427</f>
        <v>2427.0</v>
      </c>
      <c r="L101" s="34" t="s">
        <v>143</v>
      </c>
      <c r="M101" s="33" t="n">
        <f>2560</f>
        <v>2560.0</v>
      </c>
      <c r="N101" s="34" t="s">
        <v>49</v>
      </c>
      <c r="O101" s="33" t="n">
        <f>2427</f>
        <v>2427.0</v>
      </c>
      <c r="P101" s="34" t="s">
        <v>143</v>
      </c>
      <c r="Q101" s="33" t="n">
        <f>2515</f>
        <v>2515.0</v>
      </c>
      <c r="R101" s="34" t="s">
        <v>50</v>
      </c>
      <c r="S101" s="35" t="n">
        <f>2508.6</f>
        <v>2508.6</v>
      </c>
      <c r="T101" s="32" t="n">
        <f>2590</f>
        <v>2590.0</v>
      </c>
      <c r="U101" s="32" t="str">
        <f>"－"</f>
        <v>－</v>
      </c>
      <c r="V101" s="32" t="n">
        <f>6499060</f>
        <v>6499060.0</v>
      </c>
      <c r="W101" s="32" t="str">
        <f>"－"</f>
        <v>－</v>
      </c>
      <c r="X101" s="36" t="n">
        <f>10</f>
        <v>10.0</v>
      </c>
    </row>
    <row r="102">
      <c r="A102" s="27" t="s">
        <v>42</v>
      </c>
      <c r="B102" s="27" t="s">
        <v>346</v>
      </c>
      <c r="C102" s="27" t="s">
        <v>347</v>
      </c>
      <c r="D102" s="27" t="s">
        <v>348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2787</f>
        <v>2787.0</v>
      </c>
      <c r="L102" s="34" t="s">
        <v>48</v>
      </c>
      <c r="M102" s="33" t="n">
        <f>2989</f>
        <v>2989.0</v>
      </c>
      <c r="N102" s="34" t="s">
        <v>184</v>
      </c>
      <c r="O102" s="33" t="n">
        <f>2787</f>
        <v>2787.0</v>
      </c>
      <c r="P102" s="34" t="s">
        <v>48</v>
      </c>
      <c r="Q102" s="33" t="n">
        <f>2950</f>
        <v>2950.0</v>
      </c>
      <c r="R102" s="34" t="s">
        <v>50</v>
      </c>
      <c r="S102" s="35" t="n">
        <f>2903.45</f>
        <v>2903.45</v>
      </c>
      <c r="T102" s="32" t="n">
        <f>3360</f>
        <v>3360.0</v>
      </c>
      <c r="U102" s="32" t="str">
        <f>"－"</f>
        <v>－</v>
      </c>
      <c r="V102" s="32" t="n">
        <f>9697071</f>
        <v>9697071.0</v>
      </c>
      <c r="W102" s="32" t="str">
        <f>"－"</f>
        <v>－</v>
      </c>
      <c r="X102" s="36" t="n">
        <f>20</f>
        <v>20.0</v>
      </c>
    </row>
    <row r="103">
      <c r="A103" s="27" t="s">
        <v>42</v>
      </c>
      <c r="B103" s="27" t="s">
        <v>349</v>
      </c>
      <c r="C103" s="27" t="s">
        <v>350</v>
      </c>
      <c r="D103" s="27" t="s">
        <v>351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33330</f>
        <v>33330.0</v>
      </c>
      <c r="L103" s="34" t="s">
        <v>48</v>
      </c>
      <c r="M103" s="33" t="n">
        <f>34700</f>
        <v>34700.0</v>
      </c>
      <c r="N103" s="34" t="s">
        <v>49</v>
      </c>
      <c r="O103" s="33" t="n">
        <f>32950</f>
        <v>32950.0</v>
      </c>
      <c r="P103" s="34" t="s">
        <v>68</v>
      </c>
      <c r="Q103" s="33" t="n">
        <f>34020</f>
        <v>34020.0</v>
      </c>
      <c r="R103" s="34" t="s">
        <v>50</v>
      </c>
      <c r="S103" s="35" t="n">
        <f>33881.43</f>
        <v>33881.43</v>
      </c>
      <c r="T103" s="32" t="n">
        <f>197638</f>
        <v>197638.0</v>
      </c>
      <c r="U103" s="32" t="n">
        <f>150927</f>
        <v>150927.0</v>
      </c>
      <c r="V103" s="32" t="n">
        <f>6724359016</f>
        <v>6.724359016E9</v>
      </c>
      <c r="W103" s="32" t="n">
        <f>5144364026</f>
        <v>5.144364026E9</v>
      </c>
      <c r="X103" s="36" t="n">
        <f>21</f>
        <v>21.0</v>
      </c>
    </row>
    <row r="104">
      <c r="A104" s="27" t="s">
        <v>42</v>
      </c>
      <c r="B104" s="27" t="s">
        <v>352</v>
      </c>
      <c r="C104" s="27" t="s">
        <v>353</v>
      </c>
      <c r="D104" s="27" t="s">
        <v>354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3030</f>
        <v>3030.0</v>
      </c>
      <c r="L104" s="34" t="s">
        <v>48</v>
      </c>
      <c r="M104" s="33" t="n">
        <f>3208</f>
        <v>3208.0</v>
      </c>
      <c r="N104" s="34" t="s">
        <v>49</v>
      </c>
      <c r="O104" s="33" t="n">
        <f>3020</f>
        <v>3020.0</v>
      </c>
      <c r="P104" s="34" t="s">
        <v>48</v>
      </c>
      <c r="Q104" s="33" t="n">
        <f>3146</f>
        <v>3146.0</v>
      </c>
      <c r="R104" s="34" t="s">
        <v>50</v>
      </c>
      <c r="S104" s="35" t="n">
        <f>3132.81</f>
        <v>3132.81</v>
      </c>
      <c r="T104" s="32" t="n">
        <f>135554</f>
        <v>135554.0</v>
      </c>
      <c r="U104" s="32" t="n">
        <f>62918</f>
        <v>62918.0</v>
      </c>
      <c r="V104" s="32" t="n">
        <f>426762015</f>
        <v>4.26762015E8</v>
      </c>
      <c r="W104" s="32" t="n">
        <f>199997446</f>
        <v>1.99997446E8</v>
      </c>
      <c r="X104" s="36" t="n">
        <f>21</f>
        <v>21.0</v>
      </c>
    </row>
    <row r="105">
      <c r="A105" s="27" t="s">
        <v>42</v>
      </c>
      <c r="B105" s="27" t="s">
        <v>355</v>
      </c>
      <c r="C105" s="27" t="s">
        <v>356</v>
      </c>
      <c r="D105" s="27" t="s">
        <v>357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33920</f>
        <v>33920.0</v>
      </c>
      <c r="L105" s="34" t="s">
        <v>48</v>
      </c>
      <c r="M105" s="33" t="n">
        <f>35900</f>
        <v>35900.0</v>
      </c>
      <c r="N105" s="34" t="s">
        <v>49</v>
      </c>
      <c r="O105" s="33" t="n">
        <f>33810</f>
        <v>33810.0</v>
      </c>
      <c r="P105" s="34" t="s">
        <v>48</v>
      </c>
      <c r="Q105" s="33" t="n">
        <f>35200</f>
        <v>35200.0</v>
      </c>
      <c r="R105" s="34" t="s">
        <v>50</v>
      </c>
      <c r="S105" s="35" t="n">
        <f>35082.38</f>
        <v>35082.38</v>
      </c>
      <c r="T105" s="32" t="n">
        <f>44998</f>
        <v>44998.0</v>
      </c>
      <c r="U105" s="32" t="n">
        <f>23418</f>
        <v>23418.0</v>
      </c>
      <c r="V105" s="32" t="n">
        <f>1558648871</f>
        <v>1.558648871E9</v>
      </c>
      <c r="W105" s="32" t="n">
        <f>806535901</f>
        <v>8.06535901E8</v>
      </c>
      <c r="X105" s="36" t="n">
        <f>21</f>
        <v>21.0</v>
      </c>
    </row>
    <row r="106">
      <c r="A106" s="27" t="s">
        <v>42</v>
      </c>
      <c r="B106" s="27" t="s">
        <v>358</v>
      </c>
      <c r="C106" s="27" t="s">
        <v>359</v>
      </c>
      <c r="D106" s="27" t="s">
        <v>360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1944</f>
        <v>1944.0</v>
      </c>
      <c r="L106" s="34" t="s">
        <v>48</v>
      </c>
      <c r="M106" s="33" t="n">
        <f>2000</f>
        <v>2000.0</v>
      </c>
      <c r="N106" s="34" t="s">
        <v>143</v>
      </c>
      <c r="O106" s="33" t="n">
        <f>1910</f>
        <v>1910.0</v>
      </c>
      <c r="P106" s="34" t="s">
        <v>50</v>
      </c>
      <c r="Q106" s="33" t="n">
        <f>1917</f>
        <v>1917.0</v>
      </c>
      <c r="R106" s="34" t="s">
        <v>50</v>
      </c>
      <c r="S106" s="35" t="n">
        <f>1955.52</f>
        <v>1955.52</v>
      </c>
      <c r="T106" s="32" t="n">
        <f>2790840</f>
        <v>2790840.0</v>
      </c>
      <c r="U106" s="32" t="n">
        <f>1595214</f>
        <v>1595214.0</v>
      </c>
      <c r="V106" s="32" t="n">
        <f>5492002893</f>
        <v>5.492002893E9</v>
      </c>
      <c r="W106" s="32" t="n">
        <f>3148146741</f>
        <v>3.148146741E9</v>
      </c>
      <c r="X106" s="36" t="n">
        <f>21</f>
        <v>21.0</v>
      </c>
    </row>
    <row r="107">
      <c r="A107" s="27" t="s">
        <v>42</v>
      </c>
      <c r="B107" s="27" t="s">
        <v>361</v>
      </c>
      <c r="C107" s="27" t="s">
        <v>362</v>
      </c>
      <c r="D107" s="27" t="s">
        <v>363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2753</f>
        <v>2753.0</v>
      </c>
      <c r="L107" s="34" t="s">
        <v>73</v>
      </c>
      <c r="M107" s="33" t="n">
        <f>3000</f>
        <v>3000.0</v>
      </c>
      <c r="N107" s="34" t="s">
        <v>184</v>
      </c>
      <c r="O107" s="33" t="n">
        <f>2720.5</f>
        <v>2720.5</v>
      </c>
      <c r="P107" s="34" t="s">
        <v>220</v>
      </c>
      <c r="Q107" s="33" t="n">
        <f>2800</f>
        <v>2800.0</v>
      </c>
      <c r="R107" s="34" t="s">
        <v>50</v>
      </c>
      <c r="S107" s="35" t="n">
        <f>2825.57</f>
        <v>2825.57</v>
      </c>
      <c r="T107" s="32" t="n">
        <f>446</f>
        <v>446.0</v>
      </c>
      <c r="U107" s="32" t="str">
        <f>"－"</f>
        <v>－</v>
      </c>
      <c r="V107" s="32" t="n">
        <f>1240123</f>
        <v>1240123.0</v>
      </c>
      <c r="W107" s="32" t="str">
        <f>"－"</f>
        <v>－</v>
      </c>
      <c r="X107" s="36" t="n">
        <f>14</f>
        <v>14.0</v>
      </c>
    </row>
    <row r="108">
      <c r="A108" s="27" t="s">
        <v>42</v>
      </c>
      <c r="B108" s="27" t="s">
        <v>364</v>
      </c>
      <c r="C108" s="27" t="s">
        <v>365</v>
      </c>
      <c r="D108" s="27" t="s">
        <v>366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1930</f>
        <v>1930.0</v>
      </c>
      <c r="L108" s="34" t="s">
        <v>48</v>
      </c>
      <c r="M108" s="33" t="n">
        <f>2005</f>
        <v>2005.0</v>
      </c>
      <c r="N108" s="34" t="s">
        <v>88</v>
      </c>
      <c r="O108" s="33" t="n">
        <f>1917</f>
        <v>1917.0</v>
      </c>
      <c r="P108" s="34" t="s">
        <v>48</v>
      </c>
      <c r="Q108" s="33" t="n">
        <f>1937</f>
        <v>1937.0</v>
      </c>
      <c r="R108" s="34" t="s">
        <v>50</v>
      </c>
      <c r="S108" s="35" t="n">
        <f>1961.19</f>
        <v>1961.19</v>
      </c>
      <c r="T108" s="32" t="n">
        <f>4072522</f>
        <v>4072522.0</v>
      </c>
      <c r="U108" s="32" t="n">
        <f>2284847</f>
        <v>2284847.0</v>
      </c>
      <c r="V108" s="32" t="n">
        <f>7950893001</f>
        <v>7.950893001E9</v>
      </c>
      <c r="W108" s="32" t="n">
        <f>4448597938</f>
        <v>4.448597938E9</v>
      </c>
      <c r="X108" s="36" t="n">
        <f>21</f>
        <v>21.0</v>
      </c>
    </row>
    <row r="109">
      <c r="A109" s="27" t="s">
        <v>42</v>
      </c>
      <c r="B109" s="27" t="s">
        <v>367</v>
      </c>
      <c r="C109" s="27" t="s">
        <v>368</v>
      </c>
      <c r="D109" s="27" t="s">
        <v>369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33780</f>
        <v>33780.0</v>
      </c>
      <c r="L109" s="34" t="s">
        <v>48</v>
      </c>
      <c r="M109" s="33" t="n">
        <f>35500</f>
        <v>35500.0</v>
      </c>
      <c r="N109" s="34" t="s">
        <v>49</v>
      </c>
      <c r="O109" s="33" t="n">
        <f>33470</f>
        <v>33470.0</v>
      </c>
      <c r="P109" s="34" t="s">
        <v>73</v>
      </c>
      <c r="Q109" s="33" t="n">
        <f>34720</f>
        <v>34720.0</v>
      </c>
      <c r="R109" s="34" t="s">
        <v>50</v>
      </c>
      <c r="S109" s="35" t="n">
        <f>34655.24</f>
        <v>34655.24</v>
      </c>
      <c r="T109" s="32" t="n">
        <f>18078</f>
        <v>18078.0</v>
      </c>
      <c r="U109" s="32" t="n">
        <f>14555</f>
        <v>14555.0</v>
      </c>
      <c r="V109" s="32" t="n">
        <f>625181891</f>
        <v>6.25181891E8</v>
      </c>
      <c r="W109" s="32" t="n">
        <f>503029891</f>
        <v>5.03029891E8</v>
      </c>
      <c r="X109" s="36" t="n">
        <f>21</f>
        <v>21.0</v>
      </c>
    </row>
    <row r="110">
      <c r="A110" s="27" t="s">
        <v>42</v>
      </c>
      <c r="B110" s="27" t="s">
        <v>370</v>
      </c>
      <c r="C110" s="27" t="s">
        <v>371</v>
      </c>
      <c r="D110" s="27" t="s">
        <v>372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644.5</f>
        <v>644.5</v>
      </c>
      <c r="L110" s="34" t="s">
        <v>48</v>
      </c>
      <c r="M110" s="33" t="n">
        <f>695.9</f>
        <v>695.9</v>
      </c>
      <c r="N110" s="34" t="s">
        <v>84</v>
      </c>
      <c r="O110" s="33" t="n">
        <f>644.5</f>
        <v>644.5</v>
      </c>
      <c r="P110" s="34" t="s">
        <v>48</v>
      </c>
      <c r="Q110" s="33" t="n">
        <f>675.6</f>
        <v>675.6</v>
      </c>
      <c r="R110" s="34" t="s">
        <v>50</v>
      </c>
      <c r="S110" s="35" t="n">
        <f>668.61</f>
        <v>668.61</v>
      </c>
      <c r="T110" s="32" t="n">
        <f>683210</f>
        <v>683210.0</v>
      </c>
      <c r="U110" s="32" t="n">
        <f>80410</f>
        <v>80410.0</v>
      </c>
      <c r="V110" s="32" t="n">
        <f>461205906</f>
        <v>4.61205906E8</v>
      </c>
      <c r="W110" s="32" t="n">
        <f>54375505</f>
        <v>5.4375505E7</v>
      </c>
      <c r="X110" s="36" t="n">
        <f>21</f>
        <v>21.0</v>
      </c>
    </row>
    <row r="111">
      <c r="A111" s="27" t="s">
        <v>42</v>
      </c>
      <c r="B111" s="27" t="s">
        <v>373</v>
      </c>
      <c r="C111" s="27" t="s">
        <v>374</v>
      </c>
      <c r="D111" s="27" t="s">
        <v>375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596.4</f>
        <v>596.4</v>
      </c>
      <c r="L111" s="34" t="s">
        <v>48</v>
      </c>
      <c r="M111" s="33" t="n">
        <f>647.3</f>
        <v>647.3</v>
      </c>
      <c r="N111" s="34" t="s">
        <v>49</v>
      </c>
      <c r="O111" s="33" t="n">
        <f>587.8</f>
        <v>587.8</v>
      </c>
      <c r="P111" s="34" t="s">
        <v>72</v>
      </c>
      <c r="Q111" s="33" t="n">
        <f>618.8</f>
        <v>618.8</v>
      </c>
      <c r="R111" s="34" t="s">
        <v>50</v>
      </c>
      <c r="S111" s="35" t="n">
        <f>617.94</f>
        <v>617.94</v>
      </c>
      <c r="T111" s="32" t="n">
        <f>100600520</f>
        <v>1.0060052E8</v>
      </c>
      <c r="U111" s="32" t="n">
        <f>21759720</f>
        <v>2.175972E7</v>
      </c>
      <c r="V111" s="32" t="n">
        <f>62539485461</f>
        <v>6.2539485461E10</v>
      </c>
      <c r="W111" s="32" t="n">
        <f>13549146505</f>
        <v>1.3549146505E10</v>
      </c>
      <c r="X111" s="36" t="n">
        <f>21</f>
        <v>21.0</v>
      </c>
    </row>
    <row r="112">
      <c r="A112" s="27" t="s">
        <v>42</v>
      </c>
      <c r="B112" s="27" t="s">
        <v>376</v>
      </c>
      <c r="C112" s="27" t="s">
        <v>377</v>
      </c>
      <c r="D112" s="27" t="s">
        <v>378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45310</f>
        <v>45310.0</v>
      </c>
      <c r="L112" s="34" t="s">
        <v>48</v>
      </c>
      <c r="M112" s="33" t="n">
        <f>46590</f>
        <v>46590.0</v>
      </c>
      <c r="N112" s="34" t="s">
        <v>200</v>
      </c>
      <c r="O112" s="33" t="n">
        <f>43500</f>
        <v>43500.0</v>
      </c>
      <c r="P112" s="34" t="s">
        <v>72</v>
      </c>
      <c r="Q112" s="33" t="n">
        <f>44810</f>
        <v>44810.0</v>
      </c>
      <c r="R112" s="34" t="s">
        <v>50</v>
      </c>
      <c r="S112" s="35" t="n">
        <f>45092.86</f>
        <v>45092.86</v>
      </c>
      <c r="T112" s="32" t="n">
        <f>12287</f>
        <v>12287.0</v>
      </c>
      <c r="U112" s="32" t="n">
        <f>3689</f>
        <v>3689.0</v>
      </c>
      <c r="V112" s="32" t="n">
        <f>556310614</f>
        <v>5.56310614E8</v>
      </c>
      <c r="W112" s="32" t="n">
        <f>168952014</f>
        <v>1.68952014E8</v>
      </c>
      <c r="X112" s="36" t="n">
        <f>21</f>
        <v>21.0</v>
      </c>
    </row>
    <row r="113">
      <c r="A113" s="27" t="s">
        <v>42</v>
      </c>
      <c r="B113" s="27" t="s">
        <v>379</v>
      </c>
      <c r="C113" s="27" t="s">
        <v>380</v>
      </c>
      <c r="D113" s="27" t="s">
        <v>381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40400</f>
        <v>40400.0</v>
      </c>
      <c r="L113" s="34" t="s">
        <v>48</v>
      </c>
      <c r="M113" s="33" t="n">
        <f>41750</f>
        <v>41750.0</v>
      </c>
      <c r="N113" s="34" t="s">
        <v>68</v>
      </c>
      <c r="O113" s="33" t="n">
        <f>34600</f>
        <v>34600.0</v>
      </c>
      <c r="P113" s="34" t="s">
        <v>72</v>
      </c>
      <c r="Q113" s="33" t="n">
        <f>36110</f>
        <v>36110.0</v>
      </c>
      <c r="R113" s="34" t="s">
        <v>50</v>
      </c>
      <c r="S113" s="35" t="n">
        <f>37992.38</f>
        <v>37992.38</v>
      </c>
      <c r="T113" s="32" t="n">
        <f>89750</f>
        <v>89750.0</v>
      </c>
      <c r="U113" s="32" t="n">
        <f>7993</f>
        <v>7993.0</v>
      </c>
      <c r="V113" s="32" t="n">
        <f>3465416438</f>
        <v>3.465416438E9</v>
      </c>
      <c r="W113" s="32" t="n">
        <f>310657218</f>
        <v>3.10657218E8</v>
      </c>
      <c r="X113" s="36" t="n">
        <f>21</f>
        <v>21.0</v>
      </c>
    </row>
    <row r="114">
      <c r="A114" s="27" t="s">
        <v>42</v>
      </c>
      <c r="B114" s="27" t="s">
        <v>382</v>
      </c>
      <c r="C114" s="27" t="s">
        <v>383</v>
      </c>
      <c r="D114" s="27" t="s">
        <v>384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47100</f>
        <v>47100.0</v>
      </c>
      <c r="L114" s="34" t="s">
        <v>48</v>
      </c>
      <c r="M114" s="33" t="n">
        <f>50090</f>
        <v>50090.0</v>
      </c>
      <c r="N114" s="34" t="s">
        <v>50</v>
      </c>
      <c r="O114" s="33" t="n">
        <f>46240</f>
        <v>46240.0</v>
      </c>
      <c r="P114" s="34" t="s">
        <v>220</v>
      </c>
      <c r="Q114" s="33" t="n">
        <f>48640</f>
        <v>48640.0</v>
      </c>
      <c r="R114" s="34" t="s">
        <v>50</v>
      </c>
      <c r="S114" s="35" t="n">
        <f>47514.29</f>
        <v>47514.29</v>
      </c>
      <c r="T114" s="32" t="n">
        <f>44050</f>
        <v>44050.0</v>
      </c>
      <c r="U114" s="32" t="n">
        <f>4887</f>
        <v>4887.0</v>
      </c>
      <c r="V114" s="32" t="n">
        <f>2120641623</f>
        <v>2.120641623E9</v>
      </c>
      <c r="W114" s="32" t="n">
        <f>236047953</f>
        <v>2.36047953E8</v>
      </c>
      <c r="X114" s="36" t="n">
        <f>21</f>
        <v>21.0</v>
      </c>
    </row>
    <row r="115">
      <c r="A115" s="27" t="s">
        <v>42</v>
      </c>
      <c r="B115" s="27" t="s">
        <v>385</v>
      </c>
      <c r="C115" s="27" t="s">
        <v>386</v>
      </c>
      <c r="D115" s="27" t="s">
        <v>387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34820</f>
        <v>34820.0</v>
      </c>
      <c r="L115" s="34" t="s">
        <v>48</v>
      </c>
      <c r="M115" s="33" t="n">
        <f>36780</f>
        <v>36780.0</v>
      </c>
      <c r="N115" s="34" t="s">
        <v>184</v>
      </c>
      <c r="O115" s="33" t="n">
        <f>34410</f>
        <v>34410.0</v>
      </c>
      <c r="P115" s="34" t="s">
        <v>48</v>
      </c>
      <c r="Q115" s="33" t="n">
        <f>35900</f>
        <v>35900.0</v>
      </c>
      <c r="R115" s="34" t="s">
        <v>50</v>
      </c>
      <c r="S115" s="35" t="n">
        <f>35643.33</f>
        <v>35643.33</v>
      </c>
      <c r="T115" s="32" t="n">
        <f>11672</f>
        <v>11672.0</v>
      </c>
      <c r="U115" s="32" t="n">
        <f>2049</f>
        <v>2049.0</v>
      </c>
      <c r="V115" s="32" t="n">
        <f>418618337</f>
        <v>4.18618337E8</v>
      </c>
      <c r="W115" s="32" t="n">
        <f>74059097</f>
        <v>7.4059097E7</v>
      </c>
      <c r="X115" s="36" t="n">
        <f>21</f>
        <v>21.0</v>
      </c>
    </row>
    <row r="116">
      <c r="A116" s="27" t="s">
        <v>42</v>
      </c>
      <c r="B116" s="27" t="s">
        <v>388</v>
      </c>
      <c r="C116" s="27" t="s">
        <v>389</v>
      </c>
      <c r="D116" s="27" t="s">
        <v>390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33260</f>
        <v>33260.0</v>
      </c>
      <c r="L116" s="34" t="s">
        <v>48</v>
      </c>
      <c r="M116" s="33" t="n">
        <f>34250</f>
        <v>34250.0</v>
      </c>
      <c r="N116" s="34" t="s">
        <v>73</v>
      </c>
      <c r="O116" s="33" t="n">
        <f>29735</f>
        <v>29735.0</v>
      </c>
      <c r="P116" s="34" t="s">
        <v>72</v>
      </c>
      <c r="Q116" s="33" t="n">
        <f>30400</f>
        <v>30400.0</v>
      </c>
      <c r="R116" s="34" t="s">
        <v>50</v>
      </c>
      <c r="S116" s="35" t="n">
        <f>32222.62</f>
        <v>32222.62</v>
      </c>
      <c r="T116" s="32" t="n">
        <f>41034</f>
        <v>41034.0</v>
      </c>
      <c r="U116" s="32" t="n">
        <f>16073</f>
        <v>16073.0</v>
      </c>
      <c r="V116" s="32" t="n">
        <f>1307382377</f>
        <v>1.307382377E9</v>
      </c>
      <c r="W116" s="32" t="n">
        <f>508542637</f>
        <v>5.08542637E8</v>
      </c>
      <c r="X116" s="36" t="n">
        <f>21</f>
        <v>21.0</v>
      </c>
    </row>
    <row r="117">
      <c r="A117" s="27" t="s">
        <v>42</v>
      </c>
      <c r="B117" s="27" t="s">
        <v>391</v>
      </c>
      <c r="C117" s="27" t="s">
        <v>392</v>
      </c>
      <c r="D117" s="27" t="s">
        <v>393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35480</f>
        <v>35480.0</v>
      </c>
      <c r="L117" s="34" t="s">
        <v>48</v>
      </c>
      <c r="M117" s="33" t="n">
        <f>36380</f>
        <v>36380.0</v>
      </c>
      <c r="N117" s="34" t="s">
        <v>143</v>
      </c>
      <c r="O117" s="33" t="n">
        <f>33080</f>
        <v>33080.0</v>
      </c>
      <c r="P117" s="34" t="s">
        <v>50</v>
      </c>
      <c r="Q117" s="33" t="n">
        <f>33230</f>
        <v>33230.0</v>
      </c>
      <c r="R117" s="34" t="s">
        <v>50</v>
      </c>
      <c r="S117" s="35" t="n">
        <f>34915.71</f>
        <v>34915.71</v>
      </c>
      <c r="T117" s="32" t="n">
        <f>9195</f>
        <v>9195.0</v>
      </c>
      <c r="U117" s="32" t="n">
        <f>175</f>
        <v>175.0</v>
      </c>
      <c r="V117" s="32" t="n">
        <f>319735695</f>
        <v>3.19735695E8</v>
      </c>
      <c r="W117" s="32" t="n">
        <f>6104445</f>
        <v>6104445.0</v>
      </c>
      <c r="X117" s="36" t="n">
        <f>21</f>
        <v>21.0</v>
      </c>
    </row>
    <row r="118">
      <c r="A118" s="27" t="s">
        <v>42</v>
      </c>
      <c r="B118" s="27" t="s">
        <v>394</v>
      </c>
      <c r="C118" s="27" t="s">
        <v>395</v>
      </c>
      <c r="D118" s="27" t="s">
        <v>396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60590</f>
        <v>60590.0</v>
      </c>
      <c r="L118" s="34" t="s">
        <v>48</v>
      </c>
      <c r="M118" s="33" t="n">
        <f>74200</f>
        <v>74200.0</v>
      </c>
      <c r="N118" s="34" t="s">
        <v>88</v>
      </c>
      <c r="O118" s="33" t="n">
        <f>59980</f>
        <v>59980.0</v>
      </c>
      <c r="P118" s="34" t="s">
        <v>73</v>
      </c>
      <c r="Q118" s="33" t="n">
        <f>70860</f>
        <v>70860.0</v>
      </c>
      <c r="R118" s="34" t="s">
        <v>50</v>
      </c>
      <c r="S118" s="35" t="n">
        <f>68907.62</f>
        <v>68907.62</v>
      </c>
      <c r="T118" s="32" t="n">
        <f>127964</f>
        <v>127964.0</v>
      </c>
      <c r="U118" s="32" t="n">
        <f>13052</f>
        <v>13052.0</v>
      </c>
      <c r="V118" s="32" t="n">
        <f>8855646356</f>
        <v>8.855646356E9</v>
      </c>
      <c r="W118" s="32" t="n">
        <f>929529956</f>
        <v>9.29529956E8</v>
      </c>
      <c r="X118" s="36" t="n">
        <f>21</f>
        <v>21.0</v>
      </c>
    </row>
    <row r="119">
      <c r="A119" s="27" t="s">
        <v>42</v>
      </c>
      <c r="B119" s="27" t="s">
        <v>397</v>
      </c>
      <c r="C119" s="27" t="s">
        <v>398</v>
      </c>
      <c r="D119" s="27" t="s">
        <v>399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82310</f>
        <v>82310.0</v>
      </c>
      <c r="L119" s="34" t="s">
        <v>48</v>
      </c>
      <c r="M119" s="33" t="n">
        <f>93430</f>
        <v>93430.0</v>
      </c>
      <c r="N119" s="34" t="s">
        <v>50</v>
      </c>
      <c r="O119" s="33" t="n">
        <f>82310</f>
        <v>82310.0</v>
      </c>
      <c r="P119" s="34" t="s">
        <v>48</v>
      </c>
      <c r="Q119" s="33" t="n">
        <f>90650</f>
        <v>90650.0</v>
      </c>
      <c r="R119" s="34" t="s">
        <v>50</v>
      </c>
      <c r="S119" s="35" t="n">
        <f>89181.9</f>
        <v>89181.9</v>
      </c>
      <c r="T119" s="32" t="n">
        <f>22644</f>
        <v>22644.0</v>
      </c>
      <c r="U119" s="32" t="n">
        <f>12356</f>
        <v>12356.0</v>
      </c>
      <c r="V119" s="32" t="n">
        <f>2051506019</f>
        <v>2.051506019E9</v>
      </c>
      <c r="W119" s="32" t="n">
        <f>1132266439</f>
        <v>1.132266439E9</v>
      </c>
      <c r="X119" s="36" t="n">
        <f>21</f>
        <v>21.0</v>
      </c>
    </row>
    <row r="120">
      <c r="A120" s="27" t="s">
        <v>42</v>
      </c>
      <c r="B120" s="27" t="s">
        <v>400</v>
      </c>
      <c r="C120" s="27" t="s">
        <v>401</v>
      </c>
      <c r="D120" s="27" t="s">
        <v>402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49700</f>
        <v>49700.0</v>
      </c>
      <c r="L120" s="34" t="s">
        <v>48</v>
      </c>
      <c r="M120" s="33" t="n">
        <f>58900</f>
        <v>58900.0</v>
      </c>
      <c r="N120" s="34" t="s">
        <v>50</v>
      </c>
      <c r="O120" s="33" t="n">
        <f>48930</f>
        <v>48930.0</v>
      </c>
      <c r="P120" s="34" t="s">
        <v>60</v>
      </c>
      <c r="Q120" s="33" t="n">
        <f>56360</f>
        <v>56360.0</v>
      </c>
      <c r="R120" s="34" t="s">
        <v>50</v>
      </c>
      <c r="S120" s="35" t="n">
        <f>54314.29</f>
        <v>54314.29</v>
      </c>
      <c r="T120" s="32" t="n">
        <f>20226</f>
        <v>20226.0</v>
      </c>
      <c r="U120" s="32" t="n">
        <f>4358</f>
        <v>4358.0</v>
      </c>
      <c r="V120" s="32" t="n">
        <f>1128290648</f>
        <v>1.128290648E9</v>
      </c>
      <c r="W120" s="32" t="n">
        <f>250994108</f>
        <v>2.50994108E8</v>
      </c>
      <c r="X120" s="36" t="n">
        <f>21</f>
        <v>21.0</v>
      </c>
    </row>
    <row r="121">
      <c r="A121" s="27" t="s">
        <v>42</v>
      </c>
      <c r="B121" s="27" t="s">
        <v>403</v>
      </c>
      <c r="C121" s="27" t="s">
        <v>404</v>
      </c>
      <c r="D121" s="27" t="s">
        <v>405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39210</f>
        <v>39210.0</v>
      </c>
      <c r="L121" s="34" t="s">
        <v>48</v>
      </c>
      <c r="M121" s="33" t="n">
        <f>41900</f>
        <v>41900.0</v>
      </c>
      <c r="N121" s="34" t="s">
        <v>144</v>
      </c>
      <c r="O121" s="33" t="n">
        <f>37770</f>
        <v>37770.0</v>
      </c>
      <c r="P121" s="34" t="s">
        <v>242</v>
      </c>
      <c r="Q121" s="33" t="n">
        <f>39670</f>
        <v>39670.0</v>
      </c>
      <c r="R121" s="34" t="s">
        <v>50</v>
      </c>
      <c r="S121" s="35" t="n">
        <f>39595.24</f>
        <v>39595.24</v>
      </c>
      <c r="T121" s="32" t="n">
        <f>19535</f>
        <v>19535.0</v>
      </c>
      <c r="U121" s="32" t="n">
        <f>202</f>
        <v>202.0</v>
      </c>
      <c r="V121" s="32" t="n">
        <f>783947982</f>
        <v>7.83947982E8</v>
      </c>
      <c r="W121" s="32" t="n">
        <f>8037862</f>
        <v>8037862.0</v>
      </c>
      <c r="X121" s="36" t="n">
        <f>21</f>
        <v>21.0</v>
      </c>
    </row>
    <row r="122">
      <c r="A122" s="27" t="s">
        <v>42</v>
      </c>
      <c r="B122" s="27" t="s">
        <v>406</v>
      </c>
      <c r="C122" s="27" t="s">
        <v>407</v>
      </c>
      <c r="D122" s="27" t="s">
        <v>408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13030</f>
        <v>13030.0</v>
      </c>
      <c r="L122" s="34" t="s">
        <v>48</v>
      </c>
      <c r="M122" s="33" t="n">
        <f>13400</f>
        <v>13400.0</v>
      </c>
      <c r="N122" s="34" t="s">
        <v>200</v>
      </c>
      <c r="O122" s="33" t="n">
        <f>11715</f>
        <v>11715.0</v>
      </c>
      <c r="P122" s="34" t="s">
        <v>144</v>
      </c>
      <c r="Q122" s="33" t="n">
        <f>11955</f>
        <v>11955.0</v>
      </c>
      <c r="R122" s="34" t="s">
        <v>50</v>
      </c>
      <c r="S122" s="35" t="n">
        <f>12495.48</f>
        <v>12495.48</v>
      </c>
      <c r="T122" s="32" t="n">
        <f>106208</f>
        <v>106208.0</v>
      </c>
      <c r="U122" s="32" t="n">
        <f>19202</f>
        <v>19202.0</v>
      </c>
      <c r="V122" s="32" t="n">
        <f>1322880871</f>
        <v>1.322880871E9</v>
      </c>
      <c r="W122" s="32" t="n">
        <f>242375291</f>
        <v>2.42375291E8</v>
      </c>
      <c r="X122" s="36" t="n">
        <f>21</f>
        <v>21.0</v>
      </c>
    </row>
    <row r="123">
      <c r="A123" s="27" t="s">
        <v>42</v>
      </c>
      <c r="B123" s="27" t="s">
        <v>409</v>
      </c>
      <c r="C123" s="27" t="s">
        <v>410</v>
      </c>
      <c r="D123" s="27" t="s">
        <v>411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21870</f>
        <v>21870.0</v>
      </c>
      <c r="L123" s="34" t="s">
        <v>48</v>
      </c>
      <c r="M123" s="33" t="n">
        <f>22555</f>
        <v>22555.0</v>
      </c>
      <c r="N123" s="34" t="s">
        <v>200</v>
      </c>
      <c r="O123" s="33" t="n">
        <f>20520</f>
        <v>20520.0</v>
      </c>
      <c r="P123" s="34" t="s">
        <v>50</v>
      </c>
      <c r="Q123" s="33" t="n">
        <f>20710</f>
        <v>20710.0</v>
      </c>
      <c r="R123" s="34" t="s">
        <v>50</v>
      </c>
      <c r="S123" s="35" t="n">
        <f>21741.19</f>
        <v>21741.19</v>
      </c>
      <c r="T123" s="32" t="n">
        <f>33781</f>
        <v>33781.0</v>
      </c>
      <c r="U123" s="32" t="n">
        <f>14138</f>
        <v>14138.0</v>
      </c>
      <c r="V123" s="32" t="n">
        <f>731599436</f>
        <v>7.31599436E8</v>
      </c>
      <c r="W123" s="32" t="n">
        <f>308537921</f>
        <v>3.08537921E8</v>
      </c>
      <c r="X123" s="36" t="n">
        <f>21</f>
        <v>21.0</v>
      </c>
    </row>
    <row r="124">
      <c r="A124" s="27" t="s">
        <v>42</v>
      </c>
      <c r="B124" s="27" t="s">
        <v>412</v>
      </c>
      <c r="C124" s="27" t="s">
        <v>413</v>
      </c>
      <c r="D124" s="27" t="s">
        <v>414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287</f>
        <v>287.0</v>
      </c>
      <c r="L124" s="34" t="s">
        <v>48</v>
      </c>
      <c r="M124" s="33" t="n">
        <f>310</f>
        <v>310.0</v>
      </c>
      <c r="N124" s="34" t="s">
        <v>200</v>
      </c>
      <c r="O124" s="33" t="n">
        <f>262.9</f>
        <v>262.9</v>
      </c>
      <c r="P124" s="34" t="s">
        <v>144</v>
      </c>
      <c r="Q124" s="33" t="n">
        <f>271.1</f>
        <v>271.1</v>
      </c>
      <c r="R124" s="34" t="s">
        <v>50</v>
      </c>
      <c r="S124" s="35" t="n">
        <f>278.72</f>
        <v>278.72</v>
      </c>
      <c r="T124" s="32" t="n">
        <f>19255950</f>
        <v>1.925595E7</v>
      </c>
      <c r="U124" s="32" t="n">
        <f>293180</f>
        <v>293180.0</v>
      </c>
      <c r="V124" s="32" t="n">
        <f>5334635062</f>
        <v>5.334635062E9</v>
      </c>
      <c r="W124" s="32" t="n">
        <f>81982894</f>
        <v>8.1982894E7</v>
      </c>
      <c r="X124" s="36" t="n">
        <f>21</f>
        <v>21.0</v>
      </c>
    </row>
    <row r="125">
      <c r="A125" s="27" t="s">
        <v>42</v>
      </c>
      <c r="B125" s="27" t="s">
        <v>415</v>
      </c>
      <c r="C125" s="27" t="s">
        <v>416</v>
      </c>
      <c r="D125" s="27" t="s">
        <v>417</v>
      </c>
      <c r="E125" s="28" t="s">
        <v>46</v>
      </c>
      <c r="F125" s="29" t="s">
        <v>46</v>
      </c>
      <c r="G125" s="30" t="s">
        <v>46</v>
      </c>
      <c r="H125" s="31"/>
      <c r="I125" s="31" t="s">
        <v>418</v>
      </c>
      <c r="J125" s="32" t="n">
        <v>1.0</v>
      </c>
      <c r="K125" s="33" t="n">
        <f>14090</f>
        <v>14090.0</v>
      </c>
      <c r="L125" s="34" t="s">
        <v>48</v>
      </c>
      <c r="M125" s="33" t="n">
        <f>16060</f>
        <v>16060.0</v>
      </c>
      <c r="N125" s="34" t="s">
        <v>72</v>
      </c>
      <c r="O125" s="33" t="n">
        <f>13500</f>
        <v>13500.0</v>
      </c>
      <c r="P125" s="34" t="s">
        <v>73</v>
      </c>
      <c r="Q125" s="33" t="n">
        <f>15910</f>
        <v>15910.0</v>
      </c>
      <c r="R125" s="34" t="s">
        <v>50</v>
      </c>
      <c r="S125" s="35" t="n">
        <f>14902.14</f>
        <v>14902.14</v>
      </c>
      <c r="T125" s="32" t="n">
        <f>17120</f>
        <v>17120.0</v>
      </c>
      <c r="U125" s="32" t="str">
        <f>"－"</f>
        <v>－</v>
      </c>
      <c r="V125" s="32" t="n">
        <f>254172725</f>
        <v>2.54172725E8</v>
      </c>
      <c r="W125" s="32" t="str">
        <f>"－"</f>
        <v>－</v>
      </c>
      <c r="X125" s="36" t="n">
        <f>21</f>
        <v>21.0</v>
      </c>
    </row>
    <row r="126">
      <c r="A126" s="27" t="s">
        <v>42</v>
      </c>
      <c r="B126" s="27" t="s">
        <v>419</v>
      </c>
      <c r="C126" s="27" t="s">
        <v>420</v>
      </c>
      <c r="D126" s="27" t="s">
        <v>421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37440</f>
        <v>37440.0</v>
      </c>
      <c r="L126" s="34" t="s">
        <v>48</v>
      </c>
      <c r="M126" s="33" t="n">
        <f>39550</f>
        <v>39550.0</v>
      </c>
      <c r="N126" s="34" t="s">
        <v>200</v>
      </c>
      <c r="O126" s="33" t="n">
        <f>35670</f>
        <v>35670.0</v>
      </c>
      <c r="P126" s="34" t="s">
        <v>72</v>
      </c>
      <c r="Q126" s="33" t="n">
        <f>35940</f>
        <v>35940.0</v>
      </c>
      <c r="R126" s="34" t="s">
        <v>50</v>
      </c>
      <c r="S126" s="35" t="n">
        <f>37319.52</f>
        <v>37319.52</v>
      </c>
      <c r="T126" s="32" t="n">
        <f>14885</f>
        <v>14885.0</v>
      </c>
      <c r="U126" s="32" t="n">
        <f>4502</f>
        <v>4502.0</v>
      </c>
      <c r="V126" s="32" t="n">
        <f>559342647</f>
        <v>5.59342647E8</v>
      </c>
      <c r="W126" s="32" t="n">
        <f>170163817</f>
        <v>1.70163817E8</v>
      </c>
      <c r="X126" s="36" t="n">
        <f>21</f>
        <v>21.0</v>
      </c>
    </row>
    <row r="127">
      <c r="A127" s="27" t="s">
        <v>42</v>
      </c>
      <c r="B127" s="27" t="s">
        <v>422</v>
      </c>
      <c r="C127" s="27" t="s">
        <v>423</v>
      </c>
      <c r="D127" s="27" t="s">
        <v>424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31250</f>
        <v>31250.0</v>
      </c>
      <c r="L127" s="34" t="s">
        <v>48</v>
      </c>
      <c r="M127" s="33" t="n">
        <f>36060</f>
        <v>36060.0</v>
      </c>
      <c r="N127" s="34" t="s">
        <v>49</v>
      </c>
      <c r="O127" s="33" t="n">
        <f>31250</f>
        <v>31250.0</v>
      </c>
      <c r="P127" s="34" t="s">
        <v>48</v>
      </c>
      <c r="Q127" s="33" t="n">
        <f>33160</f>
        <v>33160.0</v>
      </c>
      <c r="R127" s="34" t="s">
        <v>50</v>
      </c>
      <c r="S127" s="35" t="n">
        <f>33138.57</f>
        <v>33138.57</v>
      </c>
      <c r="T127" s="32" t="n">
        <f>322886</f>
        <v>322886.0</v>
      </c>
      <c r="U127" s="32" t="n">
        <f>217869</f>
        <v>217869.0</v>
      </c>
      <c r="V127" s="32" t="n">
        <f>10767778255</f>
        <v>1.0767778255E10</v>
      </c>
      <c r="W127" s="32" t="n">
        <f>7280080565</f>
        <v>7.280080565E9</v>
      </c>
      <c r="X127" s="36" t="n">
        <f>21</f>
        <v>21.0</v>
      </c>
    </row>
    <row r="128">
      <c r="A128" s="27" t="s">
        <v>42</v>
      </c>
      <c r="B128" s="27" t="s">
        <v>425</v>
      </c>
      <c r="C128" s="27" t="s">
        <v>426</v>
      </c>
      <c r="D128" s="27" t="s">
        <v>427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38500</f>
        <v>38500.0</v>
      </c>
      <c r="L128" s="34" t="s">
        <v>48</v>
      </c>
      <c r="M128" s="33" t="n">
        <f>39440</f>
        <v>39440.0</v>
      </c>
      <c r="N128" s="34" t="s">
        <v>200</v>
      </c>
      <c r="O128" s="33" t="n">
        <f>36610</f>
        <v>36610.0</v>
      </c>
      <c r="P128" s="34" t="s">
        <v>72</v>
      </c>
      <c r="Q128" s="33" t="n">
        <f>37650</f>
        <v>37650.0</v>
      </c>
      <c r="R128" s="34" t="s">
        <v>50</v>
      </c>
      <c r="S128" s="35" t="n">
        <f>37982.86</f>
        <v>37982.86</v>
      </c>
      <c r="T128" s="32" t="n">
        <f>33165</f>
        <v>33165.0</v>
      </c>
      <c r="U128" s="32" t="n">
        <f>14494</f>
        <v>14494.0</v>
      </c>
      <c r="V128" s="32" t="n">
        <f>1260823605</f>
        <v>1.260823605E9</v>
      </c>
      <c r="W128" s="32" t="n">
        <f>549377865</f>
        <v>5.49377865E8</v>
      </c>
      <c r="X128" s="36" t="n">
        <f>21</f>
        <v>21.0</v>
      </c>
    </row>
    <row r="129">
      <c r="A129" s="27" t="s">
        <v>42</v>
      </c>
      <c r="B129" s="27" t="s">
        <v>428</v>
      </c>
      <c r="C129" s="27" t="s">
        <v>429</v>
      </c>
      <c r="D129" s="27" t="s">
        <v>430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56370</f>
        <v>56370.0</v>
      </c>
      <c r="L129" s="34" t="s">
        <v>48</v>
      </c>
      <c r="M129" s="33" t="n">
        <f>60910</f>
        <v>60910.0</v>
      </c>
      <c r="N129" s="34" t="s">
        <v>143</v>
      </c>
      <c r="O129" s="33" t="n">
        <f>55490</f>
        <v>55490.0</v>
      </c>
      <c r="P129" s="34" t="s">
        <v>72</v>
      </c>
      <c r="Q129" s="33" t="n">
        <f>56390</f>
        <v>56390.0</v>
      </c>
      <c r="R129" s="34" t="s">
        <v>50</v>
      </c>
      <c r="S129" s="35" t="n">
        <f>57498.57</f>
        <v>57498.57</v>
      </c>
      <c r="T129" s="32" t="n">
        <f>23190</f>
        <v>23190.0</v>
      </c>
      <c r="U129" s="32" t="n">
        <f>9236</f>
        <v>9236.0</v>
      </c>
      <c r="V129" s="32" t="n">
        <f>1336056784</f>
        <v>1.336056784E9</v>
      </c>
      <c r="W129" s="32" t="n">
        <f>532192654</f>
        <v>5.32192654E8</v>
      </c>
      <c r="X129" s="36" t="n">
        <f>21</f>
        <v>21.0</v>
      </c>
    </row>
    <row r="130">
      <c r="A130" s="27" t="s">
        <v>42</v>
      </c>
      <c r="B130" s="27" t="s">
        <v>431</v>
      </c>
      <c r="C130" s="27" t="s">
        <v>432</v>
      </c>
      <c r="D130" s="27" t="s">
        <v>433</v>
      </c>
      <c r="E130" s="28" t="s">
        <v>46</v>
      </c>
      <c r="F130" s="29" t="s">
        <v>46</v>
      </c>
      <c r="G130" s="30" t="s">
        <v>46</v>
      </c>
      <c r="H130" s="31"/>
      <c r="I130" s="31" t="s">
        <v>418</v>
      </c>
      <c r="J130" s="32" t="n">
        <v>1.0</v>
      </c>
      <c r="K130" s="33" t="n">
        <f>14300</f>
        <v>14300.0</v>
      </c>
      <c r="L130" s="34" t="s">
        <v>48</v>
      </c>
      <c r="M130" s="33" t="n">
        <f>18145</f>
        <v>18145.0</v>
      </c>
      <c r="N130" s="34" t="s">
        <v>50</v>
      </c>
      <c r="O130" s="33" t="n">
        <f>13975</f>
        <v>13975.0</v>
      </c>
      <c r="P130" s="34" t="s">
        <v>48</v>
      </c>
      <c r="Q130" s="33" t="n">
        <f>16905</f>
        <v>16905.0</v>
      </c>
      <c r="R130" s="34" t="s">
        <v>50</v>
      </c>
      <c r="S130" s="35" t="n">
        <f>16000.48</f>
        <v>16000.48</v>
      </c>
      <c r="T130" s="32" t="n">
        <f>181104</f>
        <v>181104.0</v>
      </c>
      <c r="U130" s="32" t="n">
        <f>6250</f>
        <v>6250.0</v>
      </c>
      <c r="V130" s="32" t="n">
        <f>2971513915</f>
        <v>2.971513915E9</v>
      </c>
      <c r="W130" s="32" t="n">
        <f>104756250</f>
        <v>1.0475625E8</v>
      </c>
      <c r="X130" s="36" t="n">
        <f>21</f>
        <v>21.0</v>
      </c>
    </row>
    <row r="131">
      <c r="A131" s="27" t="s">
        <v>42</v>
      </c>
      <c r="B131" s="27" t="s">
        <v>434</v>
      </c>
      <c r="C131" s="27" t="s">
        <v>435</v>
      </c>
      <c r="D131" s="27" t="s">
        <v>436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3033</f>
        <v>3033.0</v>
      </c>
      <c r="L131" s="34" t="s">
        <v>48</v>
      </c>
      <c r="M131" s="33" t="n">
        <f>3152</f>
        <v>3152.0</v>
      </c>
      <c r="N131" s="34" t="s">
        <v>200</v>
      </c>
      <c r="O131" s="33" t="n">
        <f>2882</f>
        <v>2882.0</v>
      </c>
      <c r="P131" s="34" t="s">
        <v>72</v>
      </c>
      <c r="Q131" s="33" t="n">
        <f>2948</f>
        <v>2948.0</v>
      </c>
      <c r="R131" s="34" t="s">
        <v>50</v>
      </c>
      <c r="S131" s="35" t="n">
        <f>3014</f>
        <v>3014.0</v>
      </c>
      <c r="T131" s="32" t="n">
        <f>3916542</f>
        <v>3916542.0</v>
      </c>
      <c r="U131" s="32" t="n">
        <f>2682904</f>
        <v>2682904.0</v>
      </c>
      <c r="V131" s="32" t="n">
        <f>11791739315</f>
        <v>1.1791739315E10</v>
      </c>
      <c r="W131" s="32" t="n">
        <f>8112772581</f>
        <v>8.112772581E9</v>
      </c>
      <c r="X131" s="36" t="n">
        <f>21</f>
        <v>21.0</v>
      </c>
    </row>
    <row r="132">
      <c r="A132" s="27" t="s">
        <v>42</v>
      </c>
      <c r="B132" s="27" t="s">
        <v>437</v>
      </c>
      <c r="C132" s="27" t="s">
        <v>438</v>
      </c>
      <c r="D132" s="27" t="s">
        <v>439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4276</f>
        <v>4276.0</v>
      </c>
      <c r="L132" s="34" t="s">
        <v>48</v>
      </c>
      <c r="M132" s="33" t="n">
        <f>4609</f>
        <v>4609.0</v>
      </c>
      <c r="N132" s="34" t="s">
        <v>49</v>
      </c>
      <c r="O132" s="33" t="n">
        <f>4258</f>
        <v>4258.0</v>
      </c>
      <c r="P132" s="34" t="s">
        <v>73</v>
      </c>
      <c r="Q132" s="33" t="n">
        <f>4400</f>
        <v>4400.0</v>
      </c>
      <c r="R132" s="34" t="s">
        <v>50</v>
      </c>
      <c r="S132" s="35" t="n">
        <f>4420.06</f>
        <v>4420.06</v>
      </c>
      <c r="T132" s="32" t="n">
        <f>6610</f>
        <v>6610.0</v>
      </c>
      <c r="U132" s="32" t="str">
        <f>"－"</f>
        <v>－</v>
      </c>
      <c r="V132" s="32" t="n">
        <f>29329660</f>
        <v>2.932966E7</v>
      </c>
      <c r="W132" s="32" t="str">
        <f>"－"</f>
        <v>－</v>
      </c>
      <c r="X132" s="36" t="n">
        <f>17</f>
        <v>17.0</v>
      </c>
    </row>
    <row r="133">
      <c r="A133" s="27" t="s">
        <v>42</v>
      </c>
      <c r="B133" s="27" t="s">
        <v>440</v>
      </c>
      <c r="C133" s="27" t="s">
        <v>441</v>
      </c>
      <c r="D133" s="27" t="s">
        <v>442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4688</f>
        <v>4688.0</v>
      </c>
      <c r="L133" s="34" t="s">
        <v>68</v>
      </c>
      <c r="M133" s="33" t="n">
        <f>4895</f>
        <v>4895.0</v>
      </c>
      <c r="N133" s="34" t="s">
        <v>49</v>
      </c>
      <c r="O133" s="33" t="n">
        <f>4673</f>
        <v>4673.0</v>
      </c>
      <c r="P133" s="34" t="s">
        <v>220</v>
      </c>
      <c r="Q133" s="33" t="n">
        <f>4730</f>
        <v>4730.0</v>
      </c>
      <c r="R133" s="34" t="s">
        <v>50</v>
      </c>
      <c r="S133" s="35" t="n">
        <f>4796.15</f>
        <v>4796.15</v>
      </c>
      <c r="T133" s="32" t="n">
        <f>66190</f>
        <v>66190.0</v>
      </c>
      <c r="U133" s="32" t="n">
        <f>46200</f>
        <v>46200.0</v>
      </c>
      <c r="V133" s="32" t="n">
        <f>314158783</f>
        <v>3.14158783E8</v>
      </c>
      <c r="W133" s="32" t="n">
        <f>218208243</f>
        <v>2.18208243E8</v>
      </c>
      <c r="X133" s="36" t="n">
        <f>13</f>
        <v>13.0</v>
      </c>
    </row>
    <row r="134">
      <c r="A134" s="27" t="s">
        <v>42</v>
      </c>
      <c r="B134" s="27" t="s">
        <v>443</v>
      </c>
      <c r="C134" s="27" t="s">
        <v>444</v>
      </c>
      <c r="D134" s="27" t="s">
        <v>445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3001</f>
        <v>3001.0</v>
      </c>
      <c r="L134" s="34" t="s">
        <v>73</v>
      </c>
      <c r="M134" s="33" t="n">
        <f>3173</f>
        <v>3173.0</v>
      </c>
      <c r="N134" s="34" t="s">
        <v>49</v>
      </c>
      <c r="O134" s="33" t="n">
        <f>2982.5</f>
        <v>2982.5</v>
      </c>
      <c r="P134" s="34" t="s">
        <v>73</v>
      </c>
      <c r="Q134" s="33" t="n">
        <f>3076</f>
        <v>3076.0</v>
      </c>
      <c r="R134" s="34" t="s">
        <v>50</v>
      </c>
      <c r="S134" s="35" t="n">
        <f>3101.55</f>
        <v>3101.55</v>
      </c>
      <c r="T134" s="32" t="n">
        <f>83870</f>
        <v>83870.0</v>
      </c>
      <c r="U134" s="32" t="n">
        <f>61000</f>
        <v>61000.0</v>
      </c>
      <c r="V134" s="32" t="n">
        <f>260850340</f>
        <v>2.6085034E8</v>
      </c>
      <c r="W134" s="32" t="n">
        <f>190698810</f>
        <v>1.9069881E8</v>
      </c>
      <c r="X134" s="36" t="n">
        <f>10</f>
        <v>10.0</v>
      </c>
    </row>
    <row r="135">
      <c r="A135" s="27" t="s">
        <v>42</v>
      </c>
      <c r="B135" s="27" t="s">
        <v>446</v>
      </c>
      <c r="C135" s="27" t="s">
        <v>447</v>
      </c>
      <c r="D135" s="27" t="s">
        <v>448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10.0</v>
      </c>
      <c r="K135" s="33" t="n">
        <f>747.9</f>
        <v>747.9</v>
      </c>
      <c r="L135" s="34" t="s">
        <v>48</v>
      </c>
      <c r="M135" s="33" t="n">
        <f>828.5</f>
        <v>828.5</v>
      </c>
      <c r="N135" s="34" t="s">
        <v>50</v>
      </c>
      <c r="O135" s="33" t="n">
        <f>743.8</f>
        <v>743.8</v>
      </c>
      <c r="P135" s="34" t="s">
        <v>73</v>
      </c>
      <c r="Q135" s="33" t="n">
        <f>824.5</f>
        <v>824.5</v>
      </c>
      <c r="R135" s="34" t="s">
        <v>50</v>
      </c>
      <c r="S135" s="35" t="n">
        <f>791.7</f>
        <v>791.7</v>
      </c>
      <c r="T135" s="32" t="n">
        <f>34282100</f>
        <v>3.42821E7</v>
      </c>
      <c r="U135" s="32" t="n">
        <f>876810</f>
        <v>876810.0</v>
      </c>
      <c r="V135" s="32" t="n">
        <f>27072549990</f>
        <v>2.707254999E10</v>
      </c>
      <c r="W135" s="32" t="n">
        <f>714275145</f>
        <v>7.14275145E8</v>
      </c>
      <c r="X135" s="36" t="n">
        <f>21</f>
        <v>21.0</v>
      </c>
    </row>
    <row r="136">
      <c r="A136" s="27" t="s">
        <v>42</v>
      </c>
      <c r="B136" s="27" t="s">
        <v>449</v>
      </c>
      <c r="C136" s="27" t="s">
        <v>450</v>
      </c>
      <c r="D136" s="27" t="s">
        <v>451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10.0</v>
      </c>
      <c r="K136" s="33" t="n">
        <f>318.4</f>
        <v>318.4</v>
      </c>
      <c r="L136" s="34" t="s">
        <v>48</v>
      </c>
      <c r="M136" s="33" t="n">
        <f>321.5</f>
        <v>321.5</v>
      </c>
      <c r="N136" s="34" t="s">
        <v>200</v>
      </c>
      <c r="O136" s="33" t="n">
        <f>315.8</f>
        <v>315.8</v>
      </c>
      <c r="P136" s="34" t="s">
        <v>143</v>
      </c>
      <c r="Q136" s="33" t="n">
        <f>317.9</f>
        <v>317.9</v>
      </c>
      <c r="R136" s="34" t="s">
        <v>50</v>
      </c>
      <c r="S136" s="35" t="n">
        <f>317.98</f>
        <v>317.98</v>
      </c>
      <c r="T136" s="32" t="n">
        <f>12509570</f>
        <v>1.250957E7</v>
      </c>
      <c r="U136" s="32" t="n">
        <f>9462430</f>
        <v>9462430.0</v>
      </c>
      <c r="V136" s="32" t="n">
        <f>3979311319</f>
        <v>3.979311319E9</v>
      </c>
      <c r="W136" s="32" t="n">
        <f>3010967550</f>
        <v>3.01096755E9</v>
      </c>
      <c r="X136" s="36" t="n">
        <f>21</f>
        <v>21.0</v>
      </c>
    </row>
    <row r="137">
      <c r="A137" s="27" t="s">
        <v>42</v>
      </c>
      <c r="B137" s="27" t="s">
        <v>452</v>
      </c>
      <c r="C137" s="27" t="s">
        <v>453</v>
      </c>
      <c r="D137" s="27" t="s">
        <v>454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6327</f>
        <v>6327.0</v>
      </c>
      <c r="L137" s="34" t="s">
        <v>48</v>
      </c>
      <c r="M137" s="33" t="n">
        <f>6940</f>
        <v>6940.0</v>
      </c>
      <c r="N137" s="34" t="s">
        <v>88</v>
      </c>
      <c r="O137" s="33" t="n">
        <f>6295</f>
        <v>6295.0</v>
      </c>
      <c r="P137" s="34" t="s">
        <v>73</v>
      </c>
      <c r="Q137" s="33" t="n">
        <f>6863</f>
        <v>6863.0</v>
      </c>
      <c r="R137" s="34" t="s">
        <v>50</v>
      </c>
      <c r="S137" s="35" t="n">
        <f>6668.67</f>
        <v>6668.67</v>
      </c>
      <c r="T137" s="32" t="n">
        <f>59214</f>
        <v>59214.0</v>
      </c>
      <c r="U137" s="32" t="n">
        <f>3100</f>
        <v>3100.0</v>
      </c>
      <c r="V137" s="32" t="n">
        <f>394914707</f>
        <v>3.94914707E8</v>
      </c>
      <c r="W137" s="32" t="n">
        <f>20550892</f>
        <v>2.0550892E7</v>
      </c>
      <c r="X137" s="36" t="n">
        <f>21</f>
        <v>21.0</v>
      </c>
    </row>
    <row r="138">
      <c r="A138" s="27" t="s">
        <v>42</v>
      </c>
      <c r="B138" s="27" t="s">
        <v>455</v>
      </c>
      <c r="C138" s="27" t="s">
        <v>456</v>
      </c>
      <c r="D138" s="27" t="s">
        <v>457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3706</f>
        <v>3706.0</v>
      </c>
      <c r="L138" s="34" t="s">
        <v>48</v>
      </c>
      <c r="M138" s="33" t="n">
        <f>4225</f>
        <v>4225.0</v>
      </c>
      <c r="N138" s="34" t="s">
        <v>72</v>
      </c>
      <c r="O138" s="33" t="n">
        <f>3663</f>
        <v>3663.0</v>
      </c>
      <c r="P138" s="34" t="s">
        <v>73</v>
      </c>
      <c r="Q138" s="33" t="n">
        <f>4130</f>
        <v>4130.0</v>
      </c>
      <c r="R138" s="34" t="s">
        <v>50</v>
      </c>
      <c r="S138" s="35" t="n">
        <f>3997.33</f>
        <v>3997.33</v>
      </c>
      <c r="T138" s="32" t="n">
        <f>133763</f>
        <v>133763.0</v>
      </c>
      <c r="U138" s="32" t="n">
        <f>5954</f>
        <v>5954.0</v>
      </c>
      <c r="V138" s="32" t="n">
        <f>532718336</f>
        <v>5.32718336E8</v>
      </c>
      <c r="W138" s="32" t="n">
        <f>22392645</f>
        <v>2.2392645E7</v>
      </c>
      <c r="X138" s="36" t="n">
        <f>21</f>
        <v>21.0</v>
      </c>
    </row>
    <row r="139">
      <c r="A139" s="27" t="s">
        <v>42</v>
      </c>
      <c r="B139" s="27" t="s">
        <v>458</v>
      </c>
      <c r="C139" s="27" t="s">
        <v>459</v>
      </c>
      <c r="D139" s="27" t="s">
        <v>460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3492</f>
        <v>3492.0</v>
      </c>
      <c r="L139" s="34" t="s">
        <v>48</v>
      </c>
      <c r="M139" s="33" t="n">
        <f>3825</f>
        <v>3825.0</v>
      </c>
      <c r="N139" s="34" t="s">
        <v>80</v>
      </c>
      <c r="O139" s="33" t="n">
        <f>3488</f>
        <v>3488.0</v>
      </c>
      <c r="P139" s="34" t="s">
        <v>48</v>
      </c>
      <c r="Q139" s="33" t="n">
        <f>3759</f>
        <v>3759.0</v>
      </c>
      <c r="R139" s="34" t="s">
        <v>50</v>
      </c>
      <c r="S139" s="35" t="n">
        <f>3680.9</f>
        <v>3680.9</v>
      </c>
      <c r="T139" s="32" t="n">
        <f>195668</f>
        <v>195668.0</v>
      </c>
      <c r="U139" s="32" t="str">
        <f>"－"</f>
        <v>－</v>
      </c>
      <c r="V139" s="32" t="n">
        <f>717342808</f>
        <v>7.17342808E8</v>
      </c>
      <c r="W139" s="32" t="str">
        <f>"－"</f>
        <v>－</v>
      </c>
      <c r="X139" s="36" t="n">
        <f>21</f>
        <v>21.0</v>
      </c>
    </row>
    <row r="140">
      <c r="A140" s="27" t="s">
        <v>42</v>
      </c>
      <c r="B140" s="27" t="s">
        <v>461</v>
      </c>
      <c r="C140" s="27" t="s">
        <v>462</v>
      </c>
      <c r="D140" s="27" t="s">
        <v>463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11205</f>
        <v>11205.0</v>
      </c>
      <c r="L140" s="34" t="s">
        <v>48</v>
      </c>
      <c r="M140" s="33" t="n">
        <f>11685</f>
        <v>11685.0</v>
      </c>
      <c r="N140" s="34" t="s">
        <v>48</v>
      </c>
      <c r="O140" s="33" t="n">
        <f>10970</f>
        <v>10970.0</v>
      </c>
      <c r="P140" s="34" t="s">
        <v>50</v>
      </c>
      <c r="Q140" s="33" t="n">
        <f>11000</f>
        <v>11000.0</v>
      </c>
      <c r="R140" s="34" t="s">
        <v>50</v>
      </c>
      <c r="S140" s="35" t="n">
        <f>11183.57</f>
        <v>11183.57</v>
      </c>
      <c r="T140" s="32" t="n">
        <f>303997</f>
        <v>303997.0</v>
      </c>
      <c r="U140" s="32" t="n">
        <f>186804</f>
        <v>186804.0</v>
      </c>
      <c r="V140" s="32" t="n">
        <f>3398250616</f>
        <v>3.398250616E9</v>
      </c>
      <c r="W140" s="32" t="n">
        <f>2089374401</f>
        <v>2.089374401E9</v>
      </c>
      <c r="X140" s="36" t="n">
        <f>21</f>
        <v>21.0</v>
      </c>
    </row>
    <row r="141">
      <c r="A141" s="27" t="s">
        <v>42</v>
      </c>
      <c r="B141" s="27" t="s">
        <v>464</v>
      </c>
      <c r="C141" s="27" t="s">
        <v>465</v>
      </c>
      <c r="D141" s="27" t="s">
        <v>466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5093</f>
        <v>5093.0</v>
      </c>
      <c r="L141" s="34" t="s">
        <v>48</v>
      </c>
      <c r="M141" s="33" t="n">
        <f>6008</f>
        <v>6008.0</v>
      </c>
      <c r="N141" s="34" t="s">
        <v>50</v>
      </c>
      <c r="O141" s="33" t="n">
        <f>4678</f>
        <v>4678.0</v>
      </c>
      <c r="P141" s="34" t="s">
        <v>200</v>
      </c>
      <c r="Q141" s="33" t="n">
        <f>5976</f>
        <v>5976.0</v>
      </c>
      <c r="R141" s="34" t="s">
        <v>50</v>
      </c>
      <c r="S141" s="35" t="n">
        <f>5117.33</f>
        <v>5117.33</v>
      </c>
      <c r="T141" s="32" t="n">
        <f>24842669</f>
        <v>2.4842669E7</v>
      </c>
      <c r="U141" s="32" t="n">
        <f>52645</f>
        <v>52645.0</v>
      </c>
      <c r="V141" s="32" t="n">
        <f>127436138900</f>
        <v>1.274361389E11</v>
      </c>
      <c r="W141" s="32" t="n">
        <f>265743695</f>
        <v>2.65743695E8</v>
      </c>
      <c r="X141" s="36" t="n">
        <f>21</f>
        <v>21.0</v>
      </c>
    </row>
    <row r="142">
      <c r="A142" s="27" t="s">
        <v>42</v>
      </c>
      <c r="B142" s="27" t="s">
        <v>467</v>
      </c>
      <c r="C142" s="27" t="s">
        <v>468</v>
      </c>
      <c r="D142" s="27" t="s">
        <v>469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69070</f>
        <v>69070.0</v>
      </c>
      <c r="L142" s="34" t="s">
        <v>48</v>
      </c>
      <c r="M142" s="33" t="n">
        <f>71780</f>
        <v>71780.0</v>
      </c>
      <c r="N142" s="34" t="s">
        <v>88</v>
      </c>
      <c r="O142" s="33" t="n">
        <f>67500</f>
        <v>67500.0</v>
      </c>
      <c r="P142" s="34" t="s">
        <v>73</v>
      </c>
      <c r="Q142" s="33" t="n">
        <f>68100</f>
        <v>68100.0</v>
      </c>
      <c r="R142" s="34" t="s">
        <v>50</v>
      </c>
      <c r="S142" s="35" t="n">
        <f>69791.9</f>
        <v>69791.9</v>
      </c>
      <c r="T142" s="32" t="n">
        <f>15900</f>
        <v>15900.0</v>
      </c>
      <c r="U142" s="32" t="str">
        <f>"－"</f>
        <v>－</v>
      </c>
      <c r="V142" s="32" t="n">
        <f>1112409280</f>
        <v>1.11240928E9</v>
      </c>
      <c r="W142" s="32" t="str">
        <f>"－"</f>
        <v>－</v>
      </c>
      <c r="X142" s="36" t="n">
        <f>21</f>
        <v>21.0</v>
      </c>
    </row>
    <row r="143">
      <c r="A143" s="27" t="s">
        <v>42</v>
      </c>
      <c r="B143" s="27" t="s">
        <v>470</v>
      </c>
      <c r="C143" s="27" t="s">
        <v>471</v>
      </c>
      <c r="D143" s="27" t="s">
        <v>472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10.0</v>
      </c>
      <c r="K143" s="33" t="n">
        <f>10875</f>
        <v>10875.0</v>
      </c>
      <c r="L143" s="34" t="s">
        <v>48</v>
      </c>
      <c r="M143" s="33" t="n">
        <f>11690</f>
        <v>11690.0</v>
      </c>
      <c r="N143" s="34" t="s">
        <v>49</v>
      </c>
      <c r="O143" s="33" t="n">
        <f>10125</f>
        <v>10125.0</v>
      </c>
      <c r="P143" s="34" t="s">
        <v>73</v>
      </c>
      <c r="Q143" s="33" t="n">
        <f>10570</f>
        <v>10570.0</v>
      </c>
      <c r="R143" s="34" t="s">
        <v>50</v>
      </c>
      <c r="S143" s="35" t="n">
        <f>10959.76</f>
        <v>10959.76</v>
      </c>
      <c r="T143" s="32" t="n">
        <f>194830</f>
        <v>194830.0</v>
      </c>
      <c r="U143" s="32" t="str">
        <f>"－"</f>
        <v>－</v>
      </c>
      <c r="V143" s="32" t="n">
        <f>2140569100</f>
        <v>2.1405691E9</v>
      </c>
      <c r="W143" s="32" t="str">
        <f>"－"</f>
        <v>－</v>
      </c>
      <c r="X143" s="36" t="n">
        <f>21</f>
        <v>21.0</v>
      </c>
    </row>
    <row r="144">
      <c r="A144" s="27" t="s">
        <v>42</v>
      </c>
      <c r="B144" s="27" t="s">
        <v>473</v>
      </c>
      <c r="C144" s="27" t="s">
        <v>474</v>
      </c>
      <c r="D144" s="27" t="s">
        <v>475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28640</f>
        <v>28640.0</v>
      </c>
      <c r="L144" s="34" t="s">
        <v>48</v>
      </c>
      <c r="M144" s="33" t="n">
        <f>31150</f>
        <v>31150.0</v>
      </c>
      <c r="N144" s="34" t="s">
        <v>88</v>
      </c>
      <c r="O144" s="33" t="n">
        <f>27260</f>
        <v>27260.0</v>
      </c>
      <c r="P144" s="34" t="s">
        <v>73</v>
      </c>
      <c r="Q144" s="33" t="n">
        <f>28085</f>
        <v>28085.0</v>
      </c>
      <c r="R144" s="34" t="s">
        <v>50</v>
      </c>
      <c r="S144" s="35" t="n">
        <f>29383.33</f>
        <v>29383.33</v>
      </c>
      <c r="T144" s="32" t="n">
        <f>20172</f>
        <v>20172.0</v>
      </c>
      <c r="U144" s="32" t="str">
        <f>"－"</f>
        <v>－</v>
      </c>
      <c r="V144" s="32" t="n">
        <f>594135660</f>
        <v>5.9413566E8</v>
      </c>
      <c r="W144" s="32" t="str">
        <f>"－"</f>
        <v>－</v>
      </c>
      <c r="X144" s="36" t="n">
        <f>21</f>
        <v>21.0</v>
      </c>
    </row>
    <row r="145">
      <c r="A145" s="27" t="s">
        <v>42</v>
      </c>
      <c r="B145" s="27" t="s">
        <v>476</v>
      </c>
      <c r="C145" s="27" t="s">
        <v>477</v>
      </c>
      <c r="D145" s="27" t="s">
        <v>478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21675</f>
        <v>21675.0</v>
      </c>
      <c r="L145" s="34" t="s">
        <v>48</v>
      </c>
      <c r="M145" s="33" t="n">
        <f>23200</f>
        <v>23200.0</v>
      </c>
      <c r="N145" s="34" t="s">
        <v>88</v>
      </c>
      <c r="O145" s="33" t="n">
        <f>20850</f>
        <v>20850.0</v>
      </c>
      <c r="P145" s="34" t="s">
        <v>73</v>
      </c>
      <c r="Q145" s="33" t="n">
        <f>21395</f>
        <v>21395.0</v>
      </c>
      <c r="R145" s="34" t="s">
        <v>50</v>
      </c>
      <c r="S145" s="35" t="n">
        <f>22097.62</f>
        <v>22097.62</v>
      </c>
      <c r="T145" s="32" t="n">
        <f>4363</f>
        <v>4363.0</v>
      </c>
      <c r="U145" s="32" t="str">
        <f>"－"</f>
        <v>－</v>
      </c>
      <c r="V145" s="32" t="n">
        <f>96023250</f>
        <v>9.602325E7</v>
      </c>
      <c r="W145" s="32" t="str">
        <f>"－"</f>
        <v>－</v>
      </c>
      <c r="X145" s="36" t="n">
        <f>21</f>
        <v>21.0</v>
      </c>
    </row>
    <row r="146">
      <c r="A146" s="27" t="s">
        <v>42</v>
      </c>
      <c r="B146" s="27" t="s">
        <v>479</v>
      </c>
      <c r="C146" s="27" t="s">
        <v>480</v>
      </c>
      <c r="D146" s="27" t="s">
        <v>481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47200</f>
        <v>47200.0</v>
      </c>
      <c r="L146" s="34" t="s">
        <v>48</v>
      </c>
      <c r="M146" s="33" t="n">
        <f>49740</f>
        <v>49740.0</v>
      </c>
      <c r="N146" s="34" t="s">
        <v>49</v>
      </c>
      <c r="O146" s="33" t="n">
        <f>45030</f>
        <v>45030.0</v>
      </c>
      <c r="P146" s="34" t="s">
        <v>50</v>
      </c>
      <c r="Q146" s="33" t="n">
        <f>45940</f>
        <v>45940.0</v>
      </c>
      <c r="R146" s="34" t="s">
        <v>50</v>
      </c>
      <c r="S146" s="35" t="n">
        <f>47841.9</f>
        <v>47841.9</v>
      </c>
      <c r="T146" s="32" t="n">
        <f>2256</f>
        <v>2256.0</v>
      </c>
      <c r="U146" s="32" t="str">
        <f>"－"</f>
        <v>－</v>
      </c>
      <c r="V146" s="32" t="n">
        <f>107874240</f>
        <v>1.0787424E8</v>
      </c>
      <c r="W146" s="32" t="str">
        <f>"－"</f>
        <v>－</v>
      </c>
      <c r="X146" s="36" t="n">
        <f>21</f>
        <v>21.0</v>
      </c>
    </row>
    <row r="147">
      <c r="A147" s="27" t="s">
        <v>42</v>
      </c>
      <c r="B147" s="27" t="s">
        <v>482</v>
      </c>
      <c r="C147" s="27" t="s">
        <v>483</v>
      </c>
      <c r="D147" s="27" t="s">
        <v>484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60040</f>
        <v>60040.0</v>
      </c>
      <c r="L147" s="34" t="s">
        <v>48</v>
      </c>
      <c r="M147" s="33" t="n">
        <f>61150</f>
        <v>61150.0</v>
      </c>
      <c r="N147" s="34" t="s">
        <v>80</v>
      </c>
      <c r="O147" s="33" t="n">
        <f>60040</f>
        <v>60040.0</v>
      </c>
      <c r="P147" s="34" t="s">
        <v>48</v>
      </c>
      <c r="Q147" s="33" t="n">
        <f>60700</f>
        <v>60700.0</v>
      </c>
      <c r="R147" s="34" t="s">
        <v>50</v>
      </c>
      <c r="S147" s="35" t="n">
        <f>60707.14</f>
        <v>60707.14</v>
      </c>
      <c r="T147" s="32" t="n">
        <f>118840</f>
        <v>118840.0</v>
      </c>
      <c r="U147" s="32" t="n">
        <f>117490</f>
        <v>117490.0</v>
      </c>
      <c r="V147" s="32" t="n">
        <f>7228294930</f>
        <v>7.22829493E9</v>
      </c>
      <c r="W147" s="32" t="n">
        <f>7146336830</f>
        <v>7.14633683E9</v>
      </c>
      <c r="X147" s="36" t="n">
        <f>21</f>
        <v>21.0</v>
      </c>
    </row>
    <row r="148">
      <c r="A148" s="27" t="s">
        <v>42</v>
      </c>
      <c r="B148" s="27" t="s">
        <v>485</v>
      </c>
      <c r="C148" s="27" t="s">
        <v>486</v>
      </c>
      <c r="D148" s="27" t="s">
        <v>487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305</f>
        <v>305.0</v>
      </c>
      <c r="L148" s="34" t="s">
        <v>48</v>
      </c>
      <c r="M148" s="33" t="n">
        <f>330</f>
        <v>330.0</v>
      </c>
      <c r="N148" s="34" t="s">
        <v>67</v>
      </c>
      <c r="O148" s="33" t="n">
        <f>298</f>
        <v>298.0</v>
      </c>
      <c r="P148" s="34" t="s">
        <v>73</v>
      </c>
      <c r="Q148" s="33" t="n">
        <f>313.7</f>
        <v>313.7</v>
      </c>
      <c r="R148" s="34" t="s">
        <v>50</v>
      </c>
      <c r="S148" s="35" t="n">
        <f>317.4</f>
        <v>317.4</v>
      </c>
      <c r="T148" s="32" t="n">
        <f>13786890</f>
        <v>1.378689E7</v>
      </c>
      <c r="U148" s="32" t="n">
        <f>850610</f>
        <v>850610.0</v>
      </c>
      <c r="V148" s="32" t="n">
        <f>4351937589</f>
        <v>4.351937589E9</v>
      </c>
      <c r="W148" s="32" t="n">
        <f>269730855</f>
        <v>2.69730855E8</v>
      </c>
      <c r="X148" s="36" t="n">
        <f>21</f>
        <v>21.0</v>
      </c>
    </row>
    <row r="149">
      <c r="A149" s="27" t="s">
        <v>42</v>
      </c>
      <c r="B149" s="27" t="s">
        <v>488</v>
      </c>
      <c r="C149" s="27" t="s">
        <v>489</v>
      </c>
      <c r="D149" s="27" t="s">
        <v>490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59730</f>
        <v>59730.0</v>
      </c>
      <c r="L149" s="34" t="s">
        <v>68</v>
      </c>
      <c r="M149" s="33" t="n">
        <f>64000</f>
        <v>64000.0</v>
      </c>
      <c r="N149" s="34" t="s">
        <v>207</v>
      </c>
      <c r="O149" s="33" t="n">
        <f>59730</f>
        <v>59730.0</v>
      </c>
      <c r="P149" s="34" t="s">
        <v>68</v>
      </c>
      <c r="Q149" s="33" t="n">
        <f>64000</f>
        <v>64000.0</v>
      </c>
      <c r="R149" s="34" t="s">
        <v>207</v>
      </c>
      <c r="S149" s="35" t="n">
        <f>62187</f>
        <v>62187.0</v>
      </c>
      <c r="T149" s="32" t="n">
        <f>600</f>
        <v>600.0</v>
      </c>
      <c r="U149" s="32" t="n">
        <f>20</f>
        <v>20.0</v>
      </c>
      <c r="V149" s="32" t="n">
        <f>37574600</f>
        <v>3.75746E7</v>
      </c>
      <c r="W149" s="32" t="n">
        <f>1274600</f>
        <v>1274600.0</v>
      </c>
      <c r="X149" s="36" t="n">
        <f>10</f>
        <v>10.0</v>
      </c>
    </row>
    <row r="150">
      <c r="A150" s="27" t="s">
        <v>42</v>
      </c>
      <c r="B150" s="27" t="s">
        <v>491</v>
      </c>
      <c r="C150" s="27" t="s">
        <v>492</v>
      </c>
      <c r="D150" s="27" t="s">
        <v>493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7197</f>
        <v>7197.0</v>
      </c>
      <c r="L150" s="34" t="s">
        <v>48</v>
      </c>
      <c r="M150" s="33" t="n">
        <f>7859</f>
        <v>7859.0</v>
      </c>
      <c r="N150" s="34" t="s">
        <v>50</v>
      </c>
      <c r="O150" s="33" t="n">
        <f>7160</f>
        <v>7160.0</v>
      </c>
      <c r="P150" s="34" t="s">
        <v>73</v>
      </c>
      <c r="Q150" s="33" t="n">
        <f>7826</f>
        <v>7826.0</v>
      </c>
      <c r="R150" s="34" t="s">
        <v>50</v>
      </c>
      <c r="S150" s="35" t="n">
        <f>7598.48</f>
        <v>7598.48</v>
      </c>
      <c r="T150" s="32" t="n">
        <f>55846</f>
        <v>55846.0</v>
      </c>
      <c r="U150" s="32" t="n">
        <f>1892</f>
        <v>1892.0</v>
      </c>
      <c r="V150" s="32" t="n">
        <f>421217405</f>
        <v>4.21217405E8</v>
      </c>
      <c r="W150" s="32" t="n">
        <f>14453862</f>
        <v>1.4453862E7</v>
      </c>
      <c r="X150" s="36" t="n">
        <f>21</f>
        <v>21.0</v>
      </c>
    </row>
    <row r="151">
      <c r="A151" s="27" t="s">
        <v>42</v>
      </c>
      <c r="B151" s="27" t="s">
        <v>494</v>
      </c>
      <c r="C151" s="27" t="s">
        <v>495</v>
      </c>
      <c r="D151" s="27" t="s">
        <v>496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2863</f>
        <v>2863.0</v>
      </c>
      <c r="L151" s="34" t="s">
        <v>48</v>
      </c>
      <c r="M151" s="33" t="n">
        <f>3250</f>
        <v>3250.0</v>
      </c>
      <c r="N151" s="34" t="s">
        <v>207</v>
      </c>
      <c r="O151" s="33" t="n">
        <f>2813</f>
        <v>2813.0</v>
      </c>
      <c r="P151" s="34" t="s">
        <v>68</v>
      </c>
      <c r="Q151" s="33" t="n">
        <f>3165</f>
        <v>3165.0</v>
      </c>
      <c r="R151" s="34" t="s">
        <v>50</v>
      </c>
      <c r="S151" s="35" t="n">
        <f>3068.29</f>
        <v>3068.29</v>
      </c>
      <c r="T151" s="32" t="n">
        <f>212412</f>
        <v>212412.0</v>
      </c>
      <c r="U151" s="32" t="n">
        <f>48930</f>
        <v>48930.0</v>
      </c>
      <c r="V151" s="32" t="n">
        <f>663260749</f>
        <v>6.63260749E8</v>
      </c>
      <c r="W151" s="32" t="n">
        <f>156254885</f>
        <v>1.56254885E8</v>
      </c>
      <c r="X151" s="36" t="n">
        <f>21</f>
        <v>21.0</v>
      </c>
    </row>
    <row r="152">
      <c r="A152" s="27" t="s">
        <v>42</v>
      </c>
      <c r="B152" s="27" t="s">
        <v>497</v>
      </c>
      <c r="C152" s="27" t="s">
        <v>498</v>
      </c>
      <c r="D152" s="27" t="s">
        <v>499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2623</f>
        <v>2623.0</v>
      </c>
      <c r="L152" s="34" t="s">
        <v>48</v>
      </c>
      <c r="M152" s="33" t="n">
        <f>2745</f>
        <v>2745.0</v>
      </c>
      <c r="N152" s="34" t="s">
        <v>68</v>
      </c>
      <c r="O152" s="33" t="n">
        <f>2275.5</f>
        <v>2275.5</v>
      </c>
      <c r="P152" s="34" t="s">
        <v>200</v>
      </c>
      <c r="Q152" s="33" t="n">
        <f>2600</f>
        <v>2600.0</v>
      </c>
      <c r="R152" s="34" t="s">
        <v>50</v>
      </c>
      <c r="S152" s="35" t="n">
        <f>2521.74</f>
        <v>2521.74</v>
      </c>
      <c r="T152" s="32" t="n">
        <f>13360</f>
        <v>13360.0</v>
      </c>
      <c r="U152" s="32" t="str">
        <f>"－"</f>
        <v>－</v>
      </c>
      <c r="V152" s="32" t="n">
        <f>33465535</f>
        <v>3.3465535E7</v>
      </c>
      <c r="W152" s="32" t="str">
        <f>"－"</f>
        <v>－</v>
      </c>
      <c r="X152" s="36" t="n">
        <f>21</f>
        <v>21.0</v>
      </c>
    </row>
    <row r="153">
      <c r="A153" s="27" t="s">
        <v>42</v>
      </c>
      <c r="B153" s="27" t="s">
        <v>500</v>
      </c>
      <c r="C153" s="27" t="s">
        <v>501</v>
      </c>
      <c r="D153" s="27" t="s">
        <v>502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799.1</f>
        <v>799.1</v>
      </c>
      <c r="L153" s="34" t="s">
        <v>48</v>
      </c>
      <c r="M153" s="33" t="n">
        <f>913.7</f>
        <v>913.7</v>
      </c>
      <c r="N153" s="34" t="s">
        <v>50</v>
      </c>
      <c r="O153" s="33" t="n">
        <f>731</f>
        <v>731.0</v>
      </c>
      <c r="P153" s="34" t="s">
        <v>200</v>
      </c>
      <c r="Q153" s="33" t="n">
        <f>913.7</f>
        <v>913.7</v>
      </c>
      <c r="R153" s="34" t="s">
        <v>50</v>
      </c>
      <c r="S153" s="35" t="n">
        <f>805.29</f>
        <v>805.29</v>
      </c>
      <c r="T153" s="32" t="n">
        <f>264970</f>
        <v>264970.0</v>
      </c>
      <c r="U153" s="32" t="str">
        <f>"－"</f>
        <v>－</v>
      </c>
      <c r="V153" s="32" t="n">
        <f>212253117</f>
        <v>2.12253117E8</v>
      </c>
      <c r="W153" s="32" t="str">
        <f>"－"</f>
        <v>－</v>
      </c>
      <c r="X153" s="36" t="n">
        <f>21</f>
        <v>21.0</v>
      </c>
    </row>
    <row r="154">
      <c r="A154" s="27" t="s">
        <v>42</v>
      </c>
      <c r="B154" s="27" t="s">
        <v>503</v>
      </c>
      <c r="C154" s="27" t="s">
        <v>504</v>
      </c>
      <c r="D154" s="27" t="s">
        <v>505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2881</f>
        <v>2881.0</v>
      </c>
      <c r="L154" s="34" t="s">
        <v>48</v>
      </c>
      <c r="M154" s="33" t="n">
        <f>3571</f>
        <v>3571.0</v>
      </c>
      <c r="N154" s="34" t="s">
        <v>144</v>
      </c>
      <c r="O154" s="33" t="n">
        <f>2806.5</f>
        <v>2806.5</v>
      </c>
      <c r="P154" s="34" t="s">
        <v>48</v>
      </c>
      <c r="Q154" s="33" t="n">
        <f>3065</f>
        <v>3065.0</v>
      </c>
      <c r="R154" s="34" t="s">
        <v>50</v>
      </c>
      <c r="S154" s="35" t="n">
        <f>2973.17</f>
        <v>2973.17</v>
      </c>
      <c r="T154" s="32" t="n">
        <f>7660</f>
        <v>7660.0</v>
      </c>
      <c r="U154" s="32" t="str">
        <f>"－"</f>
        <v>－</v>
      </c>
      <c r="V154" s="32" t="n">
        <f>23588450</f>
        <v>2.358845E7</v>
      </c>
      <c r="W154" s="32" t="str">
        <f>"－"</f>
        <v>－</v>
      </c>
      <c r="X154" s="36" t="n">
        <f>21</f>
        <v>21.0</v>
      </c>
    </row>
    <row r="155">
      <c r="A155" s="27" t="s">
        <v>42</v>
      </c>
      <c r="B155" s="27" t="s">
        <v>506</v>
      </c>
      <c r="C155" s="27" t="s">
        <v>507</v>
      </c>
      <c r="D155" s="27" t="s">
        <v>508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1011</f>
        <v>1011.0</v>
      </c>
      <c r="L155" s="34" t="s">
        <v>48</v>
      </c>
      <c r="M155" s="33" t="n">
        <f>1058</f>
        <v>1058.0</v>
      </c>
      <c r="N155" s="34" t="s">
        <v>50</v>
      </c>
      <c r="O155" s="33" t="n">
        <f>935</f>
        <v>935.0</v>
      </c>
      <c r="P155" s="34" t="s">
        <v>200</v>
      </c>
      <c r="Q155" s="33" t="n">
        <f>1043.5</f>
        <v>1043.5</v>
      </c>
      <c r="R155" s="34" t="s">
        <v>50</v>
      </c>
      <c r="S155" s="35" t="n">
        <f>996.28</f>
        <v>996.28</v>
      </c>
      <c r="T155" s="32" t="n">
        <f>444410</f>
        <v>444410.0</v>
      </c>
      <c r="U155" s="32" t="str">
        <f>"－"</f>
        <v>－</v>
      </c>
      <c r="V155" s="32" t="n">
        <f>442289831</f>
        <v>4.42289831E8</v>
      </c>
      <c r="W155" s="32" t="str">
        <f>"－"</f>
        <v>－</v>
      </c>
      <c r="X155" s="36" t="n">
        <f>21</f>
        <v>21.0</v>
      </c>
    </row>
    <row r="156">
      <c r="A156" s="27" t="s">
        <v>42</v>
      </c>
      <c r="B156" s="27" t="s">
        <v>509</v>
      </c>
      <c r="C156" s="27" t="s">
        <v>510</v>
      </c>
      <c r="D156" s="27" t="s">
        <v>511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573.5</f>
        <v>573.5</v>
      </c>
      <c r="L156" s="34" t="s">
        <v>48</v>
      </c>
      <c r="M156" s="33" t="n">
        <f>600</f>
        <v>600.0</v>
      </c>
      <c r="N156" s="34" t="s">
        <v>50</v>
      </c>
      <c r="O156" s="33" t="n">
        <f>543.1</f>
        <v>543.1</v>
      </c>
      <c r="P156" s="34" t="s">
        <v>143</v>
      </c>
      <c r="Q156" s="33" t="n">
        <f>599</f>
        <v>599.0</v>
      </c>
      <c r="R156" s="34" t="s">
        <v>50</v>
      </c>
      <c r="S156" s="35" t="n">
        <f>569.51</f>
        <v>569.51</v>
      </c>
      <c r="T156" s="32" t="n">
        <f>1184300</f>
        <v>1184300.0</v>
      </c>
      <c r="U156" s="32" t="str">
        <f>"－"</f>
        <v>－</v>
      </c>
      <c r="V156" s="32" t="n">
        <f>671366336</f>
        <v>6.71366336E8</v>
      </c>
      <c r="W156" s="32" t="str">
        <f>"－"</f>
        <v>－</v>
      </c>
      <c r="X156" s="36" t="n">
        <f>21</f>
        <v>21.0</v>
      </c>
    </row>
    <row r="157">
      <c r="A157" s="27" t="s">
        <v>42</v>
      </c>
      <c r="B157" s="27" t="s">
        <v>512</v>
      </c>
      <c r="C157" s="27" t="s">
        <v>513</v>
      </c>
      <c r="D157" s="27" t="s">
        <v>514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900</f>
        <v>900.0</v>
      </c>
      <c r="L157" s="34" t="s">
        <v>48</v>
      </c>
      <c r="M157" s="33" t="n">
        <f>912</f>
        <v>912.0</v>
      </c>
      <c r="N157" s="34" t="s">
        <v>48</v>
      </c>
      <c r="O157" s="33" t="n">
        <f>798</f>
        <v>798.0</v>
      </c>
      <c r="P157" s="34" t="s">
        <v>50</v>
      </c>
      <c r="Q157" s="33" t="n">
        <f>799</f>
        <v>799.0</v>
      </c>
      <c r="R157" s="34" t="s">
        <v>50</v>
      </c>
      <c r="S157" s="35" t="n">
        <f>844.86</f>
        <v>844.86</v>
      </c>
      <c r="T157" s="32" t="n">
        <f>2194121</f>
        <v>2194121.0</v>
      </c>
      <c r="U157" s="32" t="str">
        <f>"－"</f>
        <v>－</v>
      </c>
      <c r="V157" s="32" t="n">
        <f>1856512670</f>
        <v>1.85651267E9</v>
      </c>
      <c r="W157" s="32" t="str">
        <f>"－"</f>
        <v>－</v>
      </c>
      <c r="X157" s="36" t="n">
        <f>21</f>
        <v>21.0</v>
      </c>
    </row>
    <row r="158">
      <c r="A158" s="27" t="s">
        <v>42</v>
      </c>
      <c r="B158" s="27" t="s">
        <v>515</v>
      </c>
      <c r="C158" s="27" t="s">
        <v>516</v>
      </c>
      <c r="D158" s="27" t="s">
        <v>517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2317</f>
        <v>2317.0</v>
      </c>
      <c r="L158" s="34" t="s">
        <v>48</v>
      </c>
      <c r="M158" s="33" t="n">
        <f>2661.5</f>
        <v>2661.5</v>
      </c>
      <c r="N158" s="34" t="s">
        <v>50</v>
      </c>
      <c r="O158" s="33" t="n">
        <f>2073</f>
        <v>2073.0</v>
      </c>
      <c r="P158" s="34" t="s">
        <v>200</v>
      </c>
      <c r="Q158" s="33" t="n">
        <f>2660.5</f>
        <v>2660.5</v>
      </c>
      <c r="R158" s="34" t="s">
        <v>50</v>
      </c>
      <c r="S158" s="35" t="n">
        <f>2293.05</f>
        <v>2293.05</v>
      </c>
      <c r="T158" s="32" t="n">
        <f>660180</f>
        <v>660180.0</v>
      </c>
      <c r="U158" s="32" t="str">
        <f>"－"</f>
        <v>－</v>
      </c>
      <c r="V158" s="32" t="n">
        <f>1508726465</f>
        <v>1.508726465E9</v>
      </c>
      <c r="W158" s="32" t="str">
        <f>"－"</f>
        <v>－</v>
      </c>
      <c r="X158" s="36" t="n">
        <f>21</f>
        <v>21.0</v>
      </c>
    </row>
    <row r="159">
      <c r="A159" s="27" t="s">
        <v>42</v>
      </c>
      <c r="B159" s="27" t="s">
        <v>518</v>
      </c>
      <c r="C159" s="27" t="s">
        <v>519</v>
      </c>
      <c r="D159" s="27" t="s">
        <v>520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12750</f>
        <v>12750.0</v>
      </c>
      <c r="L159" s="34" t="s">
        <v>48</v>
      </c>
      <c r="M159" s="33" t="n">
        <f>15510</f>
        <v>15510.0</v>
      </c>
      <c r="N159" s="34" t="s">
        <v>50</v>
      </c>
      <c r="O159" s="33" t="n">
        <f>11640</f>
        <v>11640.0</v>
      </c>
      <c r="P159" s="34" t="s">
        <v>200</v>
      </c>
      <c r="Q159" s="33" t="n">
        <f>15260</f>
        <v>15260.0</v>
      </c>
      <c r="R159" s="34" t="s">
        <v>50</v>
      </c>
      <c r="S159" s="35" t="n">
        <f>13137.62</f>
        <v>13137.62</v>
      </c>
      <c r="T159" s="32" t="n">
        <f>21196</f>
        <v>21196.0</v>
      </c>
      <c r="U159" s="32" t="str">
        <f>"－"</f>
        <v>－</v>
      </c>
      <c r="V159" s="32" t="n">
        <f>275580675</f>
        <v>2.75580675E8</v>
      </c>
      <c r="W159" s="32" t="str">
        <f>"－"</f>
        <v>－</v>
      </c>
      <c r="X159" s="36" t="n">
        <f>21</f>
        <v>21.0</v>
      </c>
    </row>
    <row r="160">
      <c r="A160" s="27" t="s">
        <v>42</v>
      </c>
      <c r="B160" s="27" t="s">
        <v>521</v>
      </c>
      <c r="C160" s="27" t="s">
        <v>522</v>
      </c>
      <c r="D160" s="27" t="s">
        <v>523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100.0</v>
      </c>
      <c r="K160" s="33" t="n">
        <f>728</f>
        <v>728.0</v>
      </c>
      <c r="L160" s="34" t="s">
        <v>48</v>
      </c>
      <c r="M160" s="33" t="n">
        <f>800</f>
        <v>800.0</v>
      </c>
      <c r="N160" s="34" t="s">
        <v>144</v>
      </c>
      <c r="O160" s="33" t="n">
        <f>706</f>
        <v>706.0</v>
      </c>
      <c r="P160" s="34" t="s">
        <v>200</v>
      </c>
      <c r="Q160" s="33" t="n">
        <f>741</f>
        <v>741.0</v>
      </c>
      <c r="R160" s="34" t="s">
        <v>50</v>
      </c>
      <c r="S160" s="35" t="n">
        <f>747.82</f>
        <v>747.82</v>
      </c>
      <c r="T160" s="32" t="n">
        <f>341000</f>
        <v>341000.0</v>
      </c>
      <c r="U160" s="32" t="str">
        <f>"－"</f>
        <v>－</v>
      </c>
      <c r="V160" s="32" t="n">
        <f>255651100</f>
        <v>2.556511E8</v>
      </c>
      <c r="W160" s="32" t="str">
        <f>"－"</f>
        <v>－</v>
      </c>
      <c r="X160" s="36" t="n">
        <f>21</f>
        <v>21.0</v>
      </c>
    </row>
    <row r="161">
      <c r="A161" s="27" t="s">
        <v>42</v>
      </c>
      <c r="B161" s="27" t="s">
        <v>524</v>
      </c>
      <c r="C161" s="27" t="s">
        <v>525</v>
      </c>
      <c r="D161" s="27" t="s">
        <v>526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7782</f>
        <v>7782.0</v>
      </c>
      <c r="L161" s="34" t="s">
        <v>48</v>
      </c>
      <c r="M161" s="33" t="n">
        <f>8530</f>
        <v>8530.0</v>
      </c>
      <c r="N161" s="34" t="s">
        <v>144</v>
      </c>
      <c r="O161" s="33" t="n">
        <f>7494</f>
        <v>7494.0</v>
      </c>
      <c r="P161" s="34" t="s">
        <v>48</v>
      </c>
      <c r="Q161" s="33" t="n">
        <f>8233</f>
        <v>8233.0</v>
      </c>
      <c r="R161" s="34" t="s">
        <v>50</v>
      </c>
      <c r="S161" s="35" t="n">
        <f>8159.52</f>
        <v>8159.52</v>
      </c>
      <c r="T161" s="32" t="n">
        <f>353490</f>
        <v>353490.0</v>
      </c>
      <c r="U161" s="32" t="str">
        <f>"－"</f>
        <v>－</v>
      </c>
      <c r="V161" s="32" t="n">
        <f>2886148810</f>
        <v>2.88614881E9</v>
      </c>
      <c r="W161" s="32" t="str">
        <f>"－"</f>
        <v>－</v>
      </c>
      <c r="X161" s="36" t="n">
        <f>21</f>
        <v>21.0</v>
      </c>
    </row>
    <row r="162">
      <c r="A162" s="27" t="s">
        <v>42</v>
      </c>
      <c r="B162" s="27" t="s">
        <v>527</v>
      </c>
      <c r="C162" s="27" t="s">
        <v>528</v>
      </c>
      <c r="D162" s="27" t="s">
        <v>529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2400</f>
        <v>2400.0</v>
      </c>
      <c r="L162" s="34" t="s">
        <v>48</v>
      </c>
      <c r="M162" s="33" t="n">
        <f>2749.5</f>
        <v>2749.5</v>
      </c>
      <c r="N162" s="34" t="s">
        <v>50</v>
      </c>
      <c r="O162" s="33" t="n">
        <f>2345</f>
        <v>2345.0</v>
      </c>
      <c r="P162" s="34" t="s">
        <v>143</v>
      </c>
      <c r="Q162" s="33" t="n">
        <f>2705.5</f>
        <v>2705.5</v>
      </c>
      <c r="R162" s="34" t="s">
        <v>50</v>
      </c>
      <c r="S162" s="35" t="n">
        <f>2498.64</f>
        <v>2498.64</v>
      </c>
      <c r="T162" s="32" t="n">
        <f>16690</f>
        <v>16690.0</v>
      </c>
      <c r="U162" s="32" t="str">
        <f>"－"</f>
        <v>－</v>
      </c>
      <c r="V162" s="32" t="n">
        <f>42313790</f>
        <v>4.231379E7</v>
      </c>
      <c r="W162" s="32" t="str">
        <f>"－"</f>
        <v>－</v>
      </c>
      <c r="X162" s="36" t="n">
        <f>21</f>
        <v>21.0</v>
      </c>
    </row>
    <row r="163">
      <c r="A163" s="27" t="s">
        <v>42</v>
      </c>
      <c r="B163" s="27" t="s">
        <v>530</v>
      </c>
      <c r="C163" s="27" t="s">
        <v>531</v>
      </c>
      <c r="D163" s="27" t="s">
        <v>532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3264</f>
        <v>3264.0</v>
      </c>
      <c r="L163" s="34" t="s">
        <v>48</v>
      </c>
      <c r="M163" s="33" t="n">
        <f>3470</f>
        <v>3470.0</v>
      </c>
      <c r="N163" s="34" t="s">
        <v>50</v>
      </c>
      <c r="O163" s="33" t="n">
        <f>3033</f>
        <v>3033.0</v>
      </c>
      <c r="P163" s="34" t="s">
        <v>200</v>
      </c>
      <c r="Q163" s="33" t="n">
        <f>3450</f>
        <v>3450.0</v>
      </c>
      <c r="R163" s="34" t="s">
        <v>50</v>
      </c>
      <c r="S163" s="35" t="n">
        <f>3172.95</f>
        <v>3172.95</v>
      </c>
      <c r="T163" s="32" t="n">
        <f>542505</f>
        <v>542505.0</v>
      </c>
      <c r="U163" s="32" t="str">
        <f>"－"</f>
        <v>－</v>
      </c>
      <c r="V163" s="32" t="n">
        <f>1738838369</f>
        <v>1.738838369E9</v>
      </c>
      <c r="W163" s="32" t="str">
        <f>"－"</f>
        <v>－</v>
      </c>
      <c r="X163" s="36" t="n">
        <f>21</f>
        <v>21.0</v>
      </c>
    </row>
    <row r="164">
      <c r="A164" s="27" t="s">
        <v>42</v>
      </c>
      <c r="B164" s="27" t="s">
        <v>533</v>
      </c>
      <c r="C164" s="27" t="s">
        <v>534</v>
      </c>
      <c r="D164" s="27" t="s">
        <v>535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3070</f>
        <v>3070.0</v>
      </c>
      <c r="L164" s="34" t="s">
        <v>48</v>
      </c>
      <c r="M164" s="33" t="n">
        <f>3188</f>
        <v>3188.0</v>
      </c>
      <c r="N164" s="34" t="s">
        <v>50</v>
      </c>
      <c r="O164" s="33" t="n">
        <f>2951</f>
        <v>2951.0</v>
      </c>
      <c r="P164" s="34" t="s">
        <v>88</v>
      </c>
      <c r="Q164" s="33" t="n">
        <f>3188</f>
        <v>3188.0</v>
      </c>
      <c r="R164" s="34" t="s">
        <v>50</v>
      </c>
      <c r="S164" s="35" t="n">
        <f>3036.86</f>
        <v>3036.86</v>
      </c>
      <c r="T164" s="32" t="n">
        <f>443416</f>
        <v>443416.0</v>
      </c>
      <c r="U164" s="32" t="str">
        <f>"－"</f>
        <v>－</v>
      </c>
      <c r="V164" s="32" t="n">
        <f>1344995513</f>
        <v>1.344995513E9</v>
      </c>
      <c r="W164" s="32" t="str">
        <f>"－"</f>
        <v>－</v>
      </c>
      <c r="X164" s="36" t="n">
        <f>21</f>
        <v>21.0</v>
      </c>
    </row>
    <row r="165">
      <c r="A165" s="27" t="s">
        <v>42</v>
      </c>
      <c r="B165" s="27" t="s">
        <v>536</v>
      </c>
      <c r="C165" s="27" t="s">
        <v>537</v>
      </c>
      <c r="D165" s="27" t="s">
        <v>538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4509</f>
        <v>4509.0</v>
      </c>
      <c r="L165" s="34" t="s">
        <v>48</v>
      </c>
      <c r="M165" s="33" t="n">
        <f>4685</f>
        <v>4685.0</v>
      </c>
      <c r="N165" s="34" t="s">
        <v>50</v>
      </c>
      <c r="O165" s="33" t="n">
        <f>4415</f>
        <v>4415.0</v>
      </c>
      <c r="P165" s="34" t="s">
        <v>200</v>
      </c>
      <c r="Q165" s="33" t="n">
        <f>4636</f>
        <v>4636.0</v>
      </c>
      <c r="R165" s="34" t="s">
        <v>50</v>
      </c>
      <c r="S165" s="35" t="n">
        <f>4528.29</f>
        <v>4528.29</v>
      </c>
      <c r="T165" s="32" t="n">
        <f>22100</f>
        <v>22100.0</v>
      </c>
      <c r="U165" s="32" t="str">
        <f>"－"</f>
        <v>－</v>
      </c>
      <c r="V165" s="32" t="n">
        <f>100023490</f>
        <v>1.0002349E8</v>
      </c>
      <c r="W165" s="32" t="str">
        <f>"－"</f>
        <v>－</v>
      </c>
      <c r="X165" s="36" t="n">
        <f>21</f>
        <v>21.0</v>
      </c>
    </row>
    <row r="166">
      <c r="A166" s="27" t="s">
        <v>42</v>
      </c>
      <c r="B166" s="27" t="s">
        <v>539</v>
      </c>
      <c r="C166" s="27" t="s">
        <v>540</v>
      </c>
      <c r="D166" s="27" t="s">
        <v>541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4103</f>
        <v>4103.0</v>
      </c>
      <c r="L166" s="34" t="s">
        <v>48</v>
      </c>
      <c r="M166" s="33" t="n">
        <f>4156</f>
        <v>4156.0</v>
      </c>
      <c r="N166" s="34" t="s">
        <v>200</v>
      </c>
      <c r="O166" s="33" t="n">
        <f>3864</f>
        <v>3864.0</v>
      </c>
      <c r="P166" s="34" t="s">
        <v>72</v>
      </c>
      <c r="Q166" s="33" t="n">
        <f>3923</f>
        <v>3923.0</v>
      </c>
      <c r="R166" s="34" t="s">
        <v>50</v>
      </c>
      <c r="S166" s="35" t="n">
        <f>4031.29</f>
        <v>4031.29</v>
      </c>
      <c r="T166" s="32" t="n">
        <f>385888</f>
        <v>385888.0</v>
      </c>
      <c r="U166" s="32" t="n">
        <f>42564</f>
        <v>42564.0</v>
      </c>
      <c r="V166" s="32" t="n">
        <f>1547049990</f>
        <v>1.54704999E9</v>
      </c>
      <c r="W166" s="32" t="n">
        <f>169460427</f>
        <v>1.69460427E8</v>
      </c>
      <c r="X166" s="36" t="n">
        <f>21</f>
        <v>21.0</v>
      </c>
    </row>
    <row r="167">
      <c r="A167" s="27" t="s">
        <v>42</v>
      </c>
      <c r="B167" s="27" t="s">
        <v>542</v>
      </c>
      <c r="C167" s="27" t="s">
        <v>543</v>
      </c>
      <c r="D167" s="27" t="s">
        <v>544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585</f>
        <v>585.0</v>
      </c>
      <c r="L167" s="34" t="s">
        <v>48</v>
      </c>
      <c r="M167" s="33" t="n">
        <f>686.5</f>
        <v>686.5</v>
      </c>
      <c r="N167" s="34" t="s">
        <v>50</v>
      </c>
      <c r="O167" s="33" t="n">
        <f>547.3</f>
        <v>547.3</v>
      </c>
      <c r="P167" s="34" t="s">
        <v>200</v>
      </c>
      <c r="Q167" s="33" t="n">
        <f>683.7</f>
        <v>683.7</v>
      </c>
      <c r="R167" s="34" t="s">
        <v>50</v>
      </c>
      <c r="S167" s="35" t="n">
        <f>598.59</f>
        <v>598.59</v>
      </c>
      <c r="T167" s="32" t="n">
        <f>48812190</f>
        <v>4.881219E7</v>
      </c>
      <c r="U167" s="32" t="n">
        <f>653030</f>
        <v>653030.0</v>
      </c>
      <c r="V167" s="32" t="n">
        <f>28980469661</f>
        <v>2.8980469661E10</v>
      </c>
      <c r="W167" s="32" t="n">
        <f>388897599</f>
        <v>3.88897599E8</v>
      </c>
      <c r="X167" s="36" t="n">
        <f>21</f>
        <v>21.0</v>
      </c>
    </row>
    <row r="168">
      <c r="A168" s="27" t="s">
        <v>42</v>
      </c>
      <c r="B168" s="27" t="s">
        <v>545</v>
      </c>
      <c r="C168" s="27" t="s">
        <v>546</v>
      </c>
      <c r="D168" s="27" t="s">
        <v>547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2852</f>
        <v>2852.0</v>
      </c>
      <c r="L168" s="34" t="s">
        <v>48</v>
      </c>
      <c r="M168" s="33" t="n">
        <f>2991</f>
        <v>2991.0</v>
      </c>
      <c r="N168" s="34" t="s">
        <v>242</v>
      </c>
      <c r="O168" s="33" t="n">
        <f>2820</f>
        <v>2820.0</v>
      </c>
      <c r="P168" s="34" t="s">
        <v>73</v>
      </c>
      <c r="Q168" s="33" t="n">
        <f>2872</f>
        <v>2872.0</v>
      </c>
      <c r="R168" s="34" t="s">
        <v>50</v>
      </c>
      <c r="S168" s="35" t="n">
        <f>2874.95</f>
        <v>2874.95</v>
      </c>
      <c r="T168" s="32" t="n">
        <f>19350</f>
        <v>19350.0</v>
      </c>
      <c r="U168" s="32" t="str">
        <f>"－"</f>
        <v>－</v>
      </c>
      <c r="V168" s="32" t="n">
        <f>55329359</f>
        <v>5.5329359E7</v>
      </c>
      <c r="W168" s="32" t="str">
        <f>"－"</f>
        <v>－</v>
      </c>
      <c r="X168" s="36" t="n">
        <f>21</f>
        <v>21.0</v>
      </c>
    </row>
    <row r="169">
      <c r="A169" s="27" t="s">
        <v>42</v>
      </c>
      <c r="B169" s="27" t="s">
        <v>548</v>
      </c>
      <c r="C169" s="27" t="s">
        <v>549</v>
      </c>
      <c r="D169" s="27" t="s">
        <v>550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1424</f>
        <v>1424.0</v>
      </c>
      <c r="L169" s="34" t="s">
        <v>48</v>
      </c>
      <c r="M169" s="33" t="n">
        <f>1608</f>
        <v>1608.0</v>
      </c>
      <c r="N169" s="34" t="s">
        <v>144</v>
      </c>
      <c r="O169" s="33" t="n">
        <f>1406</f>
        <v>1406.0</v>
      </c>
      <c r="P169" s="34" t="s">
        <v>73</v>
      </c>
      <c r="Q169" s="33" t="n">
        <f>1575</f>
        <v>1575.0</v>
      </c>
      <c r="R169" s="34" t="s">
        <v>50</v>
      </c>
      <c r="S169" s="35" t="n">
        <f>1521.76</f>
        <v>1521.76</v>
      </c>
      <c r="T169" s="32" t="n">
        <f>829717</f>
        <v>829717.0</v>
      </c>
      <c r="U169" s="32" t="str">
        <f>"－"</f>
        <v>－</v>
      </c>
      <c r="V169" s="32" t="n">
        <f>1264512002</f>
        <v>1.264512002E9</v>
      </c>
      <c r="W169" s="32" t="str">
        <f>"－"</f>
        <v>－</v>
      </c>
      <c r="X169" s="36" t="n">
        <f>21</f>
        <v>21.0</v>
      </c>
    </row>
    <row r="170">
      <c r="A170" s="27" t="s">
        <v>42</v>
      </c>
      <c r="B170" s="27" t="s">
        <v>551</v>
      </c>
      <c r="C170" s="27" t="s">
        <v>552</v>
      </c>
      <c r="D170" s="27" t="s">
        <v>553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256.7</f>
        <v>256.7</v>
      </c>
      <c r="L170" s="34" t="s">
        <v>48</v>
      </c>
      <c r="M170" s="33" t="n">
        <f>260</f>
        <v>260.0</v>
      </c>
      <c r="N170" s="34" t="s">
        <v>143</v>
      </c>
      <c r="O170" s="33" t="n">
        <f>253.1</f>
        <v>253.1</v>
      </c>
      <c r="P170" s="34" t="s">
        <v>50</v>
      </c>
      <c r="Q170" s="33" t="n">
        <f>253.2</f>
        <v>253.2</v>
      </c>
      <c r="R170" s="34" t="s">
        <v>50</v>
      </c>
      <c r="S170" s="35" t="n">
        <f>257.13</f>
        <v>257.13</v>
      </c>
      <c r="T170" s="32" t="n">
        <f>3343140</f>
        <v>3343140.0</v>
      </c>
      <c r="U170" s="32" t="str">
        <f>"－"</f>
        <v>－</v>
      </c>
      <c r="V170" s="32" t="n">
        <f>860644758</f>
        <v>8.60644758E8</v>
      </c>
      <c r="W170" s="32" t="str">
        <f>"－"</f>
        <v>－</v>
      </c>
      <c r="X170" s="36" t="n">
        <f>21</f>
        <v>21.0</v>
      </c>
    </row>
    <row r="171">
      <c r="A171" s="27" t="s">
        <v>42</v>
      </c>
      <c r="B171" s="27" t="s">
        <v>554</v>
      </c>
      <c r="C171" s="27" t="s">
        <v>555</v>
      </c>
      <c r="D171" s="27" t="s">
        <v>556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298.9</f>
        <v>298.9</v>
      </c>
      <c r="L171" s="34" t="s">
        <v>48</v>
      </c>
      <c r="M171" s="33" t="n">
        <f>300.1</f>
        <v>300.1</v>
      </c>
      <c r="N171" s="34" t="s">
        <v>88</v>
      </c>
      <c r="O171" s="33" t="n">
        <f>295.2</f>
        <v>295.2</v>
      </c>
      <c r="P171" s="34" t="s">
        <v>60</v>
      </c>
      <c r="Q171" s="33" t="n">
        <f>298.2</f>
        <v>298.2</v>
      </c>
      <c r="R171" s="34" t="s">
        <v>50</v>
      </c>
      <c r="S171" s="35" t="n">
        <f>298.46</f>
        <v>298.46</v>
      </c>
      <c r="T171" s="32" t="n">
        <f>8872370</f>
        <v>8872370.0</v>
      </c>
      <c r="U171" s="32" t="str">
        <f>"－"</f>
        <v>－</v>
      </c>
      <c r="V171" s="32" t="n">
        <f>2649781395</f>
        <v>2.649781395E9</v>
      </c>
      <c r="W171" s="32" t="str">
        <f>"－"</f>
        <v>－</v>
      </c>
      <c r="X171" s="36" t="n">
        <f>21</f>
        <v>21.0</v>
      </c>
    </row>
    <row r="172">
      <c r="A172" s="27" t="s">
        <v>42</v>
      </c>
      <c r="B172" s="27" t="s">
        <v>557</v>
      </c>
      <c r="C172" s="27" t="s">
        <v>558</v>
      </c>
      <c r="D172" s="27" t="s">
        <v>559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533.6</f>
        <v>533.6</v>
      </c>
      <c r="L172" s="34" t="s">
        <v>48</v>
      </c>
      <c r="M172" s="33" t="n">
        <f>542.9</f>
        <v>542.9</v>
      </c>
      <c r="N172" s="34" t="s">
        <v>80</v>
      </c>
      <c r="O172" s="33" t="n">
        <f>533.4</f>
        <v>533.4</v>
      </c>
      <c r="P172" s="34" t="s">
        <v>73</v>
      </c>
      <c r="Q172" s="33" t="n">
        <f>536.2</f>
        <v>536.2</v>
      </c>
      <c r="R172" s="34" t="s">
        <v>207</v>
      </c>
      <c r="S172" s="35" t="n">
        <f>537.31</f>
        <v>537.31</v>
      </c>
      <c r="T172" s="32" t="n">
        <f>1524190</f>
        <v>1524190.0</v>
      </c>
      <c r="U172" s="32" t="n">
        <f>1502600</f>
        <v>1502600.0</v>
      </c>
      <c r="V172" s="32" t="n">
        <f>816325743</f>
        <v>8.16325743E8</v>
      </c>
      <c r="W172" s="32" t="n">
        <f>804741870</f>
        <v>8.0474187E8</v>
      </c>
      <c r="X172" s="36" t="n">
        <f>14</f>
        <v>14.0</v>
      </c>
    </row>
    <row r="173">
      <c r="A173" s="27" t="s">
        <v>42</v>
      </c>
      <c r="B173" s="27" t="s">
        <v>560</v>
      </c>
      <c r="C173" s="27" t="s">
        <v>561</v>
      </c>
      <c r="D173" s="27" t="s">
        <v>562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512.6</f>
        <v>512.6</v>
      </c>
      <c r="L173" s="34" t="s">
        <v>48</v>
      </c>
      <c r="M173" s="33" t="n">
        <f>518.9</f>
        <v>518.9</v>
      </c>
      <c r="N173" s="34" t="s">
        <v>88</v>
      </c>
      <c r="O173" s="33" t="n">
        <f>511</f>
        <v>511.0</v>
      </c>
      <c r="P173" s="34" t="s">
        <v>73</v>
      </c>
      <c r="Q173" s="33" t="n">
        <f>512.7</f>
        <v>512.7</v>
      </c>
      <c r="R173" s="34" t="s">
        <v>50</v>
      </c>
      <c r="S173" s="35" t="n">
        <f>515.16</f>
        <v>515.16</v>
      </c>
      <c r="T173" s="32" t="n">
        <f>182880</f>
        <v>182880.0</v>
      </c>
      <c r="U173" s="32" t="str">
        <f>"－"</f>
        <v>－</v>
      </c>
      <c r="V173" s="32" t="n">
        <f>94388042</f>
        <v>9.4388042E7</v>
      </c>
      <c r="W173" s="32" t="str">
        <f>"－"</f>
        <v>－</v>
      </c>
      <c r="X173" s="36" t="n">
        <f>20</f>
        <v>20.0</v>
      </c>
    </row>
    <row r="174">
      <c r="A174" s="27" t="s">
        <v>42</v>
      </c>
      <c r="B174" s="27" t="s">
        <v>563</v>
      </c>
      <c r="C174" s="27" t="s">
        <v>564</v>
      </c>
      <c r="D174" s="27" t="s">
        <v>565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457</f>
        <v>457.0</v>
      </c>
      <c r="L174" s="34" t="s">
        <v>48</v>
      </c>
      <c r="M174" s="33" t="n">
        <f>462.2</f>
        <v>462.2</v>
      </c>
      <c r="N174" s="34" t="s">
        <v>200</v>
      </c>
      <c r="O174" s="33" t="n">
        <f>450.5</f>
        <v>450.5</v>
      </c>
      <c r="P174" s="34" t="s">
        <v>50</v>
      </c>
      <c r="Q174" s="33" t="n">
        <f>450.5</f>
        <v>450.5</v>
      </c>
      <c r="R174" s="34" t="s">
        <v>50</v>
      </c>
      <c r="S174" s="35" t="n">
        <f>457.28</f>
        <v>457.28</v>
      </c>
      <c r="T174" s="32" t="n">
        <f>12200</f>
        <v>12200.0</v>
      </c>
      <c r="U174" s="32" t="n">
        <f>80</f>
        <v>80.0</v>
      </c>
      <c r="V174" s="32" t="n">
        <f>5577714</f>
        <v>5577714.0</v>
      </c>
      <c r="W174" s="32" t="n">
        <f>36624</f>
        <v>36624.0</v>
      </c>
      <c r="X174" s="36" t="n">
        <f>18</f>
        <v>18.0</v>
      </c>
    </row>
    <row r="175">
      <c r="A175" s="27" t="s">
        <v>42</v>
      </c>
      <c r="B175" s="27" t="s">
        <v>566</v>
      </c>
      <c r="C175" s="27" t="s">
        <v>567</v>
      </c>
      <c r="D175" s="27" t="s">
        <v>568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1.0</v>
      </c>
      <c r="K175" s="33" t="n">
        <f>848</f>
        <v>848.0</v>
      </c>
      <c r="L175" s="34" t="s">
        <v>48</v>
      </c>
      <c r="M175" s="33" t="n">
        <f>915</f>
        <v>915.0</v>
      </c>
      <c r="N175" s="34" t="s">
        <v>67</v>
      </c>
      <c r="O175" s="33" t="n">
        <f>827</f>
        <v>827.0</v>
      </c>
      <c r="P175" s="34" t="s">
        <v>73</v>
      </c>
      <c r="Q175" s="33" t="n">
        <f>865</f>
        <v>865.0</v>
      </c>
      <c r="R175" s="34" t="s">
        <v>50</v>
      </c>
      <c r="S175" s="35" t="n">
        <f>883.19</f>
        <v>883.19</v>
      </c>
      <c r="T175" s="32" t="n">
        <f>136422</f>
        <v>136422.0</v>
      </c>
      <c r="U175" s="32" t="n">
        <f>126</f>
        <v>126.0</v>
      </c>
      <c r="V175" s="32" t="n">
        <f>120123799</f>
        <v>1.20123799E8</v>
      </c>
      <c r="W175" s="32" t="n">
        <f>111635</f>
        <v>111635.0</v>
      </c>
      <c r="X175" s="36" t="n">
        <f>21</f>
        <v>21.0</v>
      </c>
    </row>
    <row r="176">
      <c r="A176" s="27" t="s">
        <v>42</v>
      </c>
      <c r="B176" s="27" t="s">
        <v>569</v>
      </c>
      <c r="C176" s="27" t="s">
        <v>570</v>
      </c>
      <c r="D176" s="27" t="s">
        <v>571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1.0</v>
      </c>
      <c r="K176" s="33" t="n">
        <f>2988</f>
        <v>2988.0</v>
      </c>
      <c r="L176" s="34" t="s">
        <v>48</v>
      </c>
      <c r="M176" s="33" t="n">
        <f>3931</f>
        <v>3931.0</v>
      </c>
      <c r="N176" s="34" t="s">
        <v>72</v>
      </c>
      <c r="O176" s="33" t="n">
        <f>2943</f>
        <v>2943.0</v>
      </c>
      <c r="P176" s="34" t="s">
        <v>73</v>
      </c>
      <c r="Q176" s="33" t="n">
        <f>3835</f>
        <v>3835.0</v>
      </c>
      <c r="R176" s="34" t="s">
        <v>50</v>
      </c>
      <c r="S176" s="35" t="n">
        <f>3522.43</f>
        <v>3522.43</v>
      </c>
      <c r="T176" s="32" t="n">
        <f>16064740</f>
        <v>1.606474E7</v>
      </c>
      <c r="U176" s="32" t="n">
        <f>222279</f>
        <v>222279.0</v>
      </c>
      <c r="V176" s="32" t="n">
        <f>57389004371</f>
        <v>5.7389004371E10</v>
      </c>
      <c r="W176" s="32" t="n">
        <f>787258002</f>
        <v>7.87258002E8</v>
      </c>
      <c r="X176" s="36" t="n">
        <f>21</f>
        <v>21.0</v>
      </c>
    </row>
    <row r="177">
      <c r="A177" s="27" t="s">
        <v>42</v>
      </c>
      <c r="B177" s="27" t="s">
        <v>572</v>
      </c>
      <c r="C177" s="27" t="s">
        <v>573</v>
      </c>
      <c r="D177" s="27" t="s">
        <v>574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807.2</f>
        <v>807.2</v>
      </c>
      <c r="L177" s="34" t="s">
        <v>48</v>
      </c>
      <c r="M177" s="33" t="n">
        <f>832.5</f>
        <v>832.5</v>
      </c>
      <c r="N177" s="34" t="s">
        <v>116</v>
      </c>
      <c r="O177" s="33" t="n">
        <f>773.6</f>
        <v>773.6</v>
      </c>
      <c r="P177" s="34" t="s">
        <v>73</v>
      </c>
      <c r="Q177" s="33" t="n">
        <f>793.6</f>
        <v>793.6</v>
      </c>
      <c r="R177" s="34" t="s">
        <v>50</v>
      </c>
      <c r="S177" s="35" t="n">
        <f>801.69</f>
        <v>801.69</v>
      </c>
      <c r="T177" s="32" t="n">
        <f>511590</f>
        <v>511590.0</v>
      </c>
      <c r="U177" s="32" t="n">
        <f>26180</f>
        <v>26180.0</v>
      </c>
      <c r="V177" s="32" t="n">
        <f>410474744</f>
        <v>4.10474744E8</v>
      </c>
      <c r="W177" s="32" t="n">
        <f>21140027</f>
        <v>2.1140027E7</v>
      </c>
      <c r="X177" s="36" t="n">
        <f>21</f>
        <v>21.0</v>
      </c>
    </row>
    <row r="178">
      <c r="A178" s="27" t="s">
        <v>42</v>
      </c>
      <c r="B178" s="27" t="s">
        <v>575</v>
      </c>
      <c r="C178" s="27" t="s">
        <v>576</v>
      </c>
      <c r="D178" s="27" t="s">
        <v>577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237.9</f>
        <v>237.9</v>
      </c>
      <c r="L178" s="34" t="s">
        <v>48</v>
      </c>
      <c r="M178" s="33" t="n">
        <f>241.7</f>
        <v>241.7</v>
      </c>
      <c r="N178" s="34" t="s">
        <v>50</v>
      </c>
      <c r="O178" s="33" t="n">
        <f>237.2</f>
        <v>237.2</v>
      </c>
      <c r="P178" s="34" t="s">
        <v>200</v>
      </c>
      <c r="Q178" s="33" t="n">
        <f>241.5</f>
        <v>241.5</v>
      </c>
      <c r="R178" s="34" t="s">
        <v>50</v>
      </c>
      <c r="S178" s="35" t="n">
        <f>239.13</f>
        <v>239.13</v>
      </c>
      <c r="T178" s="32" t="n">
        <f>10873250</f>
        <v>1.087325E7</v>
      </c>
      <c r="U178" s="32" t="n">
        <f>3520000</f>
        <v>3520000.0</v>
      </c>
      <c r="V178" s="32" t="n">
        <f>2599161015</f>
        <v>2.599161015E9</v>
      </c>
      <c r="W178" s="32" t="n">
        <f>840831100</f>
        <v>8.408311E8</v>
      </c>
      <c r="X178" s="36" t="n">
        <f>21</f>
        <v>21.0</v>
      </c>
    </row>
    <row r="179">
      <c r="A179" s="27" t="s">
        <v>42</v>
      </c>
      <c r="B179" s="27" t="s">
        <v>578</v>
      </c>
      <c r="C179" s="27" t="s">
        <v>579</v>
      </c>
      <c r="D179" s="27" t="s">
        <v>580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290.7</f>
        <v>290.7</v>
      </c>
      <c r="L179" s="34" t="s">
        <v>48</v>
      </c>
      <c r="M179" s="33" t="n">
        <f>292.3</f>
        <v>292.3</v>
      </c>
      <c r="N179" s="34" t="s">
        <v>50</v>
      </c>
      <c r="O179" s="33" t="n">
        <f>277.5</f>
        <v>277.5</v>
      </c>
      <c r="P179" s="34" t="s">
        <v>73</v>
      </c>
      <c r="Q179" s="33" t="n">
        <f>292.3</f>
        <v>292.3</v>
      </c>
      <c r="R179" s="34" t="s">
        <v>50</v>
      </c>
      <c r="S179" s="35" t="n">
        <f>288.14</f>
        <v>288.14</v>
      </c>
      <c r="T179" s="32" t="n">
        <f>18047540</f>
        <v>1.804754E7</v>
      </c>
      <c r="U179" s="32" t="n">
        <f>4525900</f>
        <v>4525900.0</v>
      </c>
      <c r="V179" s="32" t="n">
        <f>5188728345</f>
        <v>5.188728345E9</v>
      </c>
      <c r="W179" s="32" t="n">
        <f>1299004809</f>
        <v>1.299004809E9</v>
      </c>
      <c r="X179" s="36" t="n">
        <f>21</f>
        <v>21.0</v>
      </c>
    </row>
    <row r="180">
      <c r="A180" s="27" t="s">
        <v>42</v>
      </c>
      <c r="B180" s="27" t="s">
        <v>581</v>
      </c>
      <c r="C180" s="27" t="s">
        <v>582</v>
      </c>
      <c r="D180" s="27" t="s">
        <v>583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285.6</f>
        <v>285.6</v>
      </c>
      <c r="L180" s="34" t="s">
        <v>48</v>
      </c>
      <c r="M180" s="33" t="n">
        <f>299.5</f>
        <v>299.5</v>
      </c>
      <c r="N180" s="34" t="s">
        <v>282</v>
      </c>
      <c r="O180" s="33" t="n">
        <f>283.7</f>
        <v>283.7</v>
      </c>
      <c r="P180" s="34" t="s">
        <v>73</v>
      </c>
      <c r="Q180" s="33" t="n">
        <f>298.1</f>
        <v>298.1</v>
      </c>
      <c r="R180" s="34" t="s">
        <v>50</v>
      </c>
      <c r="S180" s="35" t="n">
        <f>293.38</f>
        <v>293.38</v>
      </c>
      <c r="T180" s="32" t="n">
        <f>1629300</f>
        <v>1629300.0</v>
      </c>
      <c r="U180" s="32" t="n">
        <f>30</f>
        <v>30.0</v>
      </c>
      <c r="V180" s="32" t="n">
        <f>477076496</f>
        <v>4.77076496E8</v>
      </c>
      <c r="W180" s="32" t="n">
        <f>8754</f>
        <v>8754.0</v>
      </c>
      <c r="X180" s="36" t="n">
        <f>21</f>
        <v>21.0</v>
      </c>
    </row>
    <row r="181">
      <c r="A181" s="27" t="s">
        <v>42</v>
      </c>
      <c r="B181" s="27" t="s">
        <v>584</v>
      </c>
      <c r="C181" s="27" t="s">
        <v>585</v>
      </c>
      <c r="D181" s="27" t="s">
        <v>586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2181</f>
        <v>2181.0</v>
      </c>
      <c r="L181" s="34" t="s">
        <v>48</v>
      </c>
      <c r="M181" s="33" t="n">
        <f>2247</f>
        <v>2247.0</v>
      </c>
      <c r="N181" s="34" t="s">
        <v>116</v>
      </c>
      <c r="O181" s="33" t="n">
        <f>2181</f>
        <v>2181.0</v>
      </c>
      <c r="P181" s="34" t="s">
        <v>48</v>
      </c>
      <c r="Q181" s="33" t="n">
        <f>2201</f>
        <v>2201.0</v>
      </c>
      <c r="R181" s="34" t="s">
        <v>50</v>
      </c>
      <c r="S181" s="35" t="n">
        <f>2197.29</f>
        <v>2197.29</v>
      </c>
      <c r="T181" s="32" t="n">
        <f>528977</f>
        <v>528977.0</v>
      </c>
      <c r="U181" s="32" t="n">
        <f>10</f>
        <v>10.0</v>
      </c>
      <c r="V181" s="32" t="n">
        <f>1160401636</f>
        <v>1.160401636E9</v>
      </c>
      <c r="W181" s="32" t="n">
        <f>22010</f>
        <v>22010.0</v>
      </c>
      <c r="X181" s="36" t="n">
        <f>21</f>
        <v>21.0</v>
      </c>
    </row>
    <row r="182">
      <c r="A182" s="27" t="s">
        <v>42</v>
      </c>
      <c r="B182" s="27" t="s">
        <v>587</v>
      </c>
      <c r="C182" s="27" t="s">
        <v>588</v>
      </c>
      <c r="D182" s="27" t="s">
        <v>589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1822</f>
        <v>1822.0</v>
      </c>
      <c r="L182" s="34" t="s">
        <v>48</v>
      </c>
      <c r="M182" s="33" t="n">
        <f>1837</f>
        <v>1837.0</v>
      </c>
      <c r="N182" s="34" t="s">
        <v>116</v>
      </c>
      <c r="O182" s="33" t="n">
        <f>1809</f>
        <v>1809.0</v>
      </c>
      <c r="P182" s="34" t="s">
        <v>50</v>
      </c>
      <c r="Q182" s="33" t="n">
        <f>1810</f>
        <v>1810.0</v>
      </c>
      <c r="R182" s="34" t="s">
        <v>50</v>
      </c>
      <c r="S182" s="35" t="n">
        <f>1824.38</f>
        <v>1824.38</v>
      </c>
      <c r="T182" s="32" t="n">
        <f>1228595</f>
        <v>1228595.0</v>
      </c>
      <c r="U182" s="32" t="n">
        <f>553000</f>
        <v>553000.0</v>
      </c>
      <c r="V182" s="32" t="n">
        <f>2232137400</f>
        <v>2.2321374E9</v>
      </c>
      <c r="W182" s="32" t="n">
        <f>1001787150</f>
        <v>1.00178715E9</v>
      </c>
      <c r="X182" s="36" t="n">
        <f>21</f>
        <v>21.0</v>
      </c>
    </row>
    <row r="183">
      <c r="A183" s="27" t="s">
        <v>42</v>
      </c>
      <c r="B183" s="27" t="s">
        <v>590</v>
      </c>
      <c r="C183" s="27" t="s">
        <v>591</v>
      </c>
      <c r="D183" s="27" t="s">
        <v>592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1373</f>
        <v>1373.0</v>
      </c>
      <c r="L183" s="34" t="s">
        <v>48</v>
      </c>
      <c r="M183" s="33" t="n">
        <f>1416</f>
        <v>1416.0</v>
      </c>
      <c r="N183" s="34" t="s">
        <v>49</v>
      </c>
      <c r="O183" s="33" t="n">
        <f>1342</f>
        <v>1342.0</v>
      </c>
      <c r="P183" s="34" t="s">
        <v>48</v>
      </c>
      <c r="Q183" s="33" t="n">
        <f>1385</f>
        <v>1385.0</v>
      </c>
      <c r="R183" s="34" t="s">
        <v>50</v>
      </c>
      <c r="S183" s="35" t="n">
        <f>1385.33</f>
        <v>1385.33</v>
      </c>
      <c r="T183" s="32" t="n">
        <f>976063</f>
        <v>976063.0</v>
      </c>
      <c r="U183" s="32" t="n">
        <f>401640</f>
        <v>401640.0</v>
      </c>
      <c r="V183" s="32" t="n">
        <f>1358105282</f>
        <v>1.358105282E9</v>
      </c>
      <c r="W183" s="32" t="n">
        <f>565430680</f>
        <v>5.6543068E8</v>
      </c>
      <c r="X183" s="36" t="n">
        <f>21</f>
        <v>21.0</v>
      </c>
    </row>
    <row r="184">
      <c r="A184" s="27" t="s">
        <v>42</v>
      </c>
      <c r="B184" s="27" t="s">
        <v>593</v>
      </c>
      <c r="C184" s="27" t="s">
        <v>594</v>
      </c>
      <c r="D184" s="27" t="s">
        <v>595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1.0</v>
      </c>
      <c r="K184" s="33" t="n">
        <f>1180</f>
        <v>1180.0</v>
      </c>
      <c r="L184" s="34" t="s">
        <v>48</v>
      </c>
      <c r="M184" s="33" t="n">
        <f>1295</f>
        <v>1295.0</v>
      </c>
      <c r="N184" s="34" t="s">
        <v>80</v>
      </c>
      <c r="O184" s="33" t="n">
        <f>1175</f>
        <v>1175.0</v>
      </c>
      <c r="P184" s="34" t="s">
        <v>48</v>
      </c>
      <c r="Q184" s="33" t="n">
        <f>1269</f>
        <v>1269.0</v>
      </c>
      <c r="R184" s="34" t="s">
        <v>50</v>
      </c>
      <c r="S184" s="35" t="n">
        <f>1241.67</f>
        <v>1241.67</v>
      </c>
      <c r="T184" s="32" t="n">
        <f>200923</f>
        <v>200923.0</v>
      </c>
      <c r="U184" s="32" t="str">
        <f>"－"</f>
        <v>－</v>
      </c>
      <c r="V184" s="32" t="n">
        <f>247080110</f>
        <v>2.4708011E8</v>
      </c>
      <c r="W184" s="32" t="str">
        <f>"－"</f>
        <v>－</v>
      </c>
      <c r="X184" s="36" t="n">
        <f>21</f>
        <v>21.0</v>
      </c>
    </row>
    <row r="185">
      <c r="A185" s="27" t="s">
        <v>42</v>
      </c>
      <c r="B185" s="27" t="s">
        <v>596</v>
      </c>
      <c r="C185" s="27" t="s">
        <v>597</v>
      </c>
      <c r="D185" s="27" t="s">
        <v>598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1029</f>
        <v>1029.0</v>
      </c>
      <c r="L185" s="34" t="s">
        <v>48</v>
      </c>
      <c r="M185" s="33" t="n">
        <f>1052</f>
        <v>1052.0</v>
      </c>
      <c r="N185" s="34" t="s">
        <v>207</v>
      </c>
      <c r="O185" s="33" t="n">
        <f>1005</f>
        <v>1005.0</v>
      </c>
      <c r="P185" s="34" t="s">
        <v>73</v>
      </c>
      <c r="Q185" s="33" t="n">
        <f>1051</f>
        <v>1051.0</v>
      </c>
      <c r="R185" s="34" t="s">
        <v>50</v>
      </c>
      <c r="S185" s="35" t="n">
        <f>1031.9</f>
        <v>1031.9</v>
      </c>
      <c r="T185" s="32" t="n">
        <f>55171</f>
        <v>55171.0</v>
      </c>
      <c r="U185" s="32" t="n">
        <f>26</f>
        <v>26.0</v>
      </c>
      <c r="V185" s="32" t="n">
        <f>56901837</f>
        <v>5.6901837E7</v>
      </c>
      <c r="W185" s="32" t="n">
        <f>27019</f>
        <v>27019.0</v>
      </c>
      <c r="X185" s="36" t="n">
        <f>21</f>
        <v>21.0</v>
      </c>
    </row>
    <row r="186">
      <c r="A186" s="27" t="s">
        <v>42</v>
      </c>
      <c r="B186" s="27" t="s">
        <v>599</v>
      </c>
      <c r="C186" s="27" t="s">
        <v>600</v>
      </c>
      <c r="D186" s="27" t="s">
        <v>601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174.7</f>
        <v>174.7</v>
      </c>
      <c r="L186" s="34" t="s">
        <v>48</v>
      </c>
      <c r="M186" s="33" t="n">
        <f>189.6</f>
        <v>189.6</v>
      </c>
      <c r="N186" s="34" t="s">
        <v>67</v>
      </c>
      <c r="O186" s="33" t="n">
        <f>169.7</f>
        <v>169.7</v>
      </c>
      <c r="P186" s="34" t="s">
        <v>73</v>
      </c>
      <c r="Q186" s="33" t="n">
        <f>183.3</f>
        <v>183.3</v>
      </c>
      <c r="R186" s="34" t="s">
        <v>50</v>
      </c>
      <c r="S186" s="35" t="n">
        <f>182.5</f>
        <v>182.5</v>
      </c>
      <c r="T186" s="32" t="n">
        <f>4056010</f>
        <v>4056010.0</v>
      </c>
      <c r="U186" s="32" t="n">
        <f>54320</f>
        <v>54320.0</v>
      </c>
      <c r="V186" s="32" t="n">
        <f>740370898</f>
        <v>7.40370898E8</v>
      </c>
      <c r="W186" s="32" t="n">
        <f>10271422</f>
        <v>1.0271422E7</v>
      </c>
      <c r="X186" s="36" t="n">
        <f>21</f>
        <v>21.0</v>
      </c>
    </row>
    <row r="187">
      <c r="A187" s="27" t="s">
        <v>42</v>
      </c>
      <c r="B187" s="27" t="s">
        <v>602</v>
      </c>
      <c r="C187" s="27" t="s">
        <v>603</v>
      </c>
      <c r="D187" s="27" t="s">
        <v>604</v>
      </c>
      <c r="E187" s="28" t="s">
        <v>46</v>
      </c>
      <c r="F187" s="29" t="s">
        <v>46</v>
      </c>
      <c r="G187" s="30" t="s">
        <v>46</v>
      </c>
      <c r="H187" s="31"/>
      <c r="I187" s="31" t="s">
        <v>418</v>
      </c>
      <c r="J187" s="32" t="n">
        <v>1.0</v>
      </c>
      <c r="K187" s="33" t="n">
        <f>8021</f>
        <v>8021.0</v>
      </c>
      <c r="L187" s="34" t="s">
        <v>48</v>
      </c>
      <c r="M187" s="33" t="n">
        <f>8810</f>
        <v>8810.0</v>
      </c>
      <c r="N187" s="34" t="s">
        <v>80</v>
      </c>
      <c r="O187" s="33" t="n">
        <f>7863</f>
        <v>7863.0</v>
      </c>
      <c r="P187" s="34" t="s">
        <v>73</v>
      </c>
      <c r="Q187" s="33" t="n">
        <f>8305</f>
        <v>8305.0</v>
      </c>
      <c r="R187" s="34" t="s">
        <v>50</v>
      </c>
      <c r="S187" s="35" t="n">
        <f>8358.81</f>
        <v>8358.81</v>
      </c>
      <c r="T187" s="32" t="n">
        <f>8373</f>
        <v>8373.0</v>
      </c>
      <c r="U187" s="32" t="str">
        <f>"－"</f>
        <v>－</v>
      </c>
      <c r="V187" s="32" t="n">
        <f>70877721</f>
        <v>7.0877721E7</v>
      </c>
      <c r="W187" s="32" t="str">
        <f>"－"</f>
        <v>－</v>
      </c>
      <c r="X187" s="36" t="n">
        <f>21</f>
        <v>21.0</v>
      </c>
    </row>
    <row r="188">
      <c r="A188" s="27" t="s">
        <v>42</v>
      </c>
      <c r="B188" s="27" t="s">
        <v>605</v>
      </c>
      <c r="C188" s="27" t="s">
        <v>606</v>
      </c>
      <c r="D188" s="27" t="s">
        <v>607</v>
      </c>
      <c r="E188" s="28" t="s">
        <v>46</v>
      </c>
      <c r="F188" s="29" t="s">
        <v>46</v>
      </c>
      <c r="G188" s="30" t="s">
        <v>46</v>
      </c>
      <c r="H188" s="31"/>
      <c r="I188" s="31" t="s">
        <v>418</v>
      </c>
      <c r="J188" s="32" t="n">
        <v>1.0</v>
      </c>
      <c r="K188" s="33" t="n">
        <f>6117</f>
        <v>6117.0</v>
      </c>
      <c r="L188" s="34" t="s">
        <v>48</v>
      </c>
      <c r="M188" s="33" t="n">
        <f>6300</f>
        <v>6300.0</v>
      </c>
      <c r="N188" s="34" t="s">
        <v>73</v>
      </c>
      <c r="O188" s="33" t="n">
        <f>5818</f>
        <v>5818.0</v>
      </c>
      <c r="P188" s="34" t="s">
        <v>80</v>
      </c>
      <c r="Q188" s="33" t="n">
        <f>6145</f>
        <v>6145.0</v>
      </c>
      <c r="R188" s="34" t="s">
        <v>50</v>
      </c>
      <c r="S188" s="35" t="n">
        <f>6072.86</f>
        <v>6072.86</v>
      </c>
      <c r="T188" s="32" t="n">
        <f>5135</f>
        <v>5135.0</v>
      </c>
      <c r="U188" s="32" t="str">
        <f>"－"</f>
        <v>－</v>
      </c>
      <c r="V188" s="32" t="n">
        <f>30809067</f>
        <v>3.0809067E7</v>
      </c>
      <c r="W188" s="32" t="str">
        <f>"－"</f>
        <v>－</v>
      </c>
      <c r="X188" s="36" t="n">
        <f>21</f>
        <v>21.0</v>
      </c>
    </row>
    <row r="189">
      <c r="A189" s="27" t="s">
        <v>42</v>
      </c>
      <c r="B189" s="27" t="s">
        <v>608</v>
      </c>
      <c r="C189" s="27" t="s">
        <v>609</v>
      </c>
      <c r="D189" s="27" t="s">
        <v>610</v>
      </c>
      <c r="E189" s="28" t="s">
        <v>46</v>
      </c>
      <c r="F189" s="29" t="s">
        <v>46</v>
      </c>
      <c r="G189" s="30" t="s">
        <v>46</v>
      </c>
      <c r="H189" s="31"/>
      <c r="I189" s="31" t="s">
        <v>418</v>
      </c>
      <c r="J189" s="32" t="n">
        <v>1.0</v>
      </c>
      <c r="K189" s="33" t="n">
        <f>48000</f>
        <v>48000.0</v>
      </c>
      <c r="L189" s="34" t="s">
        <v>48</v>
      </c>
      <c r="M189" s="33" t="n">
        <f>81000</f>
        <v>81000.0</v>
      </c>
      <c r="N189" s="34" t="s">
        <v>50</v>
      </c>
      <c r="O189" s="33" t="n">
        <f>45600</f>
        <v>45600.0</v>
      </c>
      <c r="P189" s="34" t="s">
        <v>73</v>
      </c>
      <c r="Q189" s="33" t="n">
        <f>79320</f>
        <v>79320.0</v>
      </c>
      <c r="R189" s="34" t="s">
        <v>50</v>
      </c>
      <c r="S189" s="35" t="n">
        <f>63760.48</f>
        <v>63760.48</v>
      </c>
      <c r="T189" s="32" t="n">
        <f>53691</f>
        <v>53691.0</v>
      </c>
      <c r="U189" s="32" t="str">
        <f>"－"</f>
        <v>－</v>
      </c>
      <c r="V189" s="32" t="n">
        <f>3442204590</f>
        <v>3.44220459E9</v>
      </c>
      <c r="W189" s="32" t="str">
        <f>"－"</f>
        <v>－</v>
      </c>
      <c r="X189" s="36" t="n">
        <f>21</f>
        <v>21.0</v>
      </c>
    </row>
    <row r="190">
      <c r="A190" s="27" t="s">
        <v>42</v>
      </c>
      <c r="B190" s="27" t="s">
        <v>611</v>
      </c>
      <c r="C190" s="27" t="s">
        <v>612</v>
      </c>
      <c r="D190" s="27" t="s">
        <v>613</v>
      </c>
      <c r="E190" s="28" t="s">
        <v>46</v>
      </c>
      <c r="F190" s="29" t="s">
        <v>46</v>
      </c>
      <c r="G190" s="30" t="s">
        <v>46</v>
      </c>
      <c r="H190" s="31"/>
      <c r="I190" s="31" t="s">
        <v>418</v>
      </c>
      <c r="J190" s="32" t="n">
        <v>1.0</v>
      </c>
      <c r="K190" s="33" t="n">
        <f>2948</f>
        <v>2948.0</v>
      </c>
      <c r="L190" s="34" t="s">
        <v>48</v>
      </c>
      <c r="M190" s="33" t="n">
        <f>3075</f>
        <v>3075.0</v>
      </c>
      <c r="N190" s="34" t="s">
        <v>73</v>
      </c>
      <c r="O190" s="33" t="n">
        <f>2317</f>
        <v>2317.0</v>
      </c>
      <c r="P190" s="34" t="s">
        <v>207</v>
      </c>
      <c r="Q190" s="33" t="n">
        <f>2400</f>
        <v>2400.0</v>
      </c>
      <c r="R190" s="34" t="s">
        <v>50</v>
      </c>
      <c r="S190" s="35" t="n">
        <f>2612.19</f>
        <v>2612.19</v>
      </c>
      <c r="T190" s="32" t="n">
        <f>62736</f>
        <v>62736.0</v>
      </c>
      <c r="U190" s="32" t="str">
        <f>"－"</f>
        <v>－</v>
      </c>
      <c r="V190" s="32" t="n">
        <f>166935469</f>
        <v>1.66935469E8</v>
      </c>
      <c r="W190" s="32" t="str">
        <f>"－"</f>
        <v>－</v>
      </c>
      <c r="X190" s="36" t="n">
        <f>21</f>
        <v>21.0</v>
      </c>
    </row>
    <row r="191">
      <c r="A191" s="27" t="s">
        <v>42</v>
      </c>
      <c r="B191" s="27" t="s">
        <v>614</v>
      </c>
      <c r="C191" s="27" t="s">
        <v>615</v>
      </c>
      <c r="D191" s="27" t="s">
        <v>616</v>
      </c>
      <c r="E191" s="28" t="s">
        <v>46</v>
      </c>
      <c r="F191" s="29" t="s">
        <v>46</v>
      </c>
      <c r="G191" s="30" t="s">
        <v>46</v>
      </c>
      <c r="H191" s="31"/>
      <c r="I191" s="31" t="s">
        <v>418</v>
      </c>
      <c r="J191" s="32" t="n">
        <v>1.0</v>
      </c>
      <c r="K191" s="33" t="n">
        <f>202000</f>
        <v>202000.0</v>
      </c>
      <c r="L191" s="34" t="s">
        <v>48</v>
      </c>
      <c r="M191" s="33" t="n">
        <f>210000</f>
        <v>210000.0</v>
      </c>
      <c r="N191" s="34" t="s">
        <v>200</v>
      </c>
      <c r="O191" s="33" t="n">
        <f>185700</f>
        <v>185700.0</v>
      </c>
      <c r="P191" s="34" t="s">
        <v>50</v>
      </c>
      <c r="Q191" s="33" t="n">
        <f>188000</f>
        <v>188000.0</v>
      </c>
      <c r="R191" s="34" t="s">
        <v>50</v>
      </c>
      <c r="S191" s="35" t="n">
        <f>199466.67</f>
        <v>199466.67</v>
      </c>
      <c r="T191" s="32" t="n">
        <f>186431</f>
        <v>186431.0</v>
      </c>
      <c r="U191" s="32" t="n">
        <f>3002</f>
        <v>3002.0</v>
      </c>
      <c r="V191" s="32" t="n">
        <f>37265172400</f>
        <v>3.72651724E10</v>
      </c>
      <c r="W191" s="32" t="n">
        <f>579095300</f>
        <v>5.790953E8</v>
      </c>
      <c r="X191" s="36" t="n">
        <f>21</f>
        <v>21.0</v>
      </c>
    </row>
    <row r="192">
      <c r="A192" s="27" t="s">
        <v>42</v>
      </c>
      <c r="B192" s="27" t="s">
        <v>617</v>
      </c>
      <c r="C192" s="27" t="s">
        <v>618</v>
      </c>
      <c r="D192" s="27" t="s">
        <v>619</v>
      </c>
      <c r="E192" s="28" t="s">
        <v>46</v>
      </c>
      <c r="F192" s="29" t="s">
        <v>46</v>
      </c>
      <c r="G192" s="30" t="s">
        <v>46</v>
      </c>
      <c r="H192" s="31"/>
      <c r="I192" s="31" t="s">
        <v>418</v>
      </c>
      <c r="J192" s="32" t="n">
        <v>1.0</v>
      </c>
      <c r="K192" s="33" t="n">
        <f>1196</f>
        <v>1196.0</v>
      </c>
      <c r="L192" s="34" t="s">
        <v>48</v>
      </c>
      <c r="M192" s="33" t="n">
        <f>1227</f>
        <v>1227.0</v>
      </c>
      <c r="N192" s="34" t="s">
        <v>73</v>
      </c>
      <c r="O192" s="33" t="n">
        <f>1142</f>
        <v>1142.0</v>
      </c>
      <c r="P192" s="34" t="s">
        <v>88</v>
      </c>
      <c r="Q192" s="33" t="n">
        <f>1209</f>
        <v>1209.0</v>
      </c>
      <c r="R192" s="34" t="s">
        <v>50</v>
      </c>
      <c r="S192" s="35" t="n">
        <f>1171.48</f>
        <v>1171.48</v>
      </c>
      <c r="T192" s="32" t="n">
        <f>156322</f>
        <v>156322.0</v>
      </c>
      <c r="U192" s="32" t="str">
        <f>"－"</f>
        <v>－</v>
      </c>
      <c r="V192" s="32" t="n">
        <f>184359021</f>
        <v>1.84359021E8</v>
      </c>
      <c r="W192" s="32" t="str">
        <f>"－"</f>
        <v>－</v>
      </c>
      <c r="X192" s="36" t="n">
        <f>21</f>
        <v>21.0</v>
      </c>
    </row>
    <row r="193">
      <c r="A193" s="27" t="s">
        <v>42</v>
      </c>
      <c r="B193" s="27" t="s">
        <v>620</v>
      </c>
      <c r="C193" s="27" t="s">
        <v>621</v>
      </c>
      <c r="D193" s="27" t="s">
        <v>622</v>
      </c>
      <c r="E193" s="28" t="s">
        <v>46</v>
      </c>
      <c r="F193" s="29" t="s">
        <v>46</v>
      </c>
      <c r="G193" s="30" t="s">
        <v>46</v>
      </c>
      <c r="H193" s="31"/>
      <c r="I193" s="31" t="s">
        <v>418</v>
      </c>
      <c r="J193" s="32" t="n">
        <v>1.0</v>
      </c>
      <c r="K193" s="33" t="n">
        <f>2530</f>
        <v>2530.0</v>
      </c>
      <c r="L193" s="34" t="s">
        <v>48</v>
      </c>
      <c r="M193" s="33" t="n">
        <f>3079</f>
        <v>3079.0</v>
      </c>
      <c r="N193" s="34" t="s">
        <v>50</v>
      </c>
      <c r="O193" s="33" t="n">
        <f>2127</f>
        <v>2127.0</v>
      </c>
      <c r="P193" s="34" t="s">
        <v>200</v>
      </c>
      <c r="Q193" s="33" t="n">
        <f>3044</f>
        <v>3044.0</v>
      </c>
      <c r="R193" s="34" t="s">
        <v>50</v>
      </c>
      <c r="S193" s="35" t="n">
        <f>2556.86</f>
        <v>2556.86</v>
      </c>
      <c r="T193" s="32" t="n">
        <f>12060833</f>
        <v>1.2060833E7</v>
      </c>
      <c r="U193" s="32" t="n">
        <f>500</f>
        <v>500.0</v>
      </c>
      <c r="V193" s="32" t="n">
        <f>30566087503</f>
        <v>3.0566087503E10</v>
      </c>
      <c r="W193" s="32" t="n">
        <f>1275748</f>
        <v>1275748.0</v>
      </c>
      <c r="X193" s="36" t="n">
        <f>21</f>
        <v>21.0</v>
      </c>
    </row>
    <row r="194">
      <c r="A194" s="27" t="s">
        <v>42</v>
      </c>
      <c r="B194" s="27" t="s">
        <v>623</v>
      </c>
      <c r="C194" s="27" t="s">
        <v>624</v>
      </c>
      <c r="D194" s="27" t="s">
        <v>625</v>
      </c>
      <c r="E194" s="28" t="s">
        <v>46</v>
      </c>
      <c r="F194" s="29" t="s">
        <v>46</v>
      </c>
      <c r="G194" s="30" t="s">
        <v>46</v>
      </c>
      <c r="H194" s="31"/>
      <c r="I194" s="31" t="s">
        <v>418</v>
      </c>
      <c r="J194" s="32" t="n">
        <v>1.0</v>
      </c>
      <c r="K194" s="33" t="n">
        <f>551</f>
        <v>551.0</v>
      </c>
      <c r="L194" s="34" t="s">
        <v>48</v>
      </c>
      <c r="M194" s="33" t="n">
        <f>593</f>
        <v>593.0</v>
      </c>
      <c r="N194" s="34" t="s">
        <v>200</v>
      </c>
      <c r="O194" s="33" t="n">
        <f>495</f>
        <v>495.0</v>
      </c>
      <c r="P194" s="34" t="s">
        <v>50</v>
      </c>
      <c r="Q194" s="33" t="n">
        <f>497</f>
        <v>497.0</v>
      </c>
      <c r="R194" s="34" t="s">
        <v>50</v>
      </c>
      <c r="S194" s="35" t="n">
        <f>541</f>
        <v>541.0</v>
      </c>
      <c r="T194" s="32" t="n">
        <f>16859349</f>
        <v>1.6859349E7</v>
      </c>
      <c r="U194" s="32" t="n">
        <f>73</f>
        <v>73.0</v>
      </c>
      <c r="V194" s="32" t="n">
        <f>9197053244</f>
        <v>9.197053244E9</v>
      </c>
      <c r="W194" s="32" t="n">
        <f>37489</f>
        <v>37489.0</v>
      </c>
      <c r="X194" s="36" t="n">
        <f>21</f>
        <v>21.0</v>
      </c>
    </row>
    <row r="195">
      <c r="A195" s="27" t="s">
        <v>42</v>
      </c>
      <c r="B195" s="27" t="s">
        <v>626</v>
      </c>
      <c r="C195" s="27" t="s">
        <v>627</v>
      </c>
      <c r="D195" s="27" t="s">
        <v>628</v>
      </c>
      <c r="E195" s="28" t="s">
        <v>46</v>
      </c>
      <c r="F195" s="29" t="s">
        <v>46</v>
      </c>
      <c r="G195" s="30" t="s">
        <v>46</v>
      </c>
      <c r="H195" s="31"/>
      <c r="I195" s="31" t="s">
        <v>418</v>
      </c>
      <c r="J195" s="32" t="n">
        <v>1.0</v>
      </c>
      <c r="K195" s="33" t="n">
        <f>31160</f>
        <v>31160.0</v>
      </c>
      <c r="L195" s="34" t="s">
        <v>48</v>
      </c>
      <c r="M195" s="33" t="n">
        <f>35250</f>
        <v>35250.0</v>
      </c>
      <c r="N195" s="34" t="s">
        <v>144</v>
      </c>
      <c r="O195" s="33" t="n">
        <f>30620</f>
        <v>30620.0</v>
      </c>
      <c r="P195" s="34" t="s">
        <v>73</v>
      </c>
      <c r="Q195" s="33" t="n">
        <f>33790</f>
        <v>33790.0</v>
      </c>
      <c r="R195" s="34" t="s">
        <v>50</v>
      </c>
      <c r="S195" s="35" t="n">
        <f>33375.71</f>
        <v>33375.71</v>
      </c>
      <c r="T195" s="32" t="n">
        <f>16616</f>
        <v>16616.0</v>
      </c>
      <c r="U195" s="32" t="str">
        <f>"－"</f>
        <v>－</v>
      </c>
      <c r="V195" s="32" t="n">
        <f>554874310</f>
        <v>5.5487431E8</v>
      </c>
      <c r="W195" s="32" t="str">
        <f>"－"</f>
        <v>－</v>
      </c>
      <c r="X195" s="36" t="n">
        <f>21</f>
        <v>21.0</v>
      </c>
    </row>
    <row r="196">
      <c r="A196" s="27" t="s">
        <v>42</v>
      </c>
      <c r="B196" s="27" t="s">
        <v>629</v>
      </c>
      <c r="C196" s="27" t="s">
        <v>630</v>
      </c>
      <c r="D196" s="27" t="s">
        <v>631</v>
      </c>
      <c r="E196" s="28" t="s">
        <v>46</v>
      </c>
      <c r="F196" s="29" t="s">
        <v>46</v>
      </c>
      <c r="G196" s="30" t="s">
        <v>46</v>
      </c>
      <c r="H196" s="31"/>
      <c r="I196" s="31" t="s">
        <v>418</v>
      </c>
      <c r="J196" s="32" t="n">
        <v>1.0</v>
      </c>
      <c r="K196" s="33" t="n">
        <f>2219</f>
        <v>2219.0</v>
      </c>
      <c r="L196" s="34" t="s">
        <v>48</v>
      </c>
      <c r="M196" s="33" t="n">
        <f>2240</f>
        <v>2240.0</v>
      </c>
      <c r="N196" s="34" t="s">
        <v>73</v>
      </c>
      <c r="O196" s="33" t="n">
        <f>1989</f>
        <v>1989.0</v>
      </c>
      <c r="P196" s="34" t="s">
        <v>72</v>
      </c>
      <c r="Q196" s="33" t="n">
        <f>2127</f>
        <v>2127.0</v>
      </c>
      <c r="R196" s="34" t="s">
        <v>50</v>
      </c>
      <c r="S196" s="35" t="n">
        <f>2136.1</f>
        <v>2136.1</v>
      </c>
      <c r="T196" s="32" t="n">
        <f>111676</f>
        <v>111676.0</v>
      </c>
      <c r="U196" s="32" t="str">
        <f>"－"</f>
        <v>－</v>
      </c>
      <c r="V196" s="32" t="n">
        <f>239570271</f>
        <v>2.39570271E8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632</v>
      </c>
      <c r="C197" s="27" t="s">
        <v>633</v>
      </c>
      <c r="D197" s="27" t="s">
        <v>634</v>
      </c>
      <c r="E197" s="28" t="s">
        <v>46</v>
      </c>
      <c r="F197" s="29" t="s">
        <v>46</v>
      </c>
      <c r="G197" s="30" t="s">
        <v>46</v>
      </c>
      <c r="H197" s="31"/>
      <c r="I197" s="31" t="s">
        <v>418</v>
      </c>
      <c r="J197" s="32" t="n">
        <v>1.0</v>
      </c>
      <c r="K197" s="33" t="n">
        <f>7504</f>
        <v>7504.0</v>
      </c>
      <c r="L197" s="34" t="s">
        <v>48</v>
      </c>
      <c r="M197" s="33" t="n">
        <f>8470</f>
        <v>8470.0</v>
      </c>
      <c r="N197" s="34" t="s">
        <v>67</v>
      </c>
      <c r="O197" s="33" t="n">
        <f>7504</f>
        <v>7504.0</v>
      </c>
      <c r="P197" s="34" t="s">
        <v>48</v>
      </c>
      <c r="Q197" s="33" t="n">
        <f>8035</f>
        <v>8035.0</v>
      </c>
      <c r="R197" s="34" t="s">
        <v>50</v>
      </c>
      <c r="S197" s="35" t="n">
        <f>8021.48</f>
        <v>8021.48</v>
      </c>
      <c r="T197" s="32" t="n">
        <f>18619</f>
        <v>18619.0</v>
      </c>
      <c r="U197" s="32" t="str">
        <f>"－"</f>
        <v>－</v>
      </c>
      <c r="V197" s="32" t="n">
        <f>149756555</f>
        <v>1.49756555E8</v>
      </c>
      <c r="W197" s="32" t="str">
        <f>"－"</f>
        <v>－</v>
      </c>
      <c r="X197" s="36" t="n">
        <f>21</f>
        <v>21.0</v>
      </c>
    </row>
    <row r="198">
      <c r="A198" s="27" t="s">
        <v>42</v>
      </c>
      <c r="B198" s="27" t="s">
        <v>635</v>
      </c>
      <c r="C198" s="27" t="s">
        <v>636</v>
      </c>
      <c r="D198" s="27" t="s">
        <v>637</v>
      </c>
      <c r="E198" s="28" t="s">
        <v>46</v>
      </c>
      <c r="F198" s="29" t="s">
        <v>46</v>
      </c>
      <c r="G198" s="30" t="s">
        <v>46</v>
      </c>
      <c r="H198" s="31"/>
      <c r="I198" s="31" t="s">
        <v>418</v>
      </c>
      <c r="J198" s="32" t="n">
        <v>1.0</v>
      </c>
      <c r="K198" s="33" t="n">
        <f>27345</f>
        <v>27345.0</v>
      </c>
      <c r="L198" s="34" t="s">
        <v>48</v>
      </c>
      <c r="M198" s="33" t="n">
        <f>28235</f>
        <v>28235.0</v>
      </c>
      <c r="N198" s="34" t="s">
        <v>68</v>
      </c>
      <c r="O198" s="33" t="n">
        <f>26725</f>
        <v>26725.0</v>
      </c>
      <c r="P198" s="34" t="s">
        <v>50</v>
      </c>
      <c r="Q198" s="33" t="n">
        <f>27690</f>
        <v>27690.0</v>
      </c>
      <c r="R198" s="34" t="s">
        <v>50</v>
      </c>
      <c r="S198" s="35" t="n">
        <f>27690.71</f>
        <v>27690.71</v>
      </c>
      <c r="T198" s="32" t="n">
        <f>949</f>
        <v>949.0</v>
      </c>
      <c r="U198" s="32" t="str">
        <f>"－"</f>
        <v>－</v>
      </c>
      <c r="V198" s="32" t="n">
        <f>26174050</f>
        <v>2.617405E7</v>
      </c>
      <c r="W198" s="32" t="str">
        <f>"－"</f>
        <v>－</v>
      </c>
      <c r="X198" s="36" t="n">
        <f>21</f>
        <v>21.0</v>
      </c>
    </row>
    <row r="199">
      <c r="A199" s="27" t="s">
        <v>42</v>
      </c>
      <c r="B199" s="27" t="s">
        <v>638</v>
      </c>
      <c r="C199" s="27" t="s">
        <v>639</v>
      </c>
      <c r="D199" s="27" t="s">
        <v>640</v>
      </c>
      <c r="E199" s="28" t="s">
        <v>46</v>
      </c>
      <c r="F199" s="29" t="s">
        <v>46</v>
      </c>
      <c r="G199" s="30" t="s">
        <v>46</v>
      </c>
      <c r="H199" s="31"/>
      <c r="I199" s="31" t="s">
        <v>418</v>
      </c>
      <c r="J199" s="32" t="n">
        <v>1.0</v>
      </c>
      <c r="K199" s="33" t="n">
        <f>32460</f>
        <v>32460.0</v>
      </c>
      <c r="L199" s="34" t="s">
        <v>48</v>
      </c>
      <c r="M199" s="33" t="n">
        <f>33730</f>
        <v>33730.0</v>
      </c>
      <c r="N199" s="34" t="s">
        <v>282</v>
      </c>
      <c r="O199" s="33" t="n">
        <f>32140</f>
        <v>32140.0</v>
      </c>
      <c r="P199" s="34" t="s">
        <v>73</v>
      </c>
      <c r="Q199" s="33" t="n">
        <f>33230</f>
        <v>33230.0</v>
      </c>
      <c r="R199" s="34" t="s">
        <v>50</v>
      </c>
      <c r="S199" s="35" t="n">
        <f>32996.67</f>
        <v>32996.67</v>
      </c>
      <c r="T199" s="32" t="n">
        <f>13301</f>
        <v>13301.0</v>
      </c>
      <c r="U199" s="32" t="str">
        <f>"－"</f>
        <v>－</v>
      </c>
      <c r="V199" s="32" t="n">
        <f>438897470</f>
        <v>4.3889747E8</v>
      </c>
      <c r="W199" s="32" t="str">
        <f>"－"</f>
        <v>－</v>
      </c>
      <c r="X199" s="36" t="n">
        <f>21</f>
        <v>21.0</v>
      </c>
    </row>
    <row r="200">
      <c r="A200" s="27" t="s">
        <v>42</v>
      </c>
      <c r="B200" s="27" t="s">
        <v>641</v>
      </c>
      <c r="C200" s="27" t="s">
        <v>642</v>
      </c>
      <c r="D200" s="27" t="s">
        <v>643</v>
      </c>
      <c r="E200" s="28" t="s">
        <v>46</v>
      </c>
      <c r="F200" s="29" t="s">
        <v>46</v>
      </c>
      <c r="G200" s="30" t="s">
        <v>46</v>
      </c>
      <c r="H200" s="31"/>
      <c r="I200" s="31" t="s">
        <v>418</v>
      </c>
      <c r="J200" s="32" t="n">
        <v>1.0</v>
      </c>
      <c r="K200" s="33" t="n">
        <f>19250</f>
        <v>19250.0</v>
      </c>
      <c r="L200" s="34" t="s">
        <v>48</v>
      </c>
      <c r="M200" s="33" t="n">
        <f>20990</f>
        <v>20990.0</v>
      </c>
      <c r="N200" s="34" t="s">
        <v>644</v>
      </c>
      <c r="O200" s="33" t="n">
        <f>19250</f>
        <v>19250.0</v>
      </c>
      <c r="P200" s="34" t="s">
        <v>48</v>
      </c>
      <c r="Q200" s="33" t="n">
        <f>20620</f>
        <v>20620.0</v>
      </c>
      <c r="R200" s="34" t="s">
        <v>207</v>
      </c>
      <c r="S200" s="35" t="n">
        <f>20165.38</f>
        <v>20165.38</v>
      </c>
      <c r="T200" s="32" t="n">
        <f>146</f>
        <v>146.0</v>
      </c>
      <c r="U200" s="32" t="str">
        <f>"－"</f>
        <v>－</v>
      </c>
      <c r="V200" s="32" t="n">
        <f>2925435</f>
        <v>2925435.0</v>
      </c>
      <c r="W200" s="32" t="str">
        <f>"－"</f>
        <v>－</v>
      </c>
      <c r="X200" s="36" t="n">
        <f>13</f>
        <v>13.0</v>
      </c>
    </row>
    <row r="201">
      <c r="A201" s="27" t="s">
        <v>42</v>
      </c>
      <c r="B201" s="27" t="s">
        <v>645</v>
      </c>
      <c r="C201" s="27" t="s">
        <v>646</v>
      </c>
      <c r="D201" s="27" t="s">
        <v>647</v>
      </c>
      <c r="E201" s="28" t="s">
        <v>46</v>
      </c>
      <c r="F201" s="29" t="s">
        <v>46</v>
      </c>
      <c r="G201" s="30" t="s">
        <v>46</v>
      </c>
      <c r="H201" s="31"/>
      <c r="I201" s="31" t="s">
        <v>418</v>
      </c>
      <c r="J201" s="32" t="n">
        <v>1.0</v>
      </c>
      <c r="K201" s="33" t="n">
        <f>23125</f>
        <v>23125.0</v>
      </c>
      <c r="L201" s="34" t="s">
        <v>48</v>
      </c>
      <c r="M201" s="33" t="n">
        <f>27120</f>
        <v>27120.0</v>
      </c>
      <c r="N201" s="34" t="s">
        <v>67</v>
      </c>
      <c r="O201" s="33" t="n">
        <f>22160</f>
        <v>22160.0</v>
      </c>
      <c r="P201" s="34" t="s">
        <v>73</v>
      </c>
      <c r="Q201" s="33" t="n">
        <f>25065</f>
        <v>25065.0</v>
      </c>
      <c r="R201" s="34" t="s">
        <v>50</v>
      </c>
      <c r="S201" s="35" t="n">
        <f>25466.19</f>
        <v>25466.19</v>
      </c>
      <c r="T201" s="32" t="n">
        <f>34355</f>
        <v>34355.0</v>
      </c>
      <c r="U201" s="32" t="str">
        <f>"－"</f>
        <v>－</v>
      </c>
      <c r="V201" s="32" t="n">
        <f>870271250</f>
        <v>8.7027125E8</v>
      </c>
      <c r="W201" s="32" t="str">
        <f>"－"</f>
        <v>－</v>
      </c>
      <c r="X201" s="36" t="n">
        <f>21</f>
        <v>21.0</v>
      </c>
    </row>
    <row r="202">
      <c r="A202" s="27" t="s">
        <v>42</v>
      </c>
      <c r="B202" s="27" t="s">
        <v>648</v>
      </c>
      <c r="C202" s="27" t="s">
        <v>649</v>
      </c>
      <c r="D202" s="27" t="s">
        <v>650</v>
      </c>
      <c r="E202" s="28" t="s">
        <v>46</v>
      </c>
      <c r="F202" s="29" t="s">
        <v>46</v>
      </c>
      <c r="G202" s="30" t="s">
        <v>46</v>
      </c>
      <c r="H202" s="31"/>
      <c r="I202" s="31" t="s">
        <v>418</v>
      </c>
      <c r="J202" s="32" t="n">
        <v>1.0</v>
      </c>
      <c r="K202" s="33" t="n">
        <f>3679</f>
        <v>3679.0</v>
      </c>
      <c r="L202" s="34" t="s">
        <v>48</v>
      </c>
      <c r="M202" s="33" t="n">
        <f>3800</f>
        <v>3800.0</v>
      </c>
      <c r="N202" s="34" t="s">
        <v>73</v>
      </c>
      <c r="O202" s="33" t="n">
        <f>3408</f>
        <v>3408.0</v>
      </c>
      <c r="P202" s="34" t="s">
        <v>50</v>
      </c>
      <c r="Q202" s="33" t="n">
        <f>3488</f>
        <v>3488.0</v>
      </c>
      <c r="R202" s="34" t="s">
        <v>50</v>
      </c>
      <c r="S202" s="35" t="n">
        <f>3560.29</f>
        <v>3560.29</v>
      </c>
      <c r="T202" s="32" t="n">
        <f>4730</f>
        <v>4730.0</v>
      </c>
      <c r="U202" s="32" t="str">
        <f>"－"</f>
        <v>－</v>
      </c>
      <c r="V202" s="32" t="n">
        <f>17044167</f>
        <v>1.7044167E7</v>
      </c>
      <c r="W202" s="32" t="str">
        <f>"－"</f>
        <v>－</v>
      </c>
      <c r="X202" s="36" t="n">
        <f>21</f>
        <v>21.0</v>
      </c>
    </row>
    <row r="203">
      <c r="A203" s="27" t="s">
        <v>42</v>
      </c>
      <c r="B203" s="27" t="s">
        <v>651</v>
      </c>
      <c r="C203" s="27" t="s">
        <v>652</v>
      </c>
      <c r="D203" s="27" t="s">
        <v>653</v>
      </c>
      <c r="E203" s="28" t="s">
        <v>46</v>
      </c>
      <c r="F203" s="29" t="s">
        <v>46</v>
      </c>
      <c r="G203" s="30" t="s">
        <v>46</v>
      </c>
      <c r="H203" s="31"/>
      <c r="I203" s="31" t="s">
        <v>418</v>
      </c>
      <c r="J203" s="32" t="n">
        <v>1.0</v>
      </c>
      <c r="K203" s="33" t="n">
        <f>49930</f>
        <v>49930.0</v>
      </c>
      <c r="L203" s="34" t="s">
        <v>60</v>
      </c>
      <c r="M203" s="33" t="n">
        <f>51710</f>
        <v>51710.0</v>
      </c>
      <c r="N203" s="34" t="s">
        <v>116</v>
      </c>
      <c r="O203" s="33" t="n">
        <f>47730</f>
        <v>47730.0</v>
      </c>
      <c r="P203" s="34" t="s">
        <v>207</v>
      </c>
      <c r="Q203" s="33" t="n">
        <f>48910</f>
        <v>48910.0</v>
      </c>
      <c r="R203" s="34" t="s">
        <v>207</v>
      </c>
      <c r="S203" s="35" t="n">
        <f>50256.36</f>
        <v>50256.36</v>
      </c>
      <c r="T203" s="32" t="n">
        <f>832</f>
        <v>832.0</v>
      </c>
      <c r="U203" s="32" t="n">
        <f>500</f>
        <v>500.0</v>
      </c>
      <c r="V203" s="32" t="n">
        <f>42083940</f>
        <v>4.208394E7</v>
      </c>
      <c r="W203" s="32" t="n">
        <f>25445000</f>
        <v>2.5445E7</v>
      </c>
      <c r="X203" s="36" t="n">
        <f>11</f>
        <v>11.0</v>
      </c>
    </row>
    <row r="204">
      <c r="A204" s="27" t="s">
        <v>42</v>
      </c>
      <c r="B204" s="27" t="s">
        <v>654</v>
      </c>
      <c r="C204" s="27" t="s">
        <v>655</v>
      </c>
      <c r="D204" s="27" t="s">
        <v>656</v>
      </c>
      <c r="E204" s="28" t="s">
        <v>46</v>
      </c>
      <c r="F204" s="29" t="s">
        <v>46</v>
      </c>
      <c r="G204" s="30" t="s">
        <v>46</v>
      </c>
      <c r="H204" s="31"/>
      <c r="I204" s="31" t="s">
        <v>418</v>
      </c>
      <c r="J204" s="32" t="n">
        <v>1.0</v>
      </c>
      <c r="K204" s="33" t="n">
        <f>29165</f>
        <v>29165.0</v>
      </c>
      <c r="L204" s="34" t="s">
        <v>48</v>
      </c>
      <c r="M204" s="33" t="n">
        <f>30770</f>
        <v>30770.0</v>
      </c>
      <c r="N204" s="34" t="s">
        <v>143</v>
      </c>
      <c r="O204" s="33" t="n">
        <f>29165</f>
        <v>29165.0</v>
      </c>
      <c r="P204" s="34" t="s">
        <v>48</v>
      </c>
      <c r="Q204" s="33" t="n">
        <f>30220</f>
        <v>30220.0</v>
      </c>
      <c r="R204" s="34" t="s">
        <v>50</v>
      </c>
      <c r="S204" s="35" t="n">
        <f>30148.57</f>
        <v>30148.57</v>
      </c>
      <c r="T204" s="32" t="n">
        <f>1179</f>
        <v>1179.0</v>
      </c>
      <c r="U204" s="32" t="n">
        <f>1000</f>
        <v>1000.0</v>
      </c>
      <c r="V204" s="32" t="n">
        <f>36929685</f>
        <v>3.6929685E7</v>
      </c>
      <c r="W204" s="32" t="n">
        <f>31530000</f>
        <v>3.153E7</v>
      </c>
      <c r="X204" s="36" t="n">
        <f>14</f>
        <v>14.0</v>
      </c>
    </row>
    <row r="205">
      <c r="A205" s="27" t="s">
        <v>42</v>
      </c>
      <c r="B205" s="27" t="s">
        <v>657</v>
      </c>
      <c r="C205" s="27" t="s">
        <v>658</v>
      </c>
      <c r="D205" s="27" t="s">
        <v>659</v>
      </c>
      <c r="E205" s="28" t="s">
        <v>46</v>
      </c>
      <c r="F205" s="29" t="s">
        <v>46</v>
      </c>
      <c r="G205" s="30" t="s">
        <v>46</v>
      </c>
      <c r="H205" s="31"/>
      <c r="I205" s="31" t="s">
        <v>418</v>
      </c>
      <c r="J205" s="32" t="n">
        <v>1.0</v>
      </c>
      <c r="K205" s="33" t="n">
        <f>56610</f>
        <v>56610.0</v>
      </c>
      <c r="L205" s="34" t="s">
        <v>200</v>
      </c>
      <c r="M205" s="33" t="n">
        <f>56610</f>
        <v>56610.0</v>
      </c>
      <c r="N205" s="34" t="s">
        <v>200</v>
      </c>
      <c r="O205" s="33" t="n">
        <f>53130</f>
        <v>53130.0</v>
      </c>
      <c r="P205" s="34" t="s">
        <v>282</v>
      </c>
      <c r="Q205" s="33" t="n">
        <f>53710</f>
        <v>53710.0</v>
      </c>
      <c r="R205" s="34" t="s">
        <v>50</v>
      </c>
      <c r="S205" s="35" t="n">
        <f>54823.57</f>
        <v>54823.57</v>
      </c>
      <c r="T205" s="32" t="n">
        <f>120</f>
        <v>120.0</v>
      </c>
      <c r="U205" s="32" t="str">
        <f>"－"</f>
        <v>－</v>
      </c>
      <c r="V205" s="32" t="n">
        <f>6579850</f>
        <v>6579850.0</v>
      </c>
      <c r="W205" s="32" t="str">
        <f>"－"</f>
        <v>－</v>
      </c>
      <c r="X205" s="36" t="n">
        <f>14</f>
        <v>14.0</v>
      </c>
    </row>
    <row r="206">
      <c r="A206" s="27" t="s">
        <v>42</v>
      </c>
      <c r="B206" s="27" t="s">
        <v>660</v>
      </c>
      <c r="C206" s="27" t="s">
        <v>661</v>
      </c>
      <c r="D206" s="27" t="s">
        <v>662</v>
      </c>
      <c r="E206" s="28" t="s">
        <v>46</v>
      </c>
      <c r="F206" s="29" t="s">
        <v>46</v>
      </c>
      <c r="G206" s="30" t="s">
        <v>46</v>
      </c>
      <c r="H206" s="31"/>
      <c r="I206" s="31" t="s">
        <v>418</v>
      </c>
      <c r="J206" s="32" t="n">
        <v>1.0</v>
      </c>
      <c r="K206" s="33" t="str">
        <f>"－"</f>
        <v>－</v>
      </c>
      <c r="L206" s="34"/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5" t="str">
        <f>"－"</f>
        <v>－</v>
      </c>
      <c r="T206" s="32" t="n">
        <f>3000</f>
        <v>3000.0</v>
      </c>
      <c r="U206" s="32" t="n">
        <f>3000</f>
        <v>3000.0</v>
      </c>
      <c r="V206" s="32" t="n">
        <f>77545000</f>
        <v>7.7545E7</v>
      </c>
      <c r="W206" s="32" t="n">
        <f>77545000</f>
        <v>7.7545E7</v>
      </c>
      <c r="X206" s="36" t="str">
        <f>"－"</f>
        <v>－</v>
      </c>
    </row>
    <row r="207">
      <c r="A207" s="27" t="s">
        <v>42</v>
      </c>
      <c r="B207" s="27" t="s">
        <v>663</v>
      </c>
      <c r="C207" s="27" t="s">
        <v>664</v>
      </c>
      <c r="D207" s="27" t="s">
        <v>665</v>
      </c>
      <c r="E207" s="28" t="s">
        <v>46</v>
      </c>
      <c r="F207" s="29" t="s">
        <v>46</v>
      </c>
      <c r="G207" s="30" t="s">
        <v>46</v>
      </c>
      <c r="H207" s="31"/>
      <c r="I207" s="31" t="s">
        <v>418</v>
      </c>
      <c r="J207" s="32" t="n">
        <v>1.0</v>
      </c>
      <c r="K207" s="33" t="n">
        <f>26060</f>
        <v>26060.0</v>
      </c>
      <c r="L207" s="34" t="s">
        <v>68</v>
      </c>
      <c r="M207" s="33" t="n">
        <f>27065</f>
        <v>27065.0</v>
      </c>
      <c r="N207" s="34" t="s">
        <v>143</v>
      </c>
      <c r="O207" s="33" t="n">
        <f>25970</f>
        <v>25970.0</v>
      </c>
      <c r="P207" s="34" t="s">
        <v>50</v>
      </c>
      <c r="Q207" s="33" t="n">
        <f>26055</f>
        <v>26055.0</v>
      </c>
      <c r="R207" s="34" t="s">
        <v>50</v>
      </c>
      <c r="S207" s="35" t="n">
        <f>26612.92</f>
        <v>26612.92</v>
      </c>
      <c r="T207" s="32" t="n">
        <f>892</f>
        <v>892.0</v>
      </c>
      <c r="U207" s="32" t="str">
        <f>"－"</f>
        <v>－</v>
      </c>
      <c r="V207" s="32" t="n">
        <f>23758460</f>
        <v>2.375846E7</v>
      </c>
      <c r="W207" s="32" t="str">
        <f>"－"</f>
        <v>－</v>
      </c>
      <c r="X207" s="36" t="n">
        <f>12</f>
        <v>12.0</v>
      </c>
    </row>
    <row r="208">
      <c r="A208" s="27" t="s">
        <v>42</v>
      </c>
      <c r="B208" s="27" t="s">
        <v>666</v>
      </c>
      <c r="C208" s="27" t="s">
        <v>667</v>
      </c>
      <c r="D208" s="27" t="s">
        <v>668</v>
      </c>
      <c r="E208" s="28" t="s">
        <v>46</v>
      </c>
      <c r="F208" s="29" t="s">
        <v>46</v>
      </c>
      <c r="G208" s="30" t="s">
        <v>46</v>
      </c>
      <c r="H208" s="31"/>
      <c r="I208" s="31" t="s">
        <v>418</v>
      </c>
      <c r="J208" s="32" t="n">
        <v>1.0</v>
      </c>
      <c r="K208" s="33" t="str">
        <f>"－"</f>
        <v>－</v>
      </c>
      <c r="L208" s="34"/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5" t="str">
        <f>"－"</f>
        <v>－</v>
      </c>
      <c r="T208" s="32" t="n">
        <f>4000</f>
        <v>4000.0</v>
      </c>
      <c r="U208" s="32" t="n">
        <f>4000</f>
        <v>4000.0</v>
      </c>
      <c r="V208" s="32" t="n">
        <f>161400000</f>
        <v>1.614E8</v>
      </c>
      <c r="W208" s="32" t="n">
        <f>161400000</f>
        <v>1.614E8</v>
      </c>
      <c r="X208" s="36" t="str">
        <f>"－"</f>
        <v>－</v>
      </c>
    </row>
    <row r="209">
      <c r="A209" s="27" t="s">
        <v>42</v>
      </c>
      <c r="B209" s="27" t="s">
        <v>669</v>
      </c>
      <c r="C209" s="27" t="s">
        <v>670</v>
      </c>
      <c r="D209" s="27" t="s">
        <v>671</v>
      </c>
      <c r="E209" s="28" t="s">
        <v>46</v>
      </c>
      <c r="F209" s="29" t="s">
        <v>46</v>
      </c>
      <c r="G209" s="30" t="s">
        <v>46</v>
      </c>
      <c r="H209" s="31"/>
      <c r="I209" s="31" t="s">
        <v>418</v>
      </c>
      <c r="J209" s="32" t="n">
        <v>1.0</v>
      </c>
      <c r="K209" s="33" t="str">
        <f>"－"</f>
        <v>－</v>
      </c>
      <c r="L209" s="34"/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5" t="str">
        <f>"－"</f>
        <v>－</v>
      </c>
      <c r="T209" s="32" t="str">
        <f>"－"</f>
        <v>－</v>
      </c>
      <c r="U209" s="32" t="str">
        <f>"－"</f>
        <v>－</v>
      </c>
      <c r="V209" s="32" t="str">
        <f>"－"</f>
        <v>－</v>
      </c>
      <c r="W209" s="32" t="str">
        <f>"－"</f>
        <v>－</v>
      </c>
      <c r="X209" s="36" t="str">
        <f>"－"</f>
        <v>－</v>
      </c>
    </row>
    <row r="210">
      <c r="A210" s="27" t="s">
        <v>42</v>
      </c>
      <c r="B210" s="27" t="s">
        <v>672</v>
      </c>
      <c r="C210" s="27" t="s">
        <v>673</v>
      </c>
      <c r="D210" s="27" t="s">
        <v>674</v>
      </c>
      <c r="E210" s="28" t="s">
        <v>46</v>
      </c>
      <c r="F210" s="29" t="s">
        <v>46</v>
      </c>
      <c r="G210" s="30" t="s">
        <v>46</v>
      </c>
      <c r="H210" s="31"/>
      <c r="I210" s="31" t="s">
        <v>418</v>
      </c>
      <c r="J210" s="32" t="n">
        <v>1.0</v>
      </c>
      <c r="K210" s="33" t="n">
        <f>14425</f>
        <v>14425.0</v>
      </c>
      <c r="L210" s="34" t="s">
        <v>48</v>
      </c>
      <c r="M210" s="33" t="n">
        <f>14815</f>
        <v>14815.0</v>
      </c>
      <c r="N210" s="34" t="s">
        <v>67</v>
      </c>
      <c r="O210" s="33" t="n">
        <f>14120</f>
        <v>14120.0</v>
      </c>
      <c r="P210" s="34" t="s">
        <v>50</v>
      </c>
      <c r="Q210" s="33" t="n">
        <f>14200</f>
        <v>14200.0</v>
      </c>
      <c r="R210" s="34" t="s">
        <v>50</v>
      </c>
      <c r="S210" s="35" t="n">
        <f>14520.26</f>
        <v>14520.26</v>
      </c>
      <c r="T210" s="32" t="n">
        <f>89</f>
        <v>89.0</v>
      </c>
      <c r="U210" s="32" t="str">
        <f>"－"</f>
        <v>－</v>
      </c>
      <c r="V210" s="32" t="n">
        <f>1294370</f>
        <v>1294370.0</v>
      </c>
      <c r="W210" s="32" t="str">
        <f>"－"</f>
        <v>－</v>
      </c>
      <c r="X210" s="36" t="n">
        <f>19</f>
        <v>19.0</v>
      </c>
    </row>
    <row r="211">
      <c r="A211" s="27" t="s">
        <v>42</v>
      </c>
      <c r="B211" s="27" t="s">
        <v>675</v>
      </c>
      <c r="C211" s="27" t="s">
        <v>676</v>
      </c>
      <c r="D211" s="27" t="s">
        <v>677</v>
      </c>
      <c r="E211" s="28" t="s">
        <v>46</v>
      </c>
      <c r="F211" s="29" t="s">
        <v>46</v>
      </c>
      <c r="G211" s="30" t="s">
        <v>46</v>
      </c>
      <c r="H211" s="31"/>
      <c r="I211" s="31" t="s">
        <v>418</v>
      </c>
      <c r="J211" s="32" t="n">
        <v>1.0</v>
      </c>
      <c r="K211" s="33" t="n">
        <f>17380</f>
        <v>17380.0</v>
      </c>
      <c r="L211" s="34" t="s">
        <v>48</v>
      </c>
      <c r="M211" s="33" t="n">
        <f>18375</f>
        <v>18375.0</v>
      </c>
      <c r="N211" s="34" t="s">
        <v>80</v>
      </c>
      <c r="O211" s="33" t="n">
        <f>17280</f>
        <v>17280.0</v>
      </c>
      <c r="P211" s="34" t="s">
        <v>48</v>
      </c>
      <c r="Q211" s="33" t="n">
        <f>18040</f>
        <v>18040.0</v>
      </c>
      <c r="R211" s="34" t="s">
        <v>207</v>
      </c>
      <c r="S211" s="35" t="n">
        <f>18036</f>
        <v>18036.0</v>
      </c>
      <c r="T211" s="32" t="n">
        <f>2892</f>
        <v>2892.0</v>
      </c>
      <c r="U211" s="32" t="str">
        <f>"－"</f>
        <v>－</v>
      </c>
      <c r="V211" s="32" t="n">
        <f>52186150</f>
        <v>5.218615E7</v>
      </c>
      <c r="W211" s="32" t="str">
        <f>"－"</f>
        <v>－</v>
      </c>
      <c r="X211" s="36" t="n">
        <f>10</f>
        <v>10.0</v>
      </c>
    </row>
    <row r="212">
      <c r="A212" s="27" t="s">
        <v>42</v>
      </c>
      <c r="B212" s="27" t="s">
        <v>678</v>
      </c>
      <c r="C212" s="27" t="s">
        <v>679</v>
      </c>
      <c r="D212" s="27" t="s">
        <v>680</v>
      </c>
      <c r="E212" s="28" t="s">
        <v>46</v>
      </c>
      <c r="F212" s="29" t="s">
        <v>46</v>
      </c>
      <c r="G212" s="30" t="s">
        <v>46</v>
      </c>
      <c r="H212" s="31"/>
      <c r="I212" s="31" t="s">
        <v>418</v>
      </c>
      <c r="J212" s="32" t="n">
        <v>1.0</v>
      </c>
      <c r="K212" s="33" t="n">
        <f>19475</f>
        <v>19475.0</v>
      </c>
      <c r="L212" s="34" t="s">
        <v>48</v>
      </c>
      <c r="M212" s="33" t="n">
        <f>20375</f>
        <v>20375.0</v>
      </c>
      <c r="N212" s="34" t="s">
        <v>49</v>
      </c>
      <c r="O212" s="33" t="n">
        <f>18425</f>
        <v>18425.0</v>
      </c>
      <c r="P212" s="34" t="s">
        <v>282</v>
      </c>
      <c r="Q212" s="33" t="n">
        <f>19680</f>
        <v>19680.0</v>
      </c>
      <c r="R212" s="34" t="s">
        <v>207</v>
      </c>
      <c r="S212" s="35" t="n">
        <f>19817.19</f>
        <v>19817.19</v>
      </c>
      <c r="T212" s="32" t="n">
        <f>7329</f>
        <v>7329.0</v>
      </c>
      <c r="U212" s="32" t="str">
        <f>"－"</f>
        <v>－</v>
      </c>
      <c r="V212" s="32" t="n">
        <f>136090725</f>
        <v>1.36090725E8</v>
      </c>
      <c r="W212" s="32" t="str">
        <f>"－"</f>
        <v>－</v>
      </c>
      <c r="X212" s="36" t="n">
        <f>16</f>
        <v>16.0</v>
      </c>
    </row>
    <row r="213">
      <c r="A213" s="27" t="s">
        <v>42</v>
      </c>
      <c r="B213" s="27" t="s">
        <v>681</v>
      </c>
      <c r="C213" s="27" t="s">
        <v>682</v>
      </c>
      <c r="D213" s="27" t="s">
        <v>683</v>
      </c>
      <c r="E213" s="28" t="s">
        <v>46</v>
      </c>
      <c r="F213" s="29" t="s">
        <v>46</v>
      </c>
      <c r="G213" s="30" t="s">
        <v>46</v>
      </c>
      <c r="H213" s="31"/>
      <c r="I213" s="31" t="s">
        <v>418</v>
      </c>
      <c r="J213" s="32" t="n">
        <v>1.0</v>
      </c>
      <c r="K213" s="33" t="str">
        <f>"－"</f>
        <v>－</v>
      </c>
      <c r="L213" s="34"/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5" t="str">
        <f>"－"</f>
        <v>－</v>
      </c>
      <c r="T213" s="32" t="str">
        <f>"－"</f>
        <v>－</v>
      </c>
      <c r="U213" s="32" t="str">
        <f>"－"</f>
        <v>－</v>
      </c>
      <c r="V213" s="32" t="str">
        <f>"－"</f>
        <v>－</v>
      </c>
      <c r="W213" s="32" t="str">
        <f>"－"</f>
        <v>－</v>
      </c>
      <c r="X213" s="36" t="str">
        <f>"－"</f>
        <v>－</v>
      </c>
    </row>
    <row r="214">
      <c r="A214" s="27" t="s">
        <v>42</v>
      </c>
      <c r="B214" s="27" t="s">
        <v>684</v>
      </c>
      <c r="C214" s="27" t="s">
        <v>685</v>
      </c>
      <c r="D214" s="27" t="s">
        <v>686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1804</f>
        <v>1804.0</v>
      </c>
      <c r="L214" s="34" t="s">
        <v>48</v>
      </c>
      <c r="M214" s="33" t="n">
        <f>1857</f>
        <v>1857.0</v>
      </c>
      <c r="N214" s="34" t="s">
        <v>200</v>
      </c>
      <c r="O214" s="33" t="n">
        <f>1724</f>
        <v>1724.0</v>
      </c>
      <c r="P214" s="34" t="s">
        <v>72</v>
      </c>
      <c r="Q214" s="33" t="n">
        <f>1783</f>
        <v>1783.0</v>
      </c>
      <c r="R214" s="34" t="s">
        <v>50</v>
      </c>
      <c r="S214" s="35" t="n">
        <f>1795.52</f>
        <v>1795.52</v>
      </c>
      <c r="T214" s="32" t="n">
        <f>1097985</f>
        <v>1097985.0</v>
      </c>
      <c r="U214" s="32" t="n">
        <f>20000</f>
        <v>20000.0</v>
      </c>
      <c r="V214" s="32" t="n">
        <f>1972287795</f>
        <v>1.972287795E9</v>
      </c>
      <c r="W214" s="32" t="n">
        <f>35860400</f>
        <v>3.58604E7</v>
      </c>
      <c r="X214" s="36" t="n">
        <f>21</f>
        <v>21.0</v>
      </c>
    </row>
    <row r="215">
      <c r="A215" s="27" t="s">
        <v>42</v>
      </c>
      <c r="B215" s="27" t="s">
        <v>687</v>
      </c>
      <c r="C215" s="27" t="s">
        <v>688</v>
      </c>
      <c r="D215" s="27" t="s">
        <v>689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1807</f>
        <v>1807.0</v>
      </c>
      <c r="L215" s="34" t="s">
        <v>48</v>
      </c>
      <c r="M215" s="33" t="n">
        <f>2020</f>
        <v>2020.0</v>
      </c>
      <c r="N215" s="34" t="s">
        <v>220</v>
      </c>
      <c r="O215" s="33" t="n">
        <f>1807</f>
        <v>1807.0</v>
      </c>
      <c r="P215" s="34" t="s">
        <v>48</v>
      </c>
      <c r="Q215" s="33" t="n">
        <f>1912</f>
        <v>1912.0</v>
      </c>
      <c r="R215" s="34" t="s">
        <v>50</v>
      </c>
      <c r="S215" s="35" t="n">
        <f>1916.33</f>
        <v>1916.33</v>
      </c>
      <c r="T215" s="32" t="n">
        <f>14757</f>
        <v>14757.0</v>
      </c>
      <c r="U215" s="32" t="str">
        <f>"－"</f>
        <v>－</v>
      </c>
      <c r="V215" s="32" t="n">
        <f>28495272</f>
        <v>2.8495272E7</v>
      </c>
      <c r="W215" s="32" t="str">
        <f>"－"</f>
        <v>－</v>
      </c>
      <c r="X215" s="36" t="n">
        <f>21</f>
        <v>21.0</v>
      </c>
    </row>
    <row r="216">
      <c r="A216" s="27" t="s">
        <v>42</v>
      </c>
      <c r="B216" s="27" t="s">
        <v>690</v>
      </c>
      <c r="C216" s="27" t="s">
        <v>691</v>
      </c>
      <c r="D216" s="27" t="s">
        <v>692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1186</f>
        <v>1186.0</v>
      </c>
      <c r="L216" s="34" t="s">
        <v>48</v>
      </c>
      <c r="M216" s="33" t="n">
        <f>1244</f>
        <v>1244.0</v>
      </c>
      <c r="N216" s="34" t="s">
        <v>143</v>
      </c>
      <c r="O216" s="33" t="n">
        <f>1141</f>
        <v>1141.0</v>
      </c>
      <c r="P216" s="34" t="s">
        <v>220</v>
      </c>
      <c r="Q216" s="33" t="n">
        <f>1155</f>
        <v>1155.0</v>
      </c>
      <c r="R216" s="34" t="s">
        <v>50</v>
      </c>
      <c r="S216" s="35" t="n">
        <f>1183.57</f>
        <v>1183.57</v>
      </c>
      <c r="T216" s="32" t="n">
        <f>1309</f>
        <v>1309.0</v>
      </c>
      <c r="U216" s="32" t="str">
        <f>"－"</f>
        <v>－</v>
      </c>
      <c r="V216" s="32" t="n">
        <f>1560763</f>
        <v>1560763.0</v>
      </c>
      <c r="W216" s="32" t="str">
        <f>"－"</f>
        <v>－</v>
      </c>
      <c r="X216" s="36" t="n">
        <f>21</f>
        <v>21.0</v>
      </c>
    </row>
    <row r="217">
      <c r="A217" s="27" t="s">
        <v>42</v>
      </c>
      <c r="B217" s="27" t="s">
        <v>693</v>
      </c>
      <c r="C217" s="27" t="s">
        <v>694</v>
      </c>
      <c r="D217" s="27" t="s">
        <v>695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1.0</v>
      </c>
      <c r="K217" s="33" t="n">
        <f>3131</f>
        <v>3131.0</v>
      </c>
      <c r="L217" s="34" t="s">
        <v>48</v>
      </c>
      <c r="M217" s="33" t="n">
        <f>3402</f>
        <v>3402.0</v>
      </c>
      <c r="N217" s="34" t="s">
        <v>207</v>
      </c>
      <c r="O217" s="33" t="n">
        <f>3062</f>
        <v>3062.0</v>
      </c>
      <c r="P217" s="34" t="s">
        <v>68</v>
      </c>
      <c r="Q217" s="33" t="n">
        <f>3376</f>
        <v>3376.0</v>
      </c>
      <c r="R217" s="34" t="s">
        <v>50</v>
      </c>
      <c r="S217" s="35" t="n">
        <f>3288.33</f>
        <v>3288.33</v>
      </c>
      <c r="T217" s="32" t="n">
        <f>125598</f>
        <v>125598.0</v>
      </c>
      <c r="U217" s="32" t="str">
        <f>"－"</f>
        <v>－</v>
      </c>
      <c r="V217" s="32" t="n">
        <f>411411935</f>
        <v>4.11411935E8</v>
      </c>
      <c r="W217" s="32" t="str">
        <f>"－"</f>
        <v>－</v>
      </c>
      <c r="X217" s="36" t="n">
        <f>21</f>
        <v>21.0</v>
      </c>
    </row>
    <row r="218">
      <c r="A218" s="27" t="s">
        <v>42</v>
      </c>
      <c r="B218" s="27" t="s">
        <v>696</v>
      </c>
      <c r="C218" s="27" t="s">
        <v>697</v>
      </c>
      <c r="D218" s="27" t="s">
        <v>698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3439</f>
        <v>3439.0</v>
      </c>
      <c r="L218" s="34" t="s">
        <v>48</v>
      </c>
      <c r="M218" s="33" t="n">
        <f>3519</f>
        <v>3519.0</v>
      </c>
      <c r="N218" s="34" t="s">
        <v>184</v>
      </c>
      <c r="O218" s="33" t="n">
        <f>3346</f>
        <v>3346.0</v>
      </c>
      <c r="P218" s="34" t="s">
        <v>72</v>
      </c>
      <c r="Q218" s="33" t="n">
        <f>3396</f>
        <v>3396.0</v>
      </c>
      <c r="R218" s="34" t="s">
        <v>50</v>
      </c>
      <c r="S218" s="35" t="n">
        <f>3439</f>
        <v>3439.0</v>
      </c>
      <c r="T218" s="32" t="n">
        <f>384898</f>
        <v>384898.0</v>
      </c>
      <c r="U218" s="32" t="n">
        <f>42440</f>
        <v>42440.0</v>
      </c>
      <c r="V218" s="32" t="n">
        <f>1326233765</f>
        <v>1.326233765E9</v>
      </c>
      <c r="W218" s="32" t="n">
        <f>147276090</f>
        <v>1.4727609E8</v>
      </c>
      <c r="X218" s="36" t="n">
        <f>21</f>
        <v>21.0</v>
      </c>
    </row>
    <row r="219">
      <c r="A219" s="27" t="s">
        <v>42</v>
      </c>
      <c r="B219" s="27" t="s">
        <v>699</v>
      </c>
      <c r="C219" s="27" t="s">
        <v>700</v>
      </c>
      <c r="D219" s="27" t="s">
        <v>701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754.8</f>
        <v>754.8</v>
      </c>
      <c r="L219" s="34" t="s">
        <v>48</v>
      </c>
      <c r="M219" s="33" t="n">
        <f>770</f>
        <v>770.0</v>
      </c>
      <c r="N219" s="34" t="s">
        <v>200</v>
      </c>
      <c r="O219" s="33" t="n">
        <f>700.8</f>
        <v>700.8</v>
      </c>
      <c r="P219" s="34" t="s">
        <v>72</v>
      </c>
      <c r="Q219" s="33" t="n">
        <f>706.4</f>
        <v>706.4</v>
      </c>
      <c r="R219" s="34" t="s">
        <v>50</v>
      </c>
      <c r="S219" s="35" t="n">
        <f>731.05</f>
        <v>731.05</v>
      </c>
      <c r="T219" s="32" t="n">
        <f>864470</f>
        <v>864470.0</v>
      </c>
      <c r="U219" s="32" t="n">
        <f>33240</f>
        <v>33240.0</v>
      </c>
      <c r="V219" s="32" t="n">
        <f>634687557</f>
        <v>6.34687557E8</v>
      </c>
      <c r="W219" s="32" t="n">
        <f>24963025</f>
        <v>2.4963025E7</v>
      </c>
      <c r="X219" s="36" t="n">
        <f>21</f>
        <v>21.0</v>
      </c>
    </row>
    <row r="220">
      <c r="A220" s="27" t="s">
        <v>42</v>
      </c>
      <c r="B220" s="27" t="s">
        <v>702</v>
      </c>
      <c r="C220" s="27" t="s">
        <v>703</v>
      </c>
      <c r="D220" s="27" t="s">
        <v>704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2651</f>
        <v>2651.0</v>
      </c>
      <c r="L220" s="34" t="s">
        <v>48</v>
      </c>
      <c r="M220" s="33" t="n">
        <f>2892</f>
        <v>2892.0</v>
      </c>
      <c r="N220" s="34" t="s">
        <v>72</v>
      </c>
      <c r="O220" s="33" t="n">
        <f>2622</f>
        <v>2622.0</v>
      </c>
      <c r="P220" s="34" t="s">
        <v>73</v>
      </c>
      <c r="Q220" s="33" t="n">
        <f>2854</f>
        <v>2854.0</v>
      </c>
      <c r="R220" s="34" t="s">
        <v>50</v>
      </c>
      <c r="S220" s="35" t="n">
        <f>2775.9</f>
        <v>2775.9</v>
      </c>
      <c r="T220" s="32" t="n">
        <f>1491189</f>
        <v>1491189.0</v>
      </c>
      <c r="U220" s="32" t="n">
        <f>1368784</f>
        <v>1368784.0</v>
      </c>
      <c r="V220" s="32" t="n">
        <f>4114055244</f>
        <v>4.114055244E9</v>
      </c>
      <c r="W220" s="32" t="n">
        <f>3777865739</f>
        <v>3.777865739E9</v>
      </c>
      <c r="X220" s="36" t="n">
        <f>21</f>
        <v>21.0</v>
      </c>
    </row>
    <row r="221">
      <c r="A221" s="27" t="s">
        <v>42</v>
      </c>
      <c r="B221" s="27" t="s">
        <v>705</v>
      </c>
      <c r="C221" s="27" t="s">
        <v>706</v>
      </c>
      <c r="D221" s="27" t="s">
        <v>707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2825</f>
        <v>2825.0</v>
      </c>
      <c r="L221" s="34" t="s">
        <v>48</v>
      </c>
      <c r="M221" s="33" t="n">
        <f>3228</f>
        <v>3228.0</v>
      </c>
      <c r="N221" s="34" t="s">
        <v>72</v>
      </c>
      <c r="O221" s="33" t="n">
        <f>2800</f>
        <v>2800.0</v>
      </c>
      <c r="P221" s="34" t="s">
        <v>73</v>
      </c>
      <c r="Q221" s="33" t="n">
        <f>3199</f>
        <v>3199.0</v>
      </c>
      <c r="R221" s="34" t="s">
        <v>50</v>
      </c>
      <c r="S221" s="35" t="n">
        <f>3013.41</f>
        <v>3013.41</v>
      </c>
      <c r="T221" s="32" t="n">
        <f>105529</f>
        <v>105529.0</v>
      </c>
      <c r="U221" s="32" t="str">
        <f>"－"</f>
        <v>－</v>
      </c>
      <c r="V221" s="32" t="n">
        <f>303027547</f>
        <v>3.03027547E8</v>
      </c>
      <c r="W221" s="32" t="str">
        <f>"－"</f>
        <v>－</v>
      </c>
      <c r="X221" s="36" t="n">
        <f>17</f>
        <v>17.0</v>
      </c>
    </row>
    <row r="222">
      <c r="A222" s="27" t="s">
        <v>42</v>
      </c>
      <c r="B222" s="27" t="s">
        <v>708</v>
      </c>
      <c r="C222" s="27" t="s">
        <v>709</v>
      </c>
      <c r="D222" s="27" t="s">
        <v>710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2361</f>
        <v>2361.0</v>
      </c>
      <c r="L222" s="34" t="s">
        <v>48</v>
      </c>
      <c r="M222" s="33" t="n">
        <f>2502</f>
        <v>2502.0</v>
      </c>
      <c r="N222" s="34" t="s">
        <v>80</v>
      </c>
      <c r="O222" s="33" t="n">
        <f>2343</f>
        <v>2343.0</v>
      </c>
      <c r="P222" s="34" t="s">
        <v>73</v>
      </c>
      <c r="Q222" s="33" t="n">
        <f>2457</f>
        <v>2457.0</v>
      </c>
      <c r="R222" s="34" t="s">
        <v>50</v>
      </c>
      <c r="S222" s="35" t="n">
        <f>2429.18</f>
        <v>2429.18</v>
      </c>
      <c r="T222" s="32" t="n">
        <f>445945</f>
        <v>445945.0</v>
      </c>
      <c r="U222" s="32" t="n">
        <f>339600</f>
        <v>339600.0</v>
      </c>
      <c r="V222" s="32" t="n">
        <f>1059672538</f>
        <v>1.059672538E9</v>
      </c>
      <c r="W222" s="32" t="n">
        <f>802296551</f>
        <v>8.02296551E8</v>
      </c>
      <c r="X222" s="36" t="n">
        <f>17</f>
        <v>17.0</v>
      </c>
    </row>
    <row r="223">
      <c r="A223" s="27" t="s">
        <v>42</v>
      </c>
      <c r="B223" s="27" t="s">
        <v>711</v>
      </c>
      <c r="C223" s="27" t="s">
        <v>712</v>
      </c>
      <c r="D223" s="27" t="s">
        <v>713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2609</f>
        <v>2609.0</v>
      </c>
      <c r="L223" s="34" t="s">
        <v>48</v>
      </c>
      <c r="M223" s="33" t="n">
        <f>2736</f>
        <v>2736.0</v>
      </c>
      <c r="N223" s="34" t="s">
        <v>67</v>
      </c>
      <c r="O223" s="33" t="n">
        <f>2552</f>
        <v>2552.0</v>
      </c>
      <c r="P223" s="34" t="s">
        <v>73</v>
      </c>
      <c r="Q223" s="33" t="n">
        <f>2653</f>
        <v>2653.0</v>
      </c>
      <c r="R223" s="34" t="s">
        <v>50</v>
      </c>
      <c r="S223" s="35" t="n">
        <f>2672.61</f>
        <v>2672.61</v>
      </c>
      <c r="T223" s="32" t="n">
        <f>201807</f>
        <v>201807.0</v>
      </c>
      <c r="U223" s="32" t="str">
        <f>"－"</f>
        <v>－</v>
      </c>
      <c r="V223" s="32" t="n">
        <f>540321431</f>
        <v>5.40321431E8</v>
      </c>
      <c r="W223" s="32" t="str">
        <f>"－"</f>
        <v>－</v>
      </c>
      <c r="X223" s="36" t="n">
        <f>18</f>
        <v>18.0</v>
      </c>
    </row>
    <row r="224">
      <c r="A224" s="27" t="s">
        <v>42</v>
      </c>
      <c r="B224" s="27" t="s">
        <v>714</v>
      </c>
      <c r="C224" s="27" t="s">
        <v>715</v>
      </c>
      <c r="D224" s="27" t="s">
        <v>716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4479</f>
        <v>4479.0</v>
      </c>
      <c r="L224" s="34" t="s">
        <v>48</v>
      </c>
      <c r="M224" s="33" t="n">
        <f>4546</f>
        <v>4546.0</v>
      </c>
      <c r="N224" s="34" t="s">
        <v>144</v>
      </c>
      <c r="O224" s="33" t="n">
        <f>4448</f>
        <v>4448.0</v>
      </c>
      <c r="P224" s="34" t="s">
        <v>50</v>
      </c>
      <c r="Q224" s="33" t="n">
        <f>4448</f>
        <v>4448.0</v>
      </c>
      <c r="R224" s="34" t="s">
        <v>50</v>
      </c>
      <c r="S224" s="35" t="n">
        <f>4484.86</f>
        <v>4484.86</v>
      </c>
      <c r="T224" s="32" t="n">
        <f>681828</f>
        <v>681828.0</v>
      </c>
      <c r="U224" s="32" t="n">
        <f>221900</f>
        <v>221900.0</v>
      </c>
      <c r="V224" s="32" t="n">
        <f>3061886411</f>
        <v>3.061886411E9</v>
      </c>
      <c r="W224" s="32" t="n">
        <f>999795967</f>
        <v>9.99795967E8</v>
      </c>
      <c r="X224" s="36" t="n">
        <f>21</f>
        <v>21.0</v>
      </c>
    </row>
    <row r="225">
      <c r="A225" s="27" t="s">
        <v>42</v>
      </c>
      <c r="B225" s="27" t="s">
        <v>717</v>
      </c>
      <c r="C225" s="27" t="s">
        <v>718</v>
      </c>
      <c r="D225" s="27" t="s">
        <v>719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4606</f>
        <v>4606.0</v>
      </c>
      <c r="L225" s="34" t="s">
        <v>48</v>
      </c>
      <c r="M225" s="33" t="n">
        <f>4700</f>
        <v>4700.0</v>
      </c>
      <c r="N225" s="34" t="s">
        <v>60</v>
      </c>
      <c r="O225" s="33" t="n">
        <f>4560</f>
        <v>4560.0</v>
      </c>
      <c r="P225" s="34" t="s">
        <v>50</v>
      </c>
      <c r="Q225" s="33" t="n">
        <f>4560</f>
        <v>4560.0</v>
      </c>
      <c r="R225" s="34" t="s">
        <v>50</v>
      </c>
      <c r="S225" s="35" t="n">
        <f>4604.1</f>
        <v>4604.1</v>
      </c>
      <c r="T225" s="32" t="n">
        <f>7482</f>
        <v>7482.0</v>
      </c>
      <c r="U225" s="32" t="n">
        <f>200</f>
        <v>200.0</v>
      </c>
      <c r="V225" s="32" t="n">
        <f>34283748</f>
        <v>3.4283748E7</v>
      </c>
      <c r="W225" s="32" t="n">
        <f>919420</f>
        <v>919420.0</v>
      </c>
      <c r="X225" s="36" t="n">
        <f>10</f>
        <v>10.0</v>
      </c>
    </row>
    <row r="226">
      <c r="A226" s="27" t="s">
        <v>42</v>
      </c>
      <c r="B226" s="27" t="s">
        <v>720</v>
      </c>
      <c r="C226" s="27" t="s">
        <v>721</v>
      </c>
      <c r="D226" s="27" t="s">
        <v>722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4821</f>
        <v>4821.0</v>
      </c>
      <c r="L226" s="34" t="s">
        <v>48</v>
      </c>
      <c r="M226" s="33" t="n">
        <f>4821</f>
        <v>4821.0</v>
      </c>
      <c r="N226" s="34" t="s">
        <v>48</v>
      </c>
      <c r="O226" s="33" t="n">
        <f>4659</f>
        <v>4659.0</v>
      </c>
      <c r="P226" s="34" t="s">
        <v>50</v>
      </c>
      <c r="Q226" s="33" t="n">
        <f>4659</f>
        <v>4659.0</v>
      </c>
      <c r="R226" s="34" t="s">
        <v>50</v>
      </c>
      <c r="S226" s="35" t="n">
        <f>4698.5</f>
        <v>4698.5</v>
      </c>
      <c r="T226" s="32" t="n">
        <f>85</f>
        <v>85.0</v>
      </c>
      <c r="U226" s="32" t="str">
        <f>"－"</f>
        <v>－</v>
      </c>
      <c r="V226" s="32" t="n">
        <f>399415</f>
        <v>399415.0</v>
      </c>
      <c r="W226" s="32" t="str">
        <f>"－"</f>
        <v>－</v>
      </c>
      <c r="X226" s="36" t="n">
        <f>12</f>
        <v>12.0</v>
      </c>
    </row>
    <row r="227">
      <c r="A227" s="27" t="s">
        <v>42</v>
      </c>
      <c r="B227" s="27" t="s">
        <v>723</v>
      </c>
      <c r="C227" s="27" t="s">
        <v>724</v>
      </c>
      <c r="D227" s="27" t="s">
        <v>725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5270</f>
        <v>5270.0</v>
      </c>
      <c r="L227" s="34" t="s">
        <v>48</v>
      </c>
      <c r="M227" s="33" t="n">
        <f>5423</f>
        <v>5423.0</v>
      </c>
      <c r="N227" s="34" t="s">
        <v>72</v>
      </c>
      <c r="O227" s="33" t="n">
        <f>5260</f>
        <v>5260.0</v>
      </c>
      <c r="P227" s="34" t="s">
        <v>200</v>
      </c>
      <c r="Q227" s="33" t="n">
        <f>5346</f>
        <v>5346.0</v>
      </c>
      <c r="R227" s="34" t="s">
        <v>50</v>
      </c>
      <c r="S227" s="35" t="n">
        <f>5298.81</f>
        <v>5298.81</v>
      </c>
      <c r="T227" s="32" t="n">
        <f>2678485</f>
        <v>2678485.0</v>
      </c>
      <c r="U227" s="32" t="n">
        <f>2270010</f>
        <v>2270010.0</v>
      </c>
      <c r="V227" s="32" t="n">
        <f>14242842559</f>
        <v>1.4242842559E10</v>
      </c>
      <c r="W227" s="32" t="n">
        <f>12061267281</f>
        <v>1.2061267281E10</v>
      </c>
      <c r="X227" s="36" t="n">
        <f>21</f>
        <v>21.0</v>
      </c>
    </row>
    <row r="228">
      <c r="A228" s="27" t="s">
        <v>42</v>
      </c>
      <c r="B228" s="27" t="s">
        <v>726</v>
      </c>
      <c r="C228" s="27" t="s">
        <v>727</v>
      </c>
      <c r="D228" s="27" t="s">
        <v>728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767</f>
        <v>767.0</v>
      </c>
      <c r="L228" s="34" t="s">
        <v>48</v>
      </c>
      <c r="M228" s="33" t="n">
        <f>781</f>
        <v>781.0</v>
      </c>
      <c r="N228" s="34" t="s">
        <v>72</v>
      </c>
      <c r="O228" s="33" t="n">
        <f>737</f>
        <v>737.0</v>
      </c>
      <c r="P228" s="34" t="s">
        <v>88</v>
      </c>
      <c r="Q228" s="33" t="n">
        <f>770</f>
        <v>770.0</v>
      </c>
      <c r="R228" s="34" t="s">
        <v>50</v>
      </c>
      <c r="S228" s="35" t="n">
        <f>759.19</f>
        <v>759.19</v>
      </c>
      <c r="T228" s="32" t="n">
        <f>233036</f>
        <v>233036.0</v>
      </c>
      <c r="U228" s="32" t="str">
        <f>"－"</f>
        <v>－</v>
      </c>
      <c r="V228" s="32" t="n">
        <f>175699843</f>
        <v>1.75699843E8</v>
      </c>
      <c r="W228" s="32" t="str">
        <f>"－"</f>
        <v>－</v>
      </c>
      <c r="X228" s="36" t="n">
        <f>21</f>
        <v>21.0</v>
      </c>
    </row>
    <row r="229">
      <c r="A229" s="27" t="s">
        <v>42</v>
      </c>
      <c r="B229" s="27" t="s">
        <v>729</v>
      </c>
      <c r="C229" s="27" t="s">
        <v>730</v>
      </c>
      <c r="D229" s="27" t="s">
        <v>731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1109</f>
        <v>1109.0</v>
      </c>
      <c r="L229" s="34" t="s">
        <v>48</v>
      </c>
      <c r="M229" s="33" t="n">
        <f>1131</f>
        <v>1131.0</v>
      </c>
      <c r="N229" s="34" t="s">
        <v>80</v>
      </c>
      <c r="O229" s="33" t="n">
        <f>1083</f>
        <v>1083.0</v>
      </c>
      <c r="P229" s="34" t="s">
        <v>184</v>
      </c>
      <c r="Q229" s="33" t="n">
        <f>1104</f>
        <v>1104.0</v>
      </c>
      <c r="R229" s="34" t="s">
        <v>50</v>
      </c>
      <c r="S229" s="35" t="n">
        <f>1110.95</f>
        <v>1110.95</v>
      </c>
      <c r="T229" s="32" t="n">
        <f>30473</f>
        <v>30473.0</v>
      </c>
      <c r="U229" s="32" t="str">
        <f>"－"</f>
        <v>－</v>
      </c>
      <c r="V229" s="32" t="n">
        <f>33853784</f>
        <v>3.3853784E7</v>
      </c>
      <c r="W229" s="32" t="str">
        <f>"－"</f>
        <v>－</v>
      </c>
      <c r="X229" s="36" t="n">
        <f>21</f>
        <v>21.0</v>
      </c>
    </row>
    <row r="230">
      <c r="A230" s="27" t="s">
        <v>42</v>
      </c>
      <c r="B230" s="27" t="s">
        <v>732</v>
      </c>
      <c r="C230" s="27" t="s">
        <v>733</v>
      </c>
      <c r="D230" s="27" t="s">
        <v>734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1075</f>
        <v>1075.0</v>
      </c>
      <c r="L230" s="34" t="s">
        <v>48</v>
      </c>
      <c r="M230" s="33" t="n">
        <f>1113</f>
        <v>1113.0</v>
      </c>
      <c r="N230" s="34" t="s">
        <v>143</v>
      </c>
      <c r="O230" s="33" t="n">
        <f>1040</f>
        <v>1040.0</v>
      </c>
      <c r="P230" s="34" t="s">
        <v>50</v>
      </c>
      <c r="Q230" s="33" t="n">
        <f>1041</f>
        <v>1041.0</v>
      </c>
      <c r="R230" s="34" t="s">
        <v>50</v>
      </c>
      <c r="S230" s="35" t="n">
        <f>1064.14</f>
        <v>1064.14</v>
      </c>
      <c r="T230" s="32" t="n">
        <f>451458</f>
        <v>451458.0</v>
      </c>
      <c r="U230" s="32" t="str">
        <f>"－"</f>
        <v>－</v>
      </c>
      <c r="V230" s="32" t="n">
        <f>477193884</f>
        <v>4.77193884E8</v>
      </c>
      <c r="W230" s="32" t="str">
        <f>"－"</f>
        <v>－</v>
      </c>
      <c r="X230" s="36" t="n">
        <f>21</f>
        <v>21.0</v>
      </c>
    </row>
    <row r="231">
      <c r="A231" s="27" t="s">
        <v>42</v>
      </c>
      <c r="B231" s="27" t="s">
        <v>735</v>
      </c>
      <c r="C231" s="27" t="s">
        <v>736</v>
      </c>
      <c r="D231" s="27" t="s">
        <v>737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1054</f>
        <v>1054.0</v>
      </c>
      <c r="L231" s="34" t="s">
        <v>48</v>
      </c>
      <c r="M231" s="33" t="n">
        <f>1114</f>
        <v>1114.0</v>
      </c>
      <c r="N231" s="34" t="s">
        <v>143</v>
      </c>
      <c r="O231" s="33" t="n">
        <f>1040</f>
        <v>1040.0</v>
      </c>
      <c r="P231" s="34" t="s">
        <v>207</v>
      </c>
      <c r="Q231" s="33" t="n">
        <f>1043</f>
        <v>1043.0</v>
      </c>
      <c r="R231" s="34" t="s">
        <v>50</v>
      </c>
      <c r="S231" s="35" t="n">
        <f>1067.19</f>
        <v>1067.19</v>
      </c>
      <c r="T231" s="32" t="n">
        <f>217519</f>
        <v>217519.0</v>
      </c>
      <c r="U231" s="32" t="n">
        <f>6</f>
        <v>6.0</v>
      </c>
      <c r="V231" s="32" t="n">
        <f>231917566</f>
        <v>2.31917566E8</v>
      </c>
      <c r="W231" s="32" t="n">
        <f>6294</f>
        <v>6294.0</v>
      </c>
      <c r="X231" s="36" t="n">
        <f>21</f>
        <v>21.0</v>
      </c>
    </row>
    <row r="232">
      <c r="A232" s="27" t="s">
        <v>42</v>
      </c>
      <c r="B232" s="27" t="s">
        <v>738</v>
      </c>
      <c r="C232" s="27" t="s">
        <v>739</v>
      </c>
      <c r="D232" s="27" t="s">
        <v>740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996</f>
        <v>996.0</v>
      </c>
      <c r="L232" s="34" t="s">
        <v>48</v>
      </c>
      <c r="M232" s="33" t="n">
        <f>1050</f>
        <v>1050.0</v>
      </c>
      <c r="N232" s="34" t="s">
        <v>49</v>
      </c>
      <c r="O232" s="33" t="n">
        <f>981</f>
        <v>981.0</v>
      </c>
      <c r="P232" s="34" t="s">
        <v>48</v>
      </c>
      <c r="Q232" s="33" t="n">
        <f>993</f>
        <v>993.0</v>
      </c>
      <c r="R232" s="34" t="s">
        <v>50</v>
      </c>
      <c r="S232" s="35" t="n">
        <f>1011.24</f>
        <v>1011.24</v>
      </c>
      <c r="T232" s="32" t="n">
        <f>286237</f>
        <v>286237.0</v>
      </c>
      <c r="U232" s="32" t="str">
        <f>"－"</f>
        <v>－</v>
      </c>
      <c r="V232" s="32" t="n">
        <f>289284217</f>
        <v>2.89284217E8</v>
      </c>
      <c r="W232" s="32" t="str">
        <f>"－"</f>
        <v>－</v>
      </c>
      <c r="X232" s="36" t="n">
        <f>21</f>
        <v>21.0</v>
      </c>
    </row>
    <row r="233">
      <c r="A233" s="27" t="s">
        <v>42</v>
      </c>
      <c r="B233" s="27" t="s">
        <v>741</v>
      </c>
      <c r="C233" s="27" t="s">
        <v>742</v>
      </c>
      <c r="D233" s="27" t="s">
        <v>743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1637</f>
        <v>1637.0</v>
      </c>
      <c r="L233" s="34" t="s">
        <v>48</v>
      </c>
      <c r="M233" s="33" t="n">
        <f>1723</f>
        <v>1723.0</v>
      </c>
      <c r="N233" s="34" t="s">
        <v>143</v>
      </c>
      <c r="O233" s="33" t="n">
        <f>1637</f>
        <v>1637.0</v>
      </c>
      <c r="P233" s="34" t="s">
        <v>48</v>
      </c>
      <c r="Q233" s="33" t="n">
        <f>1666</f>
        <v>1666.0</v>
      </c>
      <c r="R233" s="34" t="s">
        <v>50</v>
      </c>
      <c r="S233" s="35" t="n">
        <f>1685.1</f>
        <v>1685.1</v>
      </c>
      <c r="T233" s="32" t="n">
        <f>2314135</f>
        <v>2314135.0</v>
      </c>
      <c r="U233" s="32" t="n">
        <f>1871565</f>
        <v>1871565.0</v>
      </c>
      <c r="V233" s="32" t="n">
        <f>3887060246</f>
        <v>3.887060246E9</v>
      </c>
      <c r="W233" s="32" t="n">
        <f>3142021872</f>
        <v>3.142021872E9</v>
      </c>
      <c r="X233" s="36" t="n">
        <f>21</f>
        <v>21.0</v>
      </c>
    </row>
    <row r="234">
      <c r="A234" s="27" t="s">
        <v>42</v>
      </c>
      <c r="B234" s="27" t="s">
        <v>744</v>
      </c>
      <c r="C234" s="27" t="s">
        <v>745</v>
      </c>
      <c r="D234" s="27" t="s">
        <v>746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278</f>
        <v>278.0</v>
      </c>
      <c r="L234" s="34" t="s">
        <v>48</v>
      </c>
      <c r="M234" s="33" t="n">
        <f>363.3</f>
        <v>363.3</v>
      </c>
      <c r="N234" s="34" t="s">
        <v>72</v>
      </c>
      <c r="O234" s="33" t="n">
        <f>271.2</f>
        <v>271.2</v>
      </c>
      <c r="P234" s="34" t="s">
        <v>73</v>
      </c>
      <c r="Q234" s="33" t="n">
        <f>353.6</f>
        <v>353.6</v>
      </c>
      <c r="R234" s="34" t="s">
        <v>50</v>
      </c>
      <c r="S234" s="35" t="n">
        <f>325.52</f>
        <v>325.52</v>
      </c>
      <c r="T234" s="32" t="n">
        <f>9295850</f>
        <v>9295850.0</v>
      </c>
      <c r="U234" s="32" t="n">
        <f>41450</f>
        <v>41450.0</v>
      </c>
      <c r="V234" s="32" t="n">
        <f>3103753084</f>
        <v>3.103753084E9</v>
      </c>
      <c r="W234" s="32" t="n">
        <f>13842078</f>
        <v>1.3842078E7</v>
      </c>
      <c r="X234" s="36" t="n">
        <f>21</f>
        <v>21.0</v>
      </c>
    </row>
    <row r="235">
      <c r="A235" s="27" t="s">
        <v>42</v>
      </c>
      <c r="B235" s="27" t="s">
        <v>747</v>
      </c>
      <c r="C235" s="27" t="s">
        <v>748</v>
      </c>
      <c r="D235" s="27" t="s">
        <v>749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788.3</f>
        <v>788.3</v>
      </c>
      <c r="L235" s="34" t="s">
        <v>48</v>
      </c>
      <c r="M235" s="33" t="n">
        <f>1034.5</f>
        <v>1034.5</v>
      </c>
      <c r="N235" s="34" t="s">
        <v>72</v>
      </c>
      <c r="O235" s="33" t="n">
        <f>770</f>
        <v>770.0</v>
      </c>
      <c r="P235" s="34" t="s">
        <v>73</v>
      </c>
      <c r="Q235" s="33" t="n">
        <f>1018</f>
        <v>1018.0</v>
      </c>
      <c r="R235" s="34" t="s">
        <v>50</v>
      </c>
      <c r="S235" s="35" t="n">
        <f>925.29</f>
        <v>925.29</v>
      </c>
      <c r="T235" s="32" t="n">
        <f>1706180</f>
        <v>1706180.0</v>
      </c>
      <c r="U235" s="32" t="str">
        <f>"－"</f>
        <v>－</v>
      </c>
      <c r="V235" s="32" t="n">
        <f>1615024385</f>
        <v>1.615024385E9</v>
      </c>
      <c r="W235" s="32" t="str">
        <f>"－"</f>
        <v>－</v>
      </c>
      <c r="X235" s="36" t="n">
        <f>21</f>
        <v>21.0</v>
      </c>
    </row>
    <row r="236">
      <c r="A236" s="27" t="s">
        <v>42</v>
      </c>
      <c r="B236" s="27" t="s">
        <v>750</v>
      </c>
      <c r="C236" s="27" t="s">
        <v>751</v>
      </c>
      <c r="D236" s="27" t="s">
        <v>752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3235</f>
        <v>3235.0</v>
      </c>
      <c r="L236" s="34" t="s">
        <v>48</v>
      </c>
      <c r="M236" s="33" t="n">
        <f>3455</f>
        <v>3455.0</v>
      </c>
      <c r="N236" s="34" t="s">
        <v>144</v>
      </c>
      <c r="O236" s="33" t="n">
        <f>3191</f>
        <v>3191.0</v>
      </c>
      <c r="P236" s="34" t="s">
        <v>73</v>
      </c>
      <c r="Q236" s="33" t="n">
        <f>3397</f>
        <v>3397.0</v>
      </c>
      <c r="R236" s="34" t="s">
        <v>50</v>
      </c>
      <c r="S236" s="35" t="n">
        <f>3338.67</f>
        <v>3338.67</v>
      </c>
      <c r="T236" s="32" t="n">
        <f>510392</f>
        <v>510392.0</v>
      </c>
      <c r="U236" s="32" t="n">
        <f>460340</f>
        <v>460340.0</v>
      </c>
      <c r="V236" s="32" t="n">
        <f>1715841987</f>
        <v>1.715841987E9</v>
      </c>
      <c r="W236" s="32" t="n">
        <f>1546154184</f>
        <v>1.546154184E9</v>
      </c>
      <c r="X236" s="36" t="n">
        <f>21</f>
        <v>21.0</v>
      </c>
    </row>
    <row r="237">
      <c r="A237" s="27" t="s">
        <v>42</v>
      </c>
      <c r="B237" s="27" t="s">
        <v>753</v>
      </c>
      <c r="C237" s="27" t="s">
        <v>754</v>
      </c>
      <c r="D237" s="27" t="s">
        <v>755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1373</f>
        <v>1373.0</v>
      </c>
      <c r="L237" s="34" t="s">
        <v>48</v>
      </c>
      <c r="M237" s="33" t="n">
        <f>1419</f>
        <v>1419.0</v>
      </c>
      <c r="N237" s="34" t="s">
        <v>282</v>
      </c>
      <c r="O237" s="33" t="n">
        <f>1368</f>
        <v>1368.0</v>
      </c>
      <c r="P237" s="34" t="s">
        <v>73</v>
      </c>
      <c r="Q237" s="33" t="n">
        <f>1400</f>
        <v>1400.0</v>
      </c>
      <c r="R237" s="34" t="s">
        <v>50</v>
      </c>
      <c r="S237" s="35" t="n">
        <f>1394.76</f>
        <v>1394.76</v>
      </c>
      <c r="T237" s="32" t="n">
        <f>1239620</f>
        <v>1239620.0</v>
      </c>
      <c r="U237" s="32" t="n">
        <f>200000</f>
        <v>200000.0</v>
      </c>
      <c r="V237" s="32" t="n">
        <f>1726536601</f>
        <v>1.726536601E9</v>
      </c>
      <c r="W237" s="32" t="n">
        <f>280420000</f>
        <v>2.8042E8</v>
      </c>
      <c r="X237" s="36" t="n">
        <f>21</f>
        <v>21.0</v>
      </c>
    </row>
    <row r="238">
      <c r="A238" s="27" t="s">
        <v>42</v>
      </c>
      <c r="B238" s="27" t="s">
        <v>756</v>
      </c>
      <c r="C238" s="27" t="s">
        <v>757</v>
      </c>
      <c r="D238" s="27" t="s">
        <v>758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92000</f>
        <v>92000.0</v>
      </c>
      <c r="L238" s="34" t="s">
        <v>48</v>
      </c>
      <c r="M238" s="33" t="n">
        <f>110800</f>
        <v>110800.0</v>
      </c>
      <c r="N238" s="34" t="s">
        <v>207</v>
      </c>
      <c r="O238" s="33" t="n">
        <f>90000</f>
        <v>90000.0</v>
      </c>
      <c r="P238" s="34" t="s">
        <v>73</v>
      </c>
      <c r="Q238" s="33" t="n">
        <f>108450</f>
        <v>108450.0</v>
      </c>
      <c r="R238" s="34" t="s">
        <v>50</v>
      </c>
      <c r="S238" s="35" t="n">
        <f>102428.57</f>
        <v>102428.57</v>
      </c>
      <c r="T238" s="32" t="n">
        <f>39624</f>
        <v>39624.0</v>
      </c>
      <c r="U238" s="32" t="n">
        <f>148</f>
        <v>148.0</v>
      </c>
      <c r="V238" s="32" t="n">
        <f>3924221935</f>
        <v>3.924221935E9</v>
      </c>
      <c r="W238" s="32" t="n">
        <f>15215605</f>
        <v>1.5215605E7</v>
      </c>
      <c r="X238" s="36" t="n">
        <f>21</f>
        <v>21.0</v>
      </c>
    </row>
    <row r="239">
      <c r="A239" s="27" t="s">
        <v>42</v>
      </c>
      <c r="B239" s="27" t="s">
        <v>759</v>
      </c>
      <c r="C239" s="27" t="s">
        <v>760</v>
      </c>
      <c r="D239" s="27" t="s">
        <v>761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6092</f>
        <v>6092.0</v>
      </c>
      <c r="L239" s="34" t="s">
        <v>48</v>
      </c>
      <c r="M239" s="33" t="n">
        <f>6159</f>
        <v>6159.0</v>
      </c>
      <c r="N239" s="34" t="s">
        <v>73</v>
      </c>
      <c r="O239" s="33" t="n">
        <f>5548</f>
        <v>5548.0</v>
      </c>
      <c r="P239" s="34" t="s">
        <v>207</v>
      </c>
      <c r="Q239" s="33" t="n">
        <f>5613</f>
        <v>5613.0</v>
      </c>
      <c r="R239" s="34" t="s">
        <v>50</v>
      </c>
      <c r="S239" s="35" t="n">
        <f>5791.38</f>
        <v>5791.38</v>
      </c>
      <c r="T239" s="32" t="n">
        <f>135578</f>
        <v>135578.0</v>
      </c>
      <c r="U239" s="32" t="n">
        <f>404</f>
        <v>404.0</v>
      </c>
      <c r="V239" s="32" t="n">
        <f>799094245</f>
        <v>7.99094245E8</v>
      </c>
      <c r="W239" s="32" t="n">
        <f>2264406</f>
        <v>2264406.0</v>
      </c>
      <c r="X239" s="36" t="n">
        <f>21</f>
        <v>21.0</v>
      </c>
    </row>
    <row r="240">
      <c r="A240" s="27" t="s">
        <v>42</v>
      </c>
      <c r="B240" s="27" t="s">
        <v>762</v>
      </c>
      <c r="C240" s="27" t="s">
        <v>763</v>
      </c>
      <c r="D240" s="27" t="s">
        <v>764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20000</f>
        <v>20000.0</v>
      </c>
      <c r="L240" s="34" t="s">
        <v>48</v>
      </c>
      <c r="M240" s="33" t="n">
        <f>24120</f>
        <v>24120.0</v>
      </c>
      <c r="N240" s="34" t="s">
        <v>50</v>
      </c>
      <c r="O240" s="33" t="n">
        <f>19725</f>
        <v>19725.0</v>
      </c>
      <c r="P240" s="34" t="s">
        <v>73</v>
      </c>
      <c r="Q240" s="33" t="n">
        <f>23630</f>
        <v>23630.0</v>
      </c>
      <c r="R240" s="34" t="s">
        <v>50</v>
      </c>
      <c r="S240" s="35" t="n">
        <f>22298.33</f>
        <v>22298.33</v>
      </c>
      <c r="T240" s="32" t="n">
        <f>71946</f>
        <v>71946.0</v>
      </c>
      <c r="U240" s="32" t="n">
        <f>957</f>
        <v>957.0</v>
      </c>
      <c r="V240" s="32" t="n">
        <f>1582519280</f>
        <v>1.58251928E9</v>
      </c>
      <c r="W240" s="32" t="n">
        <f>21424150</f>
        <v>2.142415E7</v>
      </c>
      <c r="X240" s="36" t="n">
        <f>21</f>
        <v>21.0</v>
      </c>
    </row>
    <row r="241">
      <c r="A241" s="27" t="s">
        <v>42</v>
      </c>
      <c r="B241" s="27" t="s">
        <v>765</v>
      </c>
      <c r="C241" s="27" t="s">
        <v>766</v>
      </c>
      <c r="D241" s="27" t="s">
        <v>767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1329</f>
        <v>1329.0</v>
      </c>
      <c r="L241" s="34" t="s">
        <v>48</v>
      </c>
      <c r="M241" s="33" t="n">
        <f>1601</f>
        <v>1601.0</v>
      </c>
      <c r="N241" s="34" t="s">
        <v>50</v>
      </c>
      <c r="O241" s="33" t="n">
        <f>1313</f>
        <v>1313.0</v>
      </c>
      <c r="P241" s="34" t="s">
        <v>73</v>
      </c>
      <c r="Q241" s="33" t="n">
        <f>1579</f>
        <v>1579.0</v>
      </c>
      <c r="R241" s="34" t="s">
        <v>50</v>
      </c>
      <c r="S241" s="35" t="n">
        <f>1463.86</f>
        <v>1463.86</v>
      </c>
      <c r="T241" s="32" t="n">
        <f>797598</f>
        <v>797598.0</v>
      </c>
      <c r="U241" s="32" t="str">
        <f>"－"</f>
        <v>－</v>
      </c>
      <c r="V241" s="32" t="n">
        <f>1161161506</f>
        <v>1.161161506E9</v>
      </c>
      <c r="W241" s="32" t="str">
        <f>"－"</f>
        <v>－</v>
      </c>
      <c r="X241" s="36" t="n">
        <f>21</f>
        <v>21.0</v>
      </c>
    </row>
    <row r="242">
      <c r="A242" s="27" t="s">
        <v>42</v>
      </c>
      <c r="B242" s="27" t="s">
        <v>768</v>
      </c>
      <c r="C242" s="27" t="s">
        <v>769</v>
      </c>
      <c r="D242" s="27" t="s">
        <v>770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6174</f>
        <v>6174.0</v>
      </c>
      <c r="L242" s="34" t="s">
        <v>48</v>
      </c>
      <c r="M242" s="33" t="n">
        <f>6250</f>
        <v>6250.0</v>
      </c>
      <c r="N242" s="34" t="s">
        <v>68</v>
      </c>
      <c r="O242" s="33" t="n">
        <f>5625</f>
        <v>5625.0</v>
      </c>
      <c r="P242" s="34" t="s">
        <v>207</v>
      </c>
      <c r="Q242" s="33" t="n">
        <f>5692</f>
        <v>5692.0</v>
      </c>
      <c r="R242" s="34" t="s">
        <v>50</v>
      </c>
      <c r="S242" s="35" t="n">
        <f>5883.05</f>
        <v>5883.05</v>
      </c>
      <c r="T242" s="32" t="n">
        <f>9150</f>
        <v>9150.0</v>
      </c>
      <c r="U242" s="32" t="n">
        <f>34</f>
        <v>34.0</v>
      </c>
      <c r="V242" s="32" t="n">
        <f>54131848</f>
        <v>5.4131848E7</v>
      </c>
      <c r="W242" s="32" t="n">
        <f>200709</f>
        <v>200709.0</v>
      </c>
      <c r="X242" s="36" t="n">
        <f>21</f>
        <v>21.0</v>
      </c>
    </row>
    <row r="243">
      <c r="A243" s="27" t="s">
        <v>42</v>
      </c>
      <c r="B243" s="27" t="s">
        <v>771</v>
      </c>
      <c r="C243" s="27" t="s">
        <v>772</v>
      </c>
      <c r="D243" s="27" t="s">
        <v>773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814.9</f>
        <v>814.9</v>
      </c>
      <c r="L243" s="34" t="s">
        <v>48</v>
      </c>
      <c r="M243" s="33" t="n">
        <f>877.5</f>
        <v>877.5</v>
      </c>
      <c r="N243" s="34" t="s">
        <v>207</v>
      </c>
      <c r="O243" s="33" t="n">
        <f>814.9</f>
        <v>814.9</v>
      </c>
      <c r="P243" s="34" t="s">
        <v>48</v>
      </c>
      <c r="Q243" s="33" t="n">
        <f>867</f>
        <v>867.0</v>
      </c>
      <c r="R243" s="34" t="s">
        <v>50</v>
      </c>
      <c r="S243" s="35" t="n">
        <f>852.6</f>
        <v>852.6</v>
      </c>
      <c r="T243" s="32" t="n">
        <f>353500</f>
        <v>353500.0</v>
      </c>
      <c r="U243" s="32" t="n">
        <f>146940</f>
        <v>146940.0</v>
      </c>
      <c r="V243" s="32" t="n">
        <f>303113977</f>
        <v>3.03113977E8</v>
      </c>
      <c r="W243" s="32" t="n">
        <f>126768112</f>
        <v>1.26768112E8</v>
      </c>
      <c r="X243" s="36" t="n">
        <f>21</f>
        <v>21.0</v>
      </c>
    </row>
    <row r="244">
      <c r="A244" s="27" t="s">
        <v>42</v>
      </c>
      <c r="B244" s="27" t="s">
        <v>774</v>
      </c>
      <c r="C244" s="27" t="s">
        <v>775</v>
      </c>
      <c r="D244" s="27" t="s">
        <v>776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602.5</f>
        <v>602.5</v>
      </c>
      <c r="L244" s="34" t="s">
        <v>48</v>
      </c>
      <c r="M244" s="33" t="n">
        <f>648.4</f>
        <v>648.4</v>
      </c>
      <c r="N244" s="34" t="s">
        <v>50</v>
      </c>
      <c r="O244" s="33" t="n">
        <f>597.6</f>
        <v>597.6</v>
      </c>
      <c r="P244" s="34" t="s">
        <v>73</v>
      </c>
      <c r="Q244" s="33" t="n">
        <f>648.4</f>
        <v>648.4</v>
      </c>
      <c r="R244" s="34" t="s">
        <v>50</v>
      </c>
      <c r="S244" s="35" t="n">
        <f>624.29</f>
        <v>624.29</v>
      </c>
      <c r="T244" s="32" t="n">
        <f>23400270</f>
        <v>2.340027E7</v>
      </c>
      <c r="U244" s="32" t="n">
        <f>23104760</f>
        <v>2.310476E7</v>
      </c>
      <c r="V244" s="32" t="n">
        <f>14736556996</f>
        <v>1.4736556996E10</v>
      </c>
      <c r="W244" s="32" t="n">
        <f>14551713293</f>
        <v>1.4551713293E10</v>
      </c>
      <c r="X244" s="36" t="n">
        <f>20</f>
        <v>20.0</v>
      </c>
    </row>
    <row r="245">
      <c r="A245" s="27" t="s">
        <v>42</v>
      </c>
      <c r="B245" s="27" t="s">
        <v>777</v>
      </c>
      <c r="C245" s="27" t="s">
        <v>778</v>
      </c>
      <c r="D245" s="27" t="s">
        <v>779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2873</f>
        <v>2873.0</v>
      </c>
      <c r="L245" s="34" t="s">
        <v>48</v>
      </c>
      <c r="M245" s="33" t="n">
        <f>4060</f>
        <v>4060.0</v>
      </c>
      <c r="N245" s="34" t="s">
        <v>72</v>
      </c>
      <c r="O245" s="33" t="n">
        <f>2853</f>
        <v>2853.0</v>
      </c>
      <c r="P245" s="34" t="s">
        <v>73</v>
      </c>
      <c r="Q245" s="33" t="n">
        <f>3908</f>
        <v>3908.0</v>
      </c>
      <c r="R245" s="34" t="s">
        <v>50</v>
      </c>
      <c r="S245" s="35" t="n">
        <f>3426.52</f>
        <v>3426.52</v>
      </c>
      <c r="T245" s="32" t="n">
        <f>7142318</f>
        <v>7142318.0</v>
      </c>
      <c r="U245" s="32" t="n">
        <f>159645</f>
        <v>159645.0</v>
      </c>
      <c r="V245" s="32" t="n">
        <f>26340437277</f>
        <v>2.6340437277E10</v>
      </c>
      <c r="W245" s="32" t="n">
        <f>575245721</f>
        <v>5.75245721E8</v>
      </c>
      <c r="X245" s="36" t="n">
        <f>21</f>
        <v>21.0</v>
      </c>
    </row>
    <row r="246">
      <c r="A246" s="27" t="s">
        <v>42</v>
      </c>
      <c r="B246" s="27" t="s">
        <v>780</v>
      </c>
      <c r="C246" s="27" t="s">
        <v>781</v>
      </c>
      <c r="D246" s="27" t="s">
        <v>782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2865</f>
        <v>2865.0</v>
      </c>
      <c r="L246" s="34" t="s">
        <v>48</v>
      </c>
      <c r="M246" s="33" t="n">
        <f>3350</f>
        <v>3350.0</v>
      </c>
      <c r="N246" s="34" t="s">
        <v>207</v>
      </c>
      <c r="O246" s="33" t="n">
        <f>2835</f>
        <v>2835.0</v>
      </c>
      <c r="P246" s="34" t="s">
        <v>73</v>
      </c>
      <c r="Q246" s="33" t="n">
        <f>3290</f>
        <v>3290.0</v>
      </c>
      <c r="R246" s="34" t="s">
        <v>50</v>
      </c>
      <c r="S246" s="35" t="n">
        <f>3112.19</f>
        <v>3112.19</v>
      </c>
      <c r="T246" s="32" t="n">
        <f>4035435</f>
        <v>4035435.0</v>
      </c>
      <c r="U246" s="32" t="n">
        <f>943</f>
        <v>943.0</v>
      </c>
      <c r="V246" s="32" t="n">
        <f>12660022091</f>
        <v>1.2660022091E10</v>
      </c>
      <c r="W246" s="32" t="n">
        <f>2958207</f>
        <v>2958207.0</v>
      </c>
      <c r="X246" s="36" t="n">
        <f>21</f>
        <v>21.0</v>
      </c>
    </row>
    <row r="247">
      <c r="A247" s="27" t="s">
        <v>42</v>
      </c>
      <c r="B247" s="27" t="s">
        <v>783</v>
      </c>
      <c r="C247" s="27" t="s">
        <v>784</v>
      </c>
      <c r="D247" s="27" t="s">
        <v>785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715.1</f>
        <v>715.1</v>
      </c>
      <c r="L247" s="34" t="s">
        <v>48</v>
      </c>
      <c r="M247" s="33" t="n">
        <f>724.1</f>
        <v>724.1</v>
      </c>
      <c r="N247" s="34" t="s">
        <v>50</v>
      </c>
      <c r="O247" s="33" t="n">
        <f>700.1</f>
        <v>700.1</v>
      </c>
      <c r="P247" s="34" t="s">
        <v>60</v>
      </c>
      <c r="Q247" s="33" t="n">
        <f>710</f>
        <v>710.0</v>
      </c>
      <c r="R247" s="34" t="s">
        <v>50</v>
      </c>
      <c r="S247" s="35" t="n">
        <f>713.58</f>
        <v>713.58</v>
      </c>
      <c r="T247" s="32" t="n">
        <f>1330</f>
        <v>1330.0</v>
      </c>
      <c r="U247" s="32" t="str">
        <f>"－"</f>
        <v>－</v>
      </c>
      <c r="V247" s="32" t="n">
        <f>946438</f>
        <v>946438.0</v>
      </c>
      <c r="W247" s="32" t="str">
        <f>"－"</f>
        <v>－</v>
      </c>
      <c r="X247" s="36" t="n">
        <f>13</f>
        <v>13.0</v>
      </c>
    </row>
    <row r="248">
      <c r="A248" s="27" t="s">
        <v>42</v>
      </c>
      <c r="B248" s="27" t="s">
        <v>786</v>
      </c>
      <c r="C248" s="27" t="s">
        <v>787</v>
      </c>
      <c r="D248" s="27" t="s">
        <v>788</v>
      </c>
      <c r="E248" s="28" t="s">
        <v>46</v>
      </c>
      <c r="F248" s="29" t="s">
        <v>46</v>
      </c>
      <c r="G248" s="30" t="s">
        <v>46</v>
      </c>
      <c r="H248" s="31" t="s">
        <v>789</v>
      </c>
      <c r="I248" s="31" t="s">
        <v>47</v>
      </c>
      <c r="J248" s="32" t="n">
        <v>10.0</v>
      </c>
      <c r="K248" s="33" t="n">
        <f>715.2</f>
        <v>715.2</v>
      </c>
      <c r="L248" s="34" t="s">
        <v>73</v>
      </c>
      <c r="M248" s="33" t="n">
        <f>722</f>
        <v>722.0</v>
      </c>
      <c r="N248" s="34" t="s">
        <v>200</v>
      </c>
      <c r="O248" s="33" t="n">
        <f>711.6</f>
        <v>711.6</v>
      </c>
      <c r="P248" s="34" t="s">
        <v>73</v>
      </c>
      <c r="Q248" s="33" t="n">
        <f>715.3</f>
        <v>715.3</v>
      </c>
      <c r="R248" s="34" t="s">
        <v>207</v>
      </c>
      <c r="S248" s="35" t="n">
        <f>716.59</f>
        <v>716.59</v>
      </c>
      <c r="T248" s="32" t="n">
        <f>273040</f>
        <v>273040.0</v>
      </c>
      <c r="U248" s="32" t="str">
        <f>"－"</f>
        <v>－</v>
      </c>
      <c r="V248" s="32" t="n">
        <f>196244761</f>
        <v>1.96244761E8</v>
      </c>
      <c r="W248" s="32" t="str">
        <f>"－"</f>
        <v>－</v>
      </c>
      <c r="X248" s="36" t="n">
        <f>9</f>
        <v>9.0</v>
      </c>
    </row>
    <row r="249">
      <c r="A249" s="27" t="s">
        <v>42</v>
      </c>
      <c r="B249" s="27" t="s">
        <v>790</v>
      </c>
      <c r="C249" s="27" t="s">
        <v>791</v>
      </c>
      <c r="D249" s="27" t="s">
        <v>792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1950</f>
        <v>1950.0</v>
      </c>
      <c r="L249" s="34" t="s">
        <v>48</v>
      </c>
      <c r="M249" s="33" t="n">
        <f>2159</f>
        <v>2159.0</v>
      </c>
      <c r="N249" s="34" t="s">
        <v>50</v>
      </c>
      <c r="O249" s="33" t="n">
        <f>1939</f>
        <v>1939.0</v>
      </c>
      <c r="P249" s="34" t="s">
        <v>73</v>
      </c>
      <c r="Q249" s="33" t="n">
        <f>2150</f>
        <v>2150.0</v>
      </c>
      <c r="R249" s="34" t="s">
        <v>50</v>
      </c>
      <c r="S249" s="35" t="n">
        <f>2062.62</f>
        <v>2062.62</v>
      </c>
      <c r="T249" s="32" t="n">
        <f>3379565</f>
        <v>3379565.0</v>
      </c>
      <c r="U249" s="32" t="n">
        <f>2647536</f>
        <v>2647536.0</v>
      </c>
      <c r="V249" s="32" t="n">
        <f>7014724747</f>
        <v>7.014724747E9</v>
      </c>
      <c r="W249" s="32" t="n">
        <f>5506883666</f>
        <v>5.506883666E9</v>
      </c>
      <c r="X249" s="36" t="n">
        <f>21</f>
        <v>21.0</v>
      </c>
    </row>
    <row r="250">
      <c r="A250" s="27" t="s">
        <v>42</v>
      </c>
      <c r="B250" s="27" t="s">
        <v>793</v>
      </c>
      <c r="C250" s="27" t="s">
        <v>794</v>
      </c>
      <c r="D250" s="27" t="s">
        <v>795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2377</f>
        <v>2377.0</v>
      </c>
      <c r="L250" s="34" t="s">
        <v>48</v>
      </c>
      <c r="M250" s="33" t="n">
        <f>2606</f>
        <v>2606.0</v>
      </c>
      <c r="N250" s="34" t="s">
        <v>207</v>
      </c>
      <c r="O250" s="33" t="n">
        <f>2353</f>
        <v>2353.0</v>
      </c>
      <c r="P250" s="34" t="s">
        <v>73</v>
      </c>
      <c r="Q250" s="33" t="n">
        <f>2579</f>
        <v>2579.0</v>
      </c>
      <c r="R250" s="34" t="s">
        <v>50</v>
      </c>
      <c r="S250" s="35" t="n">
        <f>2502.05</f>
        <v>2502.05</v>
      </c>
      <c r="T250" s="32" t="n">
        <f>1724518</f>
        <v>1724518.0</v>
      </c>
      <c r="U250" s="32" t="n">
        <f>1226271</f>
        <v>1226271.0</v>
      </c>
      <c r="V250" s="32" t="n">
        <f>4311542020</f>
        <v>4.31154202E9</v>
      </c>
      <c r="W250" s="32" t="n">
        <f>3060868861</f>
        <v>3.060868861E9</v>
      </c>
      <c r="X250" s="36" t="n">
        <f>21</f>
        <v>21.0</v>
      </c>
    </row>
    <row r="251">
      <c r="A251" s="27" t="s">
        <v>42</v>
      </c>
      <c r="B251" s="27" t="s">
        <v>796</v>
      </c>
      <c r="C251" s="27" t="s">
        <v>797</v>
      </c>
      <c r="D251" s="27" t="s">
        <v>798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12855</f>
        <v>12855.0</v>
      </c>
      <c r="L251" s="34" t="s">
        <v>48</v>
      </c>
      <c r="M251" s="33" t="n">
        <f>13110</f>
        <v>13110.0</v>
      </c>
      <c r="N251" s="34" t="s">
        <v>73</v>
      </c>
      <c r="O251" s="33" t="n">
        <f>10645</f>
        <v>10645.0</v>
      </c>
      <c r="P251" s="34" t="s">
        <v>207</v>
      </c>
      <c r="Q251" s="33" t="n">
        <f>10890</f>
        <v>10890.0</v>
      </c>
      <c r="R251" s="34" t="s">
        <v>50</v>
      </c>
      <c r="S251" s="35" t="n">
        <f>11614.76</f>
        <v>11614.76</v>
      </c>
      <c r="T251" s="32" t="n">
        <f>219689</f>
        <v>219689.0</v>
      </c>
      <c r="U251" s="32" t="n">
        <f>1594</f>
        <v>1594.0</v>
      </c>
      <c r="V251" s="32" t="n">
        <f>2593852149</f>
        <v>2.593852149E9</v>
      </c>
      <c r="W251" s="32" t="n">
        <f>18880849</f>
        <v>1.8880849E7</v>
      </c>
      <c r="X251" s="36" t="n">
        <f>21</f>
        <v>21.0</v>
      </c>
    </row>
    <row r="252">
      <c r="A252" s="27" t="s">
        <v>42</v>
      </c>
      <c r="B252" s="27" t="s">
        <v>799</v>
      </c>
      <c r="C252" s="27" t="s">
        <v>800</v>
      </c>
      <c r="D252" s="27" t="s">
        <v>801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1745</f>
        <v>1745.0</v>
      </c>
      <c r="L252" s="34" t="s">
        <v>48</v>
      </c>
      <c r="M252" s="33" t="n">
        <f>2100</f>
        <v>2100.0</v>
      </c>
      <c r="N252" s="34" t="s">
        <v>144</v>
      </c>
      <c r="O252" s="33" t="n">
        <f>1721</f>
        <v>1721.0</v>
      </c>
      <c r="P252" s="34" t="s">
        <v>73</v>
      </c>
      <c r="Q252" s="33" t="n">
        <f>1940</f>
        <v>1940.0</v>
      </c>
      <c r="R252" s="34" t="s">
        <v>50</v>
      </c>
      <c r="S252" s="35" t="n">
        <f>1921.67</f>
        <v>1921.67</v>
      </c>
      <c r="T252" s="32" t="n">
        <f>690242</f>
        <v>690242.0</v>
      </c>
      <c r="U252" s="32" t="n">
        <f>12</f>
        <v>12.0</v>
      </c>
      <c r="V252" s="32" t="n">
        <f>1336291105</f>
        <v>1.336291105E9</v>
      </c>
      <c r="W252" s="32" t="n">
        <f>23212</f>
        <v>23212.0</v>
      </c>
      <c r="X252" s="36" t="n">
        <f>21</f>
        <v>21.0</v>
      </c>
    </row>
    <row r="253">
      <c r="A253" s="27" t="s">
        <v>42</v>
      </c>
      <c r="B253" s="27" t="s">
        <v>802</v>
      </c>
      <c r="C253" s="27" t="s">
        <v>803</v>
      </c>
      <c r="D253" s="27" t="s">
        <v>804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322.8</f>
        <v>322.8</v>
      </c>
      <c r="L253" s="34" t="s">
        <v>48</v>
      </c>
      <c r="M253" s="33" t="n">
        <f>350.7</f>
        <v>350.7</v>
      </c>
      <c r="N253" s="34" t="s">
        <v>184</v>
      </c>
      <c r="O253" s="33" t="n">
        <f>320.1</f>
        <v>320.1</v>
      </c>
      <c r="P253" s="34" t="s">
        <v>73</v>
      </c>
      <c r="Q253" s="33" t="n">
        <f>338.8</f>
        <v>338.8</v>
      </c>
      <c r="R253" s="34" t="s">
        <v>50</v>
      </c>
      <c r="S253" s="35" t="n">
        <f>333.63</f>
        <v>333.63</v>
      </c>
      <c r="T253" s="32" t="n">
        <f>18320</f>
        <v>18320.0</v>
      </c>
      <c r="U253" s="32" t="n">
        <f>10</f>
        <v>10.0</v>
      </c>
      <c r="V253" s="32" t="n">
        <f>6114557</f>
        <v>6114557.0</v>
      </c>
      <c r="W253" s="32" t="n">
        <f>3357</f>
        <v>3357.0</v>
      </c>
      <c r="X253" s="36" t="n">
        <f>21</f>
        <v>21.0</v>
      </c>
    </row>
    <row r="254">
      <c r="A254" s="27" t="s">
        <v>42</v>
      </c>
      <c r="B254" s="27" t="s">
        <v>805</v>
      </c>
      <c r="C254" s="27" t="s">
        <v>806</v>
      </c>
      <c r="D254" s="27" t="s">
        <v>807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859.7</f>
        <v>859.7</v>
      </c>
      <c r="L254" s="34" t="s">
        <v>48</v>
      </c>
      <c r="M254" s="33" t="n">
        <f>881.7</f>
        <v>881.7</v>
      </c>
      <c r="N254" s="34" t="s">
        <v>50</v>
      </c>
      <c r="O254" s="33" t="n">
        <f>858.1</f>
        <v>858.1</v>
      </c>
      <c r="P254" s="34" t="s">
        <v>48</v>
      </c>
      <c r="Q254" s="33" t="n">
        <f>881.7</f>
        <v>881.7</v>
      </c>
      <c r="R254" s="34" t="s">
        <v>50</v>
      </c>
      <c r="S254" s="35" t="n">
        <f>870.34</f>
        <v>870.34</v>
      </c>
      <c r="T254" s="32" t="n">
        <f>3370300</f>
        <v>3370300.0</v>
      </c>
      <c r="U254" s="32" t="n">
        <f>108210</f>
        <v>108210.0</v>
      </c>
      <c r="V254" s="32" t="n">
        <f>2924787255</f>
        <v>2.924787255E9</v>
      </c>
      <c r="W254" s="32" t="n">
        <f>94471623</f>
        <v>9.4471623E7</v>
      </c>
      <c r="X254" s="36" t="n">
        <f>21</f>
        <v>21.0</v>
      </c>
    </row>
    <row r="255">
      <c r="A255" s="27" t="s">
        <v>42</v>
      </c>
      <c r="B255" s="27" t="s">
        <v>808</v>
      </c>
      <c r="C255" s="27" t="s">
        <v>809</v>
      </c>
      <c r="D255" s="27" t="s">
        <v>810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1288</f>
        <v>1288.0</v>
      </c>
      <c r="L255" s="34" t="s">
        <v>48</v>
      </c>
      <c r="M255" s="33" t="n">
        <f>1371</f>
        <v>1371.0</v>
      </c>
      <c r="N255" s="34" t="s">
        <v>282</v>
      </c>
      <c r="O255" s="33" t="n">
        <f>1235</f>
        <v>1235.0</v>
      </c>
      <c r="P255" s="34" t="s">
        <v>68</v>
      </c>
      <c r="Q255" s="33" t="n">
        <f>1353</f>
        <v>1353.0</v>
      </c>
      <c r="R255" s="34" t="s">
        <v>50</v>
      </c>
      <c r="S255" s="35" t="n">
        <f>1323.86</f>
        <v>1323.86</v>
      </c>
      <c r="T255" s="32" t="n">
        <f>137301</f>
        <v>137301.0</v>
      </c>
      <c r="U255" s="32" t="str">
        <f>"－"</f>
        <v>－</v>
      </c>
      <c r="V255" s="32" t="n">
        <f>178013804</f>
        <v>1.78013804E8</v>
      </c>
      <c r="W255" s="32" t="str">
        <f>"－"</f>
        <v>－</v>
      </c>
      <c r="X255" s="36" t="n">
        <f>21</f>
        <v>21.0</v>
      </c>
    </row>
    <row r="256">
      <c r="A256" s="27" t="s">
        <v>42</v>
      </c>
      <c r="B256" s="27" t="s">
        <v>811</v>
      </c>
      <c r="C256" s="27" t="s">
        <v>812</v>
      </c>
      <c r="D256" s="27" t="s">
        <v>813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1293</f>
        <v>1293.0</v>
      </c>
      <c r="L256" s="34" t="s">
        <v>48</v>
      </c>
      <c r="M256" s="33" t="n">
        <f>1330</f>
        <v>1330.0</v>
      </c>
      <c r="N256" s="34" t="s">
        <v>68</v>
      </c>
      <c r="O256" s="33" t="n">
        <f>1281</f>
        <v>1281.0</v>
      </c>
      <c r="P256" s="34" t="s">
        <v>48</v>
      </c>
      <c r="Q256" s="33" t="n">
        <f>1323</f>
        <v>1323.0</v>
      </c>
      <c r="R256" s="34" t="s">
        <v>50</v>
      </c>
      <c r="S256" s="35" t="n">
        <f>1307.71</f>
        <v>1307.71</v>
      </c>
      <c r="T256" s="32" t="n">
        <f>165875</f>
        <v>165875.0</v>
      </c>
      <c r="U256" s="32" t="str">
        <f>"－"</f>
        <v>－</v>
      </c>
      <c r="V256" s="32" t="n">
        <f>216791991</f>
        <v>2.16791991E8</v>
      </c>
      <c r="W256" s="32" t="str">
        <f>"－"</f>
        <v>－</v>
      </c>
      <c r="X256" s="36" t="n">
        <f>21</f>
        <v>21.0</v>
      </c>
    </row>
    <row r="257">
      <c r="A257" s="27" t="s">
        <v>42</v>
      </c>
      <c r="B257" s="27" t="s">
        <v>814</v>
      </c>
      <c r="C257" s="27" t="s">
        <v>815</v>
      </c>
      <c r="D257" s="27" t="s">
        <v>816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1288</f>
        <v>1288.0</v>
      </c>
      <c r="L257" s="34" t="s">
        <v>48</v>
      </c>
      <c r="M257" s="33" t="n">
        <f>1398</f>
        <v>1398.0</v>
      </c>
      <c r="N257" s="34" t="s">
        <v>50</v>
      </c>
      <c r="O257" s="33" t="n">
        <f>1204</f>
        <v>1204.0</v>
      </c>
      <c r="P257" s="34" t="s">
        <v>60</v>
      </c>
      <c r="Q257" s="33" t="n">
        <f>1387</f>
        <v>1387.0</v>
      </c>
      <c r="R257" s="34" t="s">
        <v>50</v>
      </c>
      <c r="S257" s="35" t="n">
        <f>1307.48</f>
        <v>1307.48</v>
      </c>
      <c r="T257" s="32" t="n">
        <f>594398</f>
        <v>594398.0</v>
      </c>
      <c r="U257" s="32" t="str">
        <f>"－"</f>
        <v>－</v>
      </c>
      <c r="V257" s="32" t="n">
        <f>781129354</f>
        <v>7.81129354E8</v>
      </c>
      <c r="W257" s="32" t="str">
        <f>"－"</f>
        <v>－</v>
      </c>
      <c r="X257" s="36" t="n">
        <f>21</f>
        <v>21.0</v>
      </c>
    </row>
    <row r="258">
      <c r="A258" s="27" t="s">
        <v>42</v>
      </c>
      <c r="B258" s="27" t="s">
        <v>817</v>
      </c>
      <c r="C258" s="27" t="s">
        <v>818</v>
      </c>
      <c r="D258" s="27" t="s">
        <v>819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210.8</f>
        <v>210.8</v>
      </c>
      <c r="L258" s="34" t="s">
        <v>48</v>
      </c>
      <c r="M258" s="33" t="n">
        <f>215</f>
        <v>215.0</v>
      </c>
      <c r="N258" s="34" t="s">
        <v>143</v>
      </c>
      <c r="O258" s="33" t="n">
        <f>208.4</f>
        <v>208.4</v>
      </c>
      <c r="P258" s="34" t="s">
        <v>207</v>
      </c>
      <c r="Q258" s="33" t="n">
        <f>209.3</f>
        <v>209.3</v>
      </c>
      <c r="R258" s="34" t="s">
        <v>50</v>
      </c>
      <c r="S258" s="35" t="n">
        <f>210.75</f>
        <v>210.75</v>
      </c>
      <c r="T258" s="32" t="n">
        <f>2765210</f>
        <v>2765210.0</v>
      </c>
      <c r="U258" s="32" t="n">
        <f>92330</f>
        <v>92330.0</v>
      </c>
      <c r="V258" s="32" t="n">
        <f>583131847</f>
        <v>5.83131847E8</v>
      </c>
      <c r="W258" s="32" t="n">
        <f>19523502</f>
        <v>1.9523502E7</v>
      </c>
      <c r="X258" s="36" t="n">
        <f>21</f>
        <v>21.0</v>
      </c>
    </row>
    <row r="259">
      <c r="A259" s="27" t="s">
        <v>42</v>
      </c>
      <c r="B259" s="27" t="s">
        <v>820</v>
      </c>
      <c r="C259" s="27" t="s">
        <v>821</v>
      </c>
      <c r="D259" s="27" t="s">
        <v>822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225.8</f>
        <v>225.8</v>
      </c>
      <c r="L259" s="34" t="s">
        <v>48</v>
      </c>
      <c r="M259" s="33" t="n">
        <f>229.9</f>
        <v>229.9</v>
      </c>
      <c r="N259" s="34" t="s">
        <v>68</v>
      </c>
      <c r="O259" s="33" t="n">
        <f>223.4</f>
        <v>223.4</v>
      </c>
      <c r="P259" s="34" t="s">
        <v>143</v>
      </c>
      <c r="Q259" s="33" t="n">
        <f>225.3</f>
        <v>225.3</v>
      </c>
      <c r="R259" s="34" t="s">
        <v>50</v>
      </c>
      <c r="S259" s="35" t="n">
        <f>225.16</f>
        <v>225.16</v>
      </c>
      <c r="T259" s="32" t="n">
        <f>4892790</f>
        <v>4892790.0</v>
      </c>
      <c r="U259" s="32" t="n">
        <f>66500</f>
        <v>66500.0</v>
      </c>
      <c r="V259" s="32" t="n">
        <f>1102447278</f>
        <v>1.102447278E9</v>
      </c>
      <c r="W259" s="32" t="n">
        <f>14970232</f>
        <v>1.4970232E7</v>
      </c>
      <c r="X259" s="36" t="n">
        <f>21</f>
        <v>21.0</v>
      </c>
    </row>
    <row r="260">
      <c r="A260" s="27" t="s">
        <v>42</v>
      </c>
      <c r="B260" s="27" t="s">
        <v>823</v>
      </c>
      <c r="C260" s="27" t="s">
        <v>824</v>
      </c>
      <c r="D260" s="27" t="s">
        <v>825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226.1</f>
        <v>226.1</v>
      </c>
      <c r="L260" s="34" t="s">
        <v>48</v>
      </c>
      <c r="M260" s="33" t="n">
        <f>228.7</f>
        <v>228.7</v>
      </c>
      <c r="N260" s="34" t="s">
        <v>68</v>
      </c>
      <c r="O260" s="33" t="n">
        <f>224.5</f>
        <v>224.5</v>
      </c>
      <c r="P260" s="34" t="s">
        <v>143</v>
      </c>
      <c r="Q260" s="33" t="n">
        <f>227</f>
        <v>227.0</v>
      </c>
      <c r="R260" s="34" t="s">
        <v>50</v>
      </c>
      <c r="S260" s="35" t="n">
        <f>226.66</f>
        <v>226.66</v>
      </c>
      <c r="T260" s="32" t="n">
        <f>1336320</f>
        <v>1336320.0</v>
      </c>
      <c r="U260" s="32" t="n">
        <f>37120</f>
        <v>37120.0</v>
      </c>
      <c r="V260" s="32" t="n">
        <f>304072820</f>
        <v>3.0407282E8</v>
      </c>
      <c r="W260" s="32" t="n">
        <f>8358567</f>
        <v>8358567.0</v>
      </c>
      <c r="X260" s="36" t="n">
        <f>21</f>
        <v>21.0</v>
      </c>
    </row>
    <row r="261">
      <c r="A261" s="27" t="s">
        <v>42</v>
      </c>
      <c r="B261" s="27" t="s">
        <v>826</v>
      </c>
      <c r="C261" s="27" t="s">
        <v>827</v>
      </c>
      <c r="D261" s="27" t="s">
        <v>828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10.0</v>
      </c>
      <c r="K261" s="33" t="n">
        <f>226.8</f>
        <v>226.8</v>
      </c>
      <c r="L261" s="34" t="s">
        <v>48</v>
      </c>
      <c r="M261" s="33" t="n">
        <f>232</f>
        <v>232.0</v>
      </c>
      <c r="N261" s="34" t="s">
        <v>68</v>
      </c>
      <c r="O261" s="33" t="n">
        <f>225.5</f>
        <v>225.5</v>
      </c>
      <c r="P261" s="34" t="s">
        <v>143</v>
      </c>
      <c r="Q261" s="33" t="n">
        <f>228.7</f>
        <v>228.7</v>
      </c>
      <c r="R261" s="34" t="s">
        <v>50</v>
      </c>
      <c r="S261" s="35" t="n">
        <f>227.74</f>
        <v>227.74</v>
      </c>
      <c r="T261" s="32" t="n">
        <f>1452240</f>
        <v>1452240.0</v>
      </c>
      <c r="U261" s="32" t="n">
        <f>33330</f>
        <v>33330.0</v>
      </c>
      <c r="V261" s="32" t="n">
        <f>331166515</f>
        <v>3.31166515E8</v>
      </c>
      <c r="W261" s="32" t="n">
        <f>7566786</f>
        <v>7566786.0</v>
      </c>
      <c r="X261" s="36" t="n">
        <f>21</f>
        <v>21.0</v>
      </c>
    </row>
    <row r="262">
      <c r="A262" s="27" t="s">
        <v>42</v>
      </c>
      <c r="B262" s="27" t="s">
        <v>829</v>
      </c>
      <c r="C262" s="27" t="s">
        <v>830</v>
      </c>
      <c r="D262" s="27" t="s">
        <v>831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186.2</f>
        <v>186.2</v>
      </c>
      <c r="L262" s="34" t="s">
        <v>48</v>
      </c>
      <c r="M262" s="33" t="n">
        <f>188.6</f>
        <v>188.6</v>
      </c>
      <c r="N262" s="34" t="s">
        <v>200</v>
      </c>
      <c r="O262" s="33" t="n">
        <f>183.9</f>
        <v>183.9</v>
      </c>
      <c r="P262" s="34" t="s">
        <v>50</v>
      </c>
      <c r="Q262" s="33" t="n">
        <f>183.9</f>
        <v>183.9</v>
      </c>
      <c r="R262" s="34" t="s">
        <v>50</v>
      </c>
      <c r="S262" s="35" t="n">
        <f>185.78</f>
        <v>185.78</v>
      </c>
      <c r="T262" s="32" t="n">
        <f>905240</f>
        <v>905240.0</v>
      </c>
      <c r="U262" s="32" t="n">
        <f>300</f>
        <v>300.0</v>
      </c>
      <c r="V262" s="32" t="n">
        <f>169749981</f>
        <v>1.69749981E8</v>
      </c>
      <c r="W262" s="32" t="n">
        <f>55718</f>
        <v>55718.0</v>
      </c>
      <c r="X262" s="36" t="n">
        <f>21</f>
        <v>21.0</v>
      </c>
    </row>
    <row r="263">
      <c r="A263" s="27" t="s">
        <v>42</v>
      </c>
      <c r="B263" s="27" t="s">
        <v>832</v>
      </c>
      <c r="C263" s="27" t="s">
        <v>833</v>
      </c>
      <c r="D263" s="27" t="s">
        <v>834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1800</f>
        <v>1800.0</v>
      </c>
      <c r="L263" s="34" t="s">
        <v>48</v>
      </c>
      <c r="M263" s="33" t="n">
        <f>1965</f>
        <v>1965.0</v>
      </c>
      <c r="N263" s="34" t="s">
        <v>67</v>
      </c>
      <c r="O263" s="33" t="n">
        <f>1763</f>
        <v>1763.0</v>
      </c>
      <c r="P263" s="34" t="s">
        <v>73</v>
      </c>
      <c r="Q263" s="33" t="n">
        <f>1850</f>
        <v>1850.0</v>
      </c>
      <c r="R263" s="34" t="s">
        <v>50</v>
      </c>
      <c r="S263" s="35" t="n">
        <f>1876.86</f>
        <v>1876.86</v>
      </c>
      <c r="T263" s="32" t="n">
        <f>360009</f>
        <v>360009.0</v>
      </c>
      <c r="U263" s="32" t="n">
        <f>100</f>
        <v>100.0</v>
      </c>
      <c r="V263" s="32" t="n">
        <f>666847215</f>
        <v>6.66847215E8</v>
      </c>
      <c r="W263" s="32" t="n">
        <f>185250</f>
        <v>185250.0</v>
      </c>
      <c r="X263" s="36" t="n">
        <f>21</f>
        <v>21.0</v>
      </c>
    </row>
    <row r="264">
      <c r="A264" s="27" t="s">
        <v>42</v>
      </c>
      <c r="B264" s="27" t="s">
        <v>835</v>
      </c>
      <c r="C264" s="27" t="s">
        <v>836</v>
      </c>
      <c r="D264" s="27" t="s">
        <v>837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1438</f>
        <v>1438.0</v>
      </c>
      <c r="L264" s="34" t="s">
        <v>48</v>
      </c>
      <c r="M264" s="33" t="n">
        <f>1478</f>
        <v>1478.0</v>
      </c>
      <c r="N264" s="34" t="s">
        <v>200</v>
      </c>
      <c r="O264" s="33" t="n">
        <f>1337</f>
        <v>1337.0</v>
      </c>
      <c r="P264" s="34" t="s">
        <v>72</v>
      </c>
      <c r="Q264" s="33" t="n">
        <f>1368</f>
        <v>1368.0</v>
      </c>
      <c r="R264" s="34" t="s">
        <v>50</v>
      </c>
      <c r="S264" s="35" t="n">
        <f>1417.62</f>
        <v>1417.62</v>
      </c>
      <c r="T264" s="32" t="n">
        <f>265905</f>
        <v>265905.0</v>
      </c>
      <c r="U264" s="32" t="n">
        <f>112510</f>
        <v>112510.0</v>
      </c>
      <c r="V264" s="32" t="n">
        <f>382948493</f>
        <v>3.82948493E8</v>
      </c>
      <c r="W264" s="32" t="n">
        <f>164167031</f>
        <v>1.64167031E8</v>
      </c>
      <c r="X264" s="36" t="n">
        <f>21</f>
        <v>21.0</v>
      </c>
    </row>
    <row r="265">
      <c r="A265" s="27" t="s">
        <v>42</v>
      </c>
      <c r="B265" s="27" t="s">
        <v>838</v>
      </c>
      <c r="C265" s="27" t="s">
        <v>839</v>
      </c>
      <c r="D265" s="27" t="s">
        <v>840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1370</f>
        <v>1370.0</v>
      </c>
      <c r="L265" s="34" t="s">
        <v>48</v>
      </c>
      <c r="M265" s="33" t="n">
        <f>1414</f>
        <v>1414.0</v>
      </c>
      <c r="N265" s="34" t="s">
        <v>116</v>
      </c>
      <c r="O265" s="33" t="n">
        <f>1306</f>
        <v>1306.0</v>
      </c>
      <c r="P265" s="34" t="s">
        <v>50</v>
      </c>
      <c r="Q265" s="33" t="n">
        <f>1318</f>
        <v>1318.0</v>
      </c>
      <c r="R265" s="34" t="s">
        <v>50</v>
      </c>
      <c r="S265" s="35" t="n">
        <f>1371.71</f>
        <v>1371.71</v>
      </c>
      <c r="T265" s="32" t="n">
        <f>2661221</f>
        <v>2661221.0</v>
      </c>
      <c r="U265" s="32" t="n">
        <f>1574170</f>
        <v>1574170.0</v>
      </c>
      <c r="V265" s="32" t="n">
        <f>3620192619</f>
        <v>3.620192619E9</v>
      </c>
      <c r="W265" s="32" t="n">
        <f>2141498618</f>
        <v>2.141498618E9</v>
      </c>
      <c r="X265" s="36" t="n">
        <f>21</f>
        <v>21.0</v>
      </c>
    </row>
    <row r="266">
      <c r="A266" s="27" t="s">
        <v>42</v>
      </c>
      <c r="B266" s="27" t="s">
        <v>841</v>
      </c>
      <c r="C266" s="27" t="s">
        <v>842</v>
      </c>
      <c r="D266" s="27" t="s">
        <v>843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453.4</f>
        <v>453.4</v>
      </c>
      <c r="L266" s="34" t="s">
        <v>48</v>
      </c>
      <c r="M266" s="33" t="n">
        <f>468</f>
        <v>468.0</v>
      </c>
      <c r="N266" s="34" t="s">
        <v>60</v>
      </c>
      <c r="O266" s="33" t="n">
        <f>446.7</f>
        <v>446.7</v>
      </c>
      <c r="P266" s="34" t="s">
        <v>50</v>
      </c>
      <c r="Q266" s="33" t="n">
        <f>447.2</f>
        <v>447.2</v>
      </c>
      <c r="R266" s="34" t="s">
        <v>50</v>
      </c>
      <c r="S266" s="35" t="n">
        <f>450.8</f>
        <v>450.8</v>
      </c>
      <c r="T266" s="32" t="n">
        <f>2239590</f>
        <v>2239590.0</v>
      </c>
      <c r="U266" s="32" t="n">
        <f>1821250</f>
        <v>1821250.0</v>
      </c>
      <c r="V266" s="32" t="n">
        <f>1007746796</f>
        <v>1.007746796E9</v>
      </c>
      <c r="W266" s="32" t="n">
        <f>819019957</f>
        <v>8.19019957E8</v>
      </c>
      <c r="X266" s="36" t="n">
        <f>21</f>
        <v>21.0</v>
      </c>
    </row>
    <row r="267">
      <c r="A267" s="27" t="s">
        <v>42</v>
      </c>
      <c r="B267" s="27" t="s">
        <v>844</v>
      </c>
      <c r="C267" s="27" t="s">
        <v>845</v>
      </c>
      <c r="D267" s="27" t="s">
        <v>846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166</f>
        <v>166.0</v>
      </c>
      <c r="L267" s="34" t="s">
        <v>48</v>
      </c>
      <c r="M267" s="33" t="n">
        <f>167.4</f>
        <v>167.4</v>
      </c>
      <c r="N267" s="34" t="s">
        <v>200</v>
      </c>
      <c r="O267" s="33" t="n">
        <f>158.4</f>
        <v>158.4</v>
      </c>
      <c r="P267" s="34" t="s">
        <v>50</v>
      </c>
      <c r="Q267" s="33" t="n">
        <f>159.2</f>
        <v>159.2</v>
      </c>
      <c r="R267" s="34" t="s">
        <v>50</v>
      </c>
      <c r="S267" s="35" t="n">
        <f>162.22</f>
        <v>162.22</v>
      </c>
      <c r="T267" s="32" t="n">
        <f>7763570</f>
        <v>7763570.0</v>
      </c>
      <c r="U267" s="32" t="n">
        <f>1650</f>
        <v>1650.0</v>
      </c>
      <c r="V267" s="32" t="n">
        <f>1256717173</f>
        <v>1.256717173E9</v>
      </c>
      <c r="W267" s="32" t="n">
        <f>265315</f>
        <v>265315.0</v>
      </c>
      <c r="X267" s="36" t="n">
        <f>21</f>
        <v>21.0</v>
      </c>
    </row>
    <row r="268">
      <c r="A268" s="27" t="s">
        <v>42</v>
      </c>
      <c r="B268" s="27" t="s">
        <v>847</v>
      </c>
      <c r="C268" s="27" t="s">
        <v>848</v>
      </c>
      <c r="D268" s="27" t="s">
        <v>849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139</f>
        <v>139.0</v>
      </c>
      <c r="L268" s="34" t="s">
        <v>48</v>
      </c>
      <c r="M268" s="33" t="n">
        <f>140.2</f>
        <v>140.2</v>
      </c>
      <c r="N268" s="34" t="s">
        <v>200</v>
      </c>
      <c r="O268" s="33" t="n">
        <f>130.5</f>
        <v>130.5</v>
      </c>
      <c r="P268" s="34" t="s">
        <v>50</v>
      </c>
      <c r="Q268" s="33" t="n">
        <f>131.5</f>
        <v>131.5</v>
      </c>
      <c r="R268" s="34" t="s">
        <v>50</v>
      </c>
      <c r="S268" s="35" t="n">
        <f>134.84</f>
        <v>134.84</v>
      </c>
      <c r="T268" s="32" t="n">
        <f>11313590</f>
        <v>1.131359E7</v>
      </c>
      <c r="U268" s="32" t="n">
        <f>1320</f>
        <v>1320.0</v>
      </c>
      <c r="V268" s="32" t="n">
        <f>1523714210</f>
        <v>1.52371421E9</v>
      </c>
      <c r="W268" s="32" t="n">
        <f>176845</f>
        <v>176845.0</v>
      </c>
      <c r="X268" s="36" t="n">
        <f>21</f>
        <v>21.0</v>
      </c>
    </row>
    <row r="269">
      <c r="A269" s="27" t="s">
        <v>42</v>
      </c>
      <c r="B269" s="27" t="s">
        <v>850</v>
      </c>
      <c r="C269" s="27" t="s">
        <v>851</v>
      </c>
      <c r="D269" s="27" t="s">
        <v>852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822.8</f>
        <v>822.8</v>
      </c>
      <c r="L269" s="34" t="s">
        <v>48</v>
      </c>
      <c r="M269" s="33" t="n">
        <f>826.3</f>
        <v>826.3</v>
      </c>
      <c r="N269" s="34" t="s">
        <v>88</v>
      </c>
      <c r="O269" s="33" t="n">
        <f>816</f>
        <v>816.0</v>
      </c>
      <c r="P269" s="34" t="s">
        <v>50</v>
      </c>
      <c r="Q269" s="33" t="n">
        <f>816.7</f>
        <v>816.7</v>
      </c>
      <c r="R269" s="34" t="s">
        <v>50</v>
      </c>
      <c r="S269" s="35" t="n">
        <f>821.52</f>
        <v>821.52</v>
      </c>
      <c r="T269" s="32" t="n">
        <f>11029010</f>
        <v>1.102901E7</v>
      </c>
      <c r="U269" s="32" t="n">
        <f>7696750</f>
        <v>7696750.0</v>
      </c>
      <c r="V269" s="32" t="n">
        <f>9057488700</f>
        <v>9.0574887E9</v>
      </c>
      <c r="W269" s="32" t="n">
        <f>6322030604</f>
        <v>6.322030604E9</v>
      </c>
      <c r="X269" s="36" t="n">
        <f>21</f>
        <v>21.0</v>
      </c>
    </row>
    <row r="270">
      <c r="A270" s="27" t="s">
        <v>42</v>
      </c>
      <c r="B270" s="27" t="s">
        <v>853</v>
      </c>
      <c r="C270" s="27" t="s">
        <v>854</v>
      </c>
      <c r="D270" s="27" t="s">
        <v>855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1171.5</f>
        <v>1171.5</v>
      </c>
      <c r="L270" s="34" t="s">
        <v>48</v>
      </c>
      <c r="M270" s="33" t="n">
        <f>1243.5</f>
        <v>1243.5</v>
      </c>
      <c r="N270" s="34" t="s">
        <v>60</v>
      </c>
      <c r="O270" s="33" t="n">
        <f>1171.5</f>
        <v>1171.5</v>
      </c>
      <c r="P270" s="34" t="s">
        <v>48</v>
      </c>
      <c r="Q270" s="33" t="n">
        <f>1190</f>
        <v>1190.0</v>
      </c>
      <c r="R270" s="34" t="s">
        <v>50</v>
      </c>
      <c r="S270" s="35" t="n">
        <f>1187.74</f>
        <v>1187.74</v>
      </c>
      <c r="T270" s="32" t="n">
        <f>3940080</f>
        <v>3940080.0</v>
      </c>
      <c r="U270" s="32" t="n">
        <f>2347920</f>
        <v>2347920.0</v>
      </c>
      <c r="V270" s="32" t="n">
        <f>4673253544</f>
        <v>4.673253544E9</v>
      </c>
      <c r="W270" s="32" t="n">
        <f>2783560314</f>
        <v>2.783560314E9</v>
      </c>
      <c r="X270" s="36" t="n">
        <f>21</f>
        <v>21.0</v>
      </c>
    </row>
    <row r="271">
      <c r="A271" s="27" t="s">
        <v>42</v>
      </c>
      <c r="B271" s="27" t="s">
        <v>856</v>
      </c>
      <c r="C271" s="27" t="s">
        <v>857</v>
      </c>
      <c r="D271" s="27" t="s">
        <v>858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736</f>
        <v>736.0</v>
      </c>
      <c r="L271" s="34" t="s">
        <v>48</v>
      </c>
      <c r="M271" s="33" t="n">
        <f>759.9</f>
        <v>759.9</v>
      </c>
      <c r="N271" s="34" t="s">
        <v>60</v>
      </c>
      <c r="O271" s="33" t="n">
        <f>731.9</f>
        <v>731.9</v>
      </c>
      <c r="P271" s="34" t="s">
        <v>50</v>
      </c>
      <c r="Q271" s="33" t="n">
        <f>732</f>
        <v>732.0</v>
      </c>
      <c r="R271" s="34" t="s">
        <v>50</v>
      </c>
      <c r="S271" s="35" t="n">
        <f>738.04</f>
        <v>738.04</v>
      </c>
      <c r="T271" s="32" t="n">
        <f>6462170</f>
        <v>6462170.0</v>
      </c>
      <c r="U271" s="32" t="n">
        <f>5171050</f>
        <v>5171050.0</v>
      </c>
      <c r="V271" s="32" t="n">
        <f>4762058124</f>
        <v>4.762058124E9</v>
      </c>
      <c r="W271" s="32" t="n">
        <f>3809994103</f>
        <v>3.809994103E9</v>
      </c>
      <c r="X271" s="36" t="n">
        <f>21</f>
        <v>21.0</v>
      </c>
    </row>
    <row r="272">
      <c r="A272" s="27" t="s">
        <v>42</v>
      </c>
      <c r="B272" s="27" t="s">
        <v>859</v>
      </c>
      <c r="C272" s="27" t="s">
        <v>860</v>
      </c>
      <c r="D272" s="27" t="s">
        <v>861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3108</f>
        <v>3108.0</v>
      </c>
      <c r="L272" s="34" t="s">
        <v>48</v>
      </c>
      <c r="M272" s="33" t="n">
        <f>3428</f>
        <v>3428.0</v>
      </c>
      <c r="N272" s="34" t="s">
        <v>50</v>
      </c>
      <c r="O272" s="33" t="n">
        <f>3100</f>
        <v>3100.0</v>
      </c>
      <c r="P272" s="34" t="s">
        <v>73</v>
      </c>
      <c r="Q272" s="33" t="n">
        <f>3375</f>
        <v>3375.0</v>
      </c>
      <c r="R272" s="34" t="s">
        <v>50</v>
      </c>
      <c r="S272" s="35" t="n">
        <f>3281.29</f>
        <v>3281.29</v>
      </c>
      <c r="T272" s="32" t="n">
        <f>4046992</f>
        <v>4046992.0</v>
      </c>
      <c r="U272" s="32" t="n">
        <f>2983408</f>
        <v>2983408.0</v>
      </c>
      <c r="V272" s="32" t="n">
        <f>13183058155</f>
        <v>1.3183058155E10</v>
      </c>
      <c r="W272" s="32" t="n">
        <f>9744886785</f>
        <v>9.744886785E9</v>
      </c>
      <c r="X272" s="36" t="n">
        <f>21</f>
        <v>21.0</v>
      </c>
    </row>
    <row r="273">
      <c r="A273" s="27" t="s">
        <v>42</v>
      </c>
      <c r="B273" s="27" t="s">
        <v>862</v>
      </c>
      <c r="C273" s="27" t="s">
        <v>863</v>
      </c>
      <c r="D273" s="27" t="s">
        <v>864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1779</f>
        <v>1779.0</v>
      </c>
      <c r="L273" s="34" t="s">
        <v>48</v>
      </c>
      <c r="M273" s="33" t="n">
        <f>1933</f>
        <v>1933.0</v>
      </c>
      <c r="N273" s="34" t="s">
        <v>144</v>
      </c>
      <c r="O273" s="33" t="n">
        <f>1766</f>
        <v>1766.0</v>
      </c>
      <c r="P273" s="34" t="s">
        <v>73</v>
      </c>
      <c r="Q273" s="33" t="n">
        <f>1898</f>
        <v>1898.0</v>
      </c>
      <c r="R273" s="34" t="s">
        <v>50</v>
      </c>
      <c r="S273" s="35" t="n">
        <f>1865.52</f>
        <v>1865.52</v>
      </c>
      <c r="T273" s="32" t="n">
        <f>927441</f>
        <v>927441.0</v>
      </c>
      <c r="U273" s="32" t="n">
        <f>731160</f>
        <v>731160.0</v>
      </c>
      <c r="V273" s="32" t="n">
        <f>1729607848</f>
        <v>1.729607848E9</v>
      </c>
      <c r="W273" s="32" t="n">
        <f>1370076612</f>
        <v>1.370076612E9</v>
      </c>
      <c r="X273" s="36" t="n">
        <f>21</f>
        <v>21.0</v>
      </c>
    </row>
    <row r="274">
      <c r="A274" s="27" t="s">
        <v>42</v>
      </c>
      <c r="B274" s="27" t="s">
        <v>865</v>
      </c>
      <c r="C274" s="27" t="s">
        <v>866</v>
      </c>
      <c r="D274" s="27" t="s">
        <v>867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1509</f>
        <v>1509.0</v>
      </c>
      <c r="L274" s="34" t="s">
        <v>48</v>
      </c>
      <c r="M274" s="33" t="n">
        <f>1659</f>
        <v>1659.0</v>
      </c>
      <c r="N274" s="34" t="s">
        <v>80</v>
      </c>
      <c r="O274" s="33" t="n">
        <f>1509</f>
        <v>1509.0</v>
      </c>
      <c r="P274" s="34" t="s">
        <v>48</v>
      </c>
      <c r="Q274" s="33" t="n">
        <f>1636</f>
        <v>1636.0</v>
      </c>
      <c r="R274" s="34" t="s">
        <v>50</v>
      </c>
      <c r="S274" s="35" t="n">
        <f>1598.14</f>
        <v>1598.14</v>
      </c>
      <c r="T274" s="32" t="n">
        <f>961019</f>
        <v>961019.0</v>
      </c>
      <c r="U274" s="32" t="n">
        <f>418762</f>
        <v>418762.0</v>
      </c>
      <c r="V274" s="32" t="n">
        <f>1546590546</f>
        <v>1.546590546E9</v>
      </c>
      <c r="W274" s="32" t="n">
        <f>681636549</f>
        <v>6.81636549E8</v>
      </c>
      <c r="X274" s="36" t="n">
        <f>21</f>
        <v>21.0</v>
      </c>
    </row>
    <row r="275">
      <c r="A275" s="27" t="s">
        <v>42</v>
      </c>
      <c r="B275" s="27" t="s">
        <v>868</v>
      </c>
      <c r="C275" s="27" t="s">
        <v>869</v>
      </c>
      <c r="D275" s="27" t="s">
        <v>870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10.0</v>
      </c>
      <c r="K275" s="33" t="n">
        <f>570.3</f>
        <v>570.3</v>
      </c>
      <c r="L275" s="34" t="s">
        <v>48</v>
      </c>
      <c r="M275" s="33" t="n">
        <f>640.6</f>
        <v>640.6</v>
      </c>
      <c r="N275" s="34" t="s">
        <v>80</v>
      </c>
      <c r="O275" s="33" t="n">
        <f>568.5</f>
        <v>568.5</v>
      </c>
      <c r="P275" s="34" t="s">
        <v>48</v>
      </c>
      <c r="Q275" s="33" t="n">
        <f>607.3</f>
        <v>607.3</v>
      </c>
      <c r="R275" s="34" t="s">
        <v>50</v>
      </c>
      <c r="S275" s="35" t="n">
        <f>606.24</f>
        <v>606.24</v>
      </c>
      <c r="T275" s="32" t="n">
        <f>12565620</f>
        <v>1.256562E7</v>
      </c>
      <c r="U275" s="32" t="n">
        <f>1413260</f>
        <v>1413260.0</v>
      </c>
      <c r="V275" s="32" t="n">
        <f>7664981516</f>
        <v>7.664981516E9</v>
      </c>
      <c r="W275" s="32" t="n">
        <f>892909091</f>
        <v>8.92909091E8</v>
      </c>
      <c r="X275" s="36" t="n">
        <f>21</f>
        <v>21.0</v>
      </c>
    </row>
    <row r="276">
      <c r="A276" s="27" t="s">
        <v>42</v>
      </c>
      <c r="B276" s="27" t="s">
        <v>871</v>
      </c>
      <c r="C276" s="27" t="s">
        <v>872</v>
      </c>
      <c r="D276" s="27" t="s">
        <v>873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1145</f>
        <v>1145.0</v>
      </c>
      <c r="L276" s="34" t="s">
        <v>48</v>
      </c>
      <c r="M276" s="33" t="n">
        <f>1186</f>
        <v>1186.0</v>
      </c>
      <c r="N276" s="34" t="s">
        <v>88</v>
      </c>
      <c r="O276" s="33" t="n">
        <f>1141</f>
        <v>1141.0</v>
      </c>
      <c r="P276" s="34" t="s">
        <v>48</v>
      </c>
      <c r="Q276" s="33" t="n">
        <f>1151</f>
        <v>1151.0</v>
      </c>
      <c r="R276" s="34" t="s">
        <v>50</v>
      </c>
      <c r="S276" s="35" t="n">
        <f>1164.02</f>
        <v>1164.02</v>
      </c>
      <c r="T276" s="32" t="n">
        <f>1652060</f>
        <v>1652060.0</v>
      </c>
      <c r="U276" s="32" t="n">
        <f>1309440</f>
        <v>1309440.0</v>
      </c>
      <c r="V276" s="32" t="n">
        <f>1924887561</f>
        <v>1.924887561E9</v>
      </c>
      <c r="W276" s="32" t="n">
        <f>1529188841</f>
        <v>1.529188841E9</v>
      </c>
      <c r="X276" s="36" t="n">
        <f>21</f>
        <v>21.0</v>
      </c>
    </row>
    <row r="277">
      <c r="A277" s="27" t="s">
        <v>42</v>
      </c>
      <c r="B277" s="27" t="s">
        <v>874</v>
      </c>
      <c r="C277" s="27" t="s">
        <v>875</v>
      </c>
      <c r="D277" s="27" t="s">
        <v>876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2065</f>
        <v>2065.0</v>
      </c>
      <c r="L277" s="34" t="s">
        <v>48</v>
      </c>
      <c r="M277" s="33" t="n">
        <f>2199</f>
        <v>2199.0</v>
      </c>
      <c r="N277" s="34" t="s">
        <v>200</v>
      </c>
      <c r="O277" s="33" t="n">
        <f>2005</f>
        <v>2005.0</v>
      </c>
      <c r="P277" s="34" t="s">
        <v>60</v>
      </c>
      <c r="Q277" s="33" t="n">
        <f>2107</f>
        <v>2107.0</v>
      </c>
      <c r="R277" s="34" t="s">
        <v>50</v>
      </c>
      <c r="S277" s="35" t="n">
        <f>2122.76</f>
        <v>2122.76</v>
      </c>
      <c r="T277" s="32" t="n">
        <f>64589</f>
        <v>64589.0</v>
      </c>
      <c r="U277" s="32" t="str">
        <f>"－"</f>
        <v>－</v>
      </c>
      <c r="V277" s="32" t="n">
        <f>138442789</f>
        <v>1.38442789E8</v>
      </c>
      <c r="W277" s="32" t="str">
        <f>"－"</f>
        <v>－</v>
      </c>
      <c r="X277" s="36" t="n">
        <f>21</f>
        <v>21.0</v>
      </c>
    </row>
    <row r="278">
      <c r="A278" s="27" t="s">
        <v>42</v>
      </c>
      <c r="B278" s="27" t="s">
        <v>877</v>
      </c>
      <c r="C278" s="27" t="s">
        <v>878</v>
      </c>
      <c r="D278" s="27" t="s">
        <v>879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1166.5</f>
        <v>1166.5</v>
      </c>
      <c r="L278" s="34" t="s">
        <v>48</v>
      </c>
      <c r="M278" s="33" t="n">
        <f>1241</f>
        <v>1241.0</v>
      </c>
      <c r="N278" s="34" t="s">
        <v>242</v>
      </c>
      <c r="O278" s="33" t="n">
        <f>1150</f>
        <v>1150.0</v>
      </c>
      <c r="P278" s="34" t="s">
        <v>116</v>
      </c>
      <c r="Q278" s="33" t="n">
        <f>1195</f>
        <v>1195.0</v>
      </c>
      <c r="R278" s="34" t="s">
        <v>50</v>
      </c>
      <c r="S278" s="35" t="n">
        <f>1181.81</f>
        <v>1181.81</v>
      </c>
      <c r="T278" s="32" t="n">
        <f>98820</f>
        <v>98820.0</v>
      </c>
      <c r="U278" s="32" t="n">
        <f>19110</f>
        <v>19110.0</v>
      </c>
      <c r="V278" s="32" t="n">
        <f>116861808</f>
        <v>1.16861808E8</v>
      </c>
      <c r="W278" s="32" t="n">
        <f>22662063</f>
        <v>2.2662063E7</v>
      </c>
      <c r="X278" s="36" t="n">
        <f>21</f>
        <v>21.0</v>
      </c>
    </row>
    <row r="279">
      <c r="A279" s="27" t="s">
        <v>42</v>
      </c>
      <c r="B279" s="27" t="s">
        <v>880</v>
      </c>
      <c r="C279" s="27" t="s">
        <v>881</v>
      </c>
      <c r="D279" s="27" t="s">
        <v>882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1975</f>
        <v>1975.0</v>
      </c>
      <c r="L279" s="34" t="s">
        <v>48</v>
      </c>
      <c r="M279" s="33" t="n">
        <f>2272</f>
        <v>2272.0</v>
      </c>
      <c r="N279" s="34" t="s">
        <v>72</v>
      </c>
      <c r="O279" s="33" t="n">
        <f>1968</f>
        <v>1968.0</v>
      </c>
      <c r="P279" s="34" t="s">
        <v>73</v>
      </c>
      <c r="Q279" s="33" t="n">
        <f>2228</f>
        <v>2228.0</v>
      </c>
      <c r="R279" s="34" t="s">
        <v>50</v>
      </c>
      <c r="S279" s="35" t="n">
        <f>2148.14</f>
        <v>2148.14</v>
      </c>
      <c r="T279" s="32" t="n">
        <f>287776</f>
        <v>287776.0</v>
      </c>
      <c r="U279" s="32" t="n">
        <f>66591</f>
        <v>66591.0</v>
      </c>
      <c r="V279" s="32" t="n">
        <f>624901295</f>
        <v>6.24901295E8</v>
      </c>
      <c r="W279" s="32" t="n">
        <f>147814335</f>
        <v>1.47814335E8</v>
      </c>
      <c r="X279" s="36" t="n">
        <f>21</f>
        <v>21.0</v>
      </c>
    </row>
    <row r="280">
      <c r="A280" s="27" t="s">
        <v>42</v>
      </c>
      <c r="B280" s="27" t="s">
        <v>883</v>
      </c>
      <c r="C280" s="27" t="s">
        <v>884</v>
      </c>
      <c r="D280" s="27" t="s">
        <v>885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1860</f>
        <v>1860.0</v>
      </c>
      <c r="L280" s="34" t="s">
        <v>48</v>
      </c>
      <c r="M280" s="33" t="n">
        <f>2047</f>
        <v>2047.0</v>
      </c>
      <c r="N280" s="34" t="s">
        <v>207</v>
      </c>
      <c r="O280" s="33" t="n">
        <f>1849</f>
        <v>1849.0</v>
      </c>
      <c r="P280" s="34" t="s">
        <v>73</v>
      </c>
      <c r="Q280" s="33" t="n">
        <f>2026</f>
        <v>2026.0</v>
      </c>
      <c r="R280" s="34" t="s">
        <v>50</v>
      </c>
      <c r="S280" s="35" t="n">
        <f>1967.24</f>
        <v>1967.24</v>
      </c>
      <c r="T280" s="32" t="n">
        <f>4656327</f>
        <v>4656327.0</v>
      </c>
      <c r="U280" s="32" t="n">
        <f>4531430</f>
        <v>4531430.0</v>
      </c>
      <c r="V280" s="32" t="n">
        <f>9180780509</f>
        <v>9.180780509E9</v>
      </c>
      <c r="W280" s="32" t="n">
        <f>8933204301</f>
        <v>8.933204301E9</v>
      </c>
      <c r="X280" s="36" t="n">
        <f>21</f>
        <v>21.0</v>
      </c>
    </row>
    <row r="281">
      <c r="A281" s="27" t="s">
        <v>42</v>
      </c>
      <c r="B281" s="27" t="s">
        <v>886</v>
      </c>
      <c r="C281" s="27" t="s">
        <v>887</v>
      </c>
      <c r="D281" s="27" t="s">
        <v>888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6385</f>
        <v>6385.0</v>
      </c>
      <c r="L281" s="34" t="s">
        <v>48</v>
      </c>
      <c r="M281" s="33" t="n">
        <f>8042</f>
        <v>8042.0</v>
      </c>
      <c r="N281" s="34" t="s">
        <v>72</v>
      </c>
      <c r="O281" s="33" t="n">
        <f>6350</f>
        <v>6350.0</v>
      </c>
      <c r="P281" s="34" t="s">
        <v>73</v>
      </c>
      <c r="Q281" s="33" t="n">
        <f>7835</f>
        <v>7835.0</v>
      </c>
      <c r="R281" s="34" t="s">
        <v>50</v>
      </c>
      <c r="S281" s="35" t="n">
        <f>7201.1</f>
        <v>7201.1</v>
      </c>
      <c r="T281" s="32" t="n">
        <f>96011</f>
        <v>96011.0</v>
      </c>
      <c r="U281" s="32" t="str">
        <f>"－"</f>
        <v>－</v>
      </c>
      <c r="V281" s="32" t="n">
        <f>708350485</f>
        <v>7.08350485E8</v>
      </c>
      <c r="W281" s="32" t="str">
        <f>"－"</f>
        <v>－</v>
      </c>
      <c r="X281" s="36" t="n">
        <f>21</f>
        <v>21.0</v>
      </c>
    </row>
    <row r="282">
      <c r="A282" s="27" t="s">
        <v>42</v>
      </c>
      <c r="B282" s="27" t="s">
        <v>889</v>
      </c>
      <c r="C282" s="27" t="s">
        <v>890</v>
      </c>
      <c r="D282" s="27" t="s">
        <v>891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10.0</v>
      </c>
      <c r="K282" s="33" t="n">
        <f>2877.5</f>
        <v>2877.5</v>
      </c>
      <c r="L282" s="34" t="s">
        <v>72</v>
      </c>
      <c r="M282" s="33" t="n">
        <f>2954.5</f>
        <v>2954.5</v>
      </c>
      <c r="N282" s="34" t="s">
        <v>207</v>
      </c>
      <c r="O282" s="33" t="n">
        <f>2877.5</f>
        <v>2877.5</v>
      </c>
      <c r="P282" s="34" t="s">
        <v>72</v>
      </c>
      <c r="Q282" s="33" t="n">
        <f>2954.5</f>
        <v>2954.5</v>
      </c>
      <c r="R282" s="34" t="s">
        <v>207</v>
      </c>
      <c r="S282" s="35" t="n">
        <f>2916</f>
        <v>2916.0</v>
      </c>
      <c r="T282" s="32" t="n">
        <f>50</f>
        <v>50.0</v>
      </c>
      <c r="U282" s="32" t="str">
        <f>"－"</f>
        <v>－</v>
      </c>
      <c r="V282" s="32" t="n">
        <f>145665</f>
        <v>145665.0</v>
      </c>
      <c r="W282" s="32" t="str">
        <f>"－"</f>
        <v>－</v>
      </c>
      <c r="X282" s="36" t="n">
        <f>2</f>
        <v>2.0</v>
      </c>
    </row>
    <row r="283">
      <c r="A283" s="27" t="s">
        <v>42</v>
      </c>
      <c r="B283" s="27" t="s">
        <v>892</v>
      </c>
      <c r="C283" s="27" t="s">
        <v>893</v>
      </c>
      <c r="D283" s="27" t="s">
        <v>894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3725</f>
        <v>3725.0</v>
      </c>
      <c r="L283" s="34" t="s">
        <v>48</v>
      </c>
      <c r="M283" s="33" t="n">
        <f>3930</f>
        <v>3930.0</v>
      </c>
      <c r="N283" s="34" t="s">
        <v>49</v>
      </c>
      <c r="O283" s="33" t="n">
        <f>3710</f>
        <v>3710.0</v>
      </c>
      <c r="P283" s="34" t="s">
        <v>48</v>
      </c>
      <c r="Q283" s="33" t="n">
        <f>3834</f>
        <v>3834.0</v>
      </c>
      <c r="R283" s="34" t="s">
        <v>50</v>
      </c>
      <c r="S283" s="35" t="n">
        <f>3839.33</f>
        <v>3839.33</v>
      </c>
      <c r="T283" s="32" t="n">
        <f>4326521</f>
        <v>4326521.0</v>
      </c>
      <c r="U283" s="32" t="n">
        <f>4258061</f>
        <v>4258061.0</v>
      </c>
      <c r="V283" s="32" t="n">
        <f>16670347060</f>
        <v>1.667034706E10</v>
      </c>
      <c r="W283" s="32" t="n">
        <f>16409323797</f>
        <v>1.6409323797E10</v>
      </c>
      <c r="X283" s="36" t="n">
        <f>21</f>
        <v>21.0</v>
      </c>
    </row>
    <row r="284">
      <c r="A284" s="27" t="s">
        <v>42</v>
      </c>
      <c r="B284" s="27" t="s">
        <v>895</v>
      </c>
      <c r="C284" s="27" t="s">
        <v>896</v>
      </c>
      <c r="D284" s="27" t="s">
        <v>897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53600</f>
        <v>53600.0</v>
      </c>
      <c r="L284" s="34" t="s">
        <v>48</v>
      </c>
      <c r="M284" s="33" t="n">
        <f>61560</f>
        <v>61560.0</v>
      </c>
      <c r="N284" s="34" t="s">
        <v>72</v>
      </c>
      <c r="O284" s="33" t="n">
        <f>53080</f>
        <v>53080.0</v>
      </c>
      <c r="P284" s="34" t="s">
        <v>73</v>
      </c>
      <c r="Q284" s="33" t="n">
        <f>59850</f>
        <v>59850.0</v>
      </c>
      <c r="R284" s="34" t="s">
        <v>50</v>
      </c>
      <c r="S284" s="35" t="n">
        <f>57945.24</f>
        <v>57945.24</v>
      </c>
      <c r="T284" s="32" t="n">
        <f>81615</f>
        <v>81615.0</v>
      </c>
      <c r="U284" s="32" t="n">
        <f>49357</f>
        <v>49357.0</v>
      </c>
      <c r="V284" s="32" t="n">
        <f>4685506350</f>
        <v>4.68550635E9</v>
      </c>
      <c r="W284" s="32" t="n">
        <f>2788489270</f>
        <v>2.78848927E9</v>
      </c>
      <c r="X284" s="36" t="n">
        <f>21</f>
        <v>21.0</v>
      </c>
    </row>
    <row r="285">
      <c r="A285" s="27" t="s">
        <v>42</v>
      </c>
      <c r="B285" s="27" t="s">
        <v>898</v>
      </c>
      <c r="C285" s="27" t="s">
        <v>899</v>
      </c>
      <c r="D285" s="27" t="s">
        <v>900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33690</f>
        <v>33690.0</v>
      </c>
      <c r="L285" s="34" t="s">
        <v>48</v>
      </c>
      <c r="M285" s="33" t="n">
        <f>35080</f>
        <v>35080.0</v>
      </c>
      <c r="N285" s="34" t="s">
        <v>207</v>
      </c>
      <c r="O285" s="33" t="n">
        <f>33390</f>
        <v>33390.0</v>
      </c>
      <c r="P285" s="34" t="s">
        <v>73</v>
      </c>
      <c r="Q285" s="33" t="n">
        <f>34650</f>
        <v>34650.0</v>
      </c>
      <c r="R285" s="34" t="s">
        <v>50</v>
      </c>
      <c r="S285" s="35" t="n">
        <f>34404</f>
        <v>34404.0</v>
      </c>
      <c r="T285" s="32" t="n">
        <f>16466</f>
        <v>16466.0</v>
      </c>
      <c r="U285" s="32" t="str">
        <f>"－"</f>
        <v>－</v>
      </c>
      <c r="V285" s="32" t="n">
        <f>571554860</f>
        <v>5.7155486E8</v>
      </c>
      <c r="W285" s="32" t="str">
        <f>"－"</f>
        <v>－</v>
      </c>
      <c r="X285" s="36" t="n">
        <f>15</f>
        <v>15.0</v>
      </c>
    </row>
    <row r="286">
      <c r="A286" s="27" t="s">
        <v>42</v>
      </c>
      <c r="B286" s="27" t="s">
        <v>901</v>
      </c>
      <c r="C286" s="27" t="s">
        <v>902</v>
      </c>
      <c r="D286" s="27" t="s">
        <v>903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1159</f>
        <v>1159.0</v>
      </c>
      <c r="L286" s="34" t="s">
        <v>48</v>
      </c>
      <c r="M286" s="33" t="n">
        <f>1219</f>
        <v>1219.0</v>
      </c>
      <c r="N286" s="34" t="s">
        <v>116</v>
      </c>
      <c r="O286" s="33" t="n">
        <f>1150</f>
        <v>1150.0</v>
      </c>
      <c r="P286" s="34" t="s">
        <v>48</v>
      </c>
      <c r="Q286" s="33" t="n">
        <f>1157</f>
        <v>1157.0</v>
      </c>
      <c r="R286" s="34" t="s">
        <v>50</v>
      </c>
      <c r="S286" s="35" t="n">
        <f>1172.05</f>
        <v>1172.05</v>
      </c>
      <c r="T286" s="32" t="n">
        <f>3573282</f>
        <v>3573282.0</v>
      </c>
      <c r="U286" s="32" t="n">
        <f>3195610</f>
        <v>3195610.0</v>
      </c>
      <c r="V286" s="32" t="n">
        <f>4170211253</f>
        <v>4.170211253E9</v>
      </c>
      <c r="W286" s="32" t="n">
        <f>3731071607</f>
        <v>3.731071607E9</v>
      </c>
      <c r="X286" s="36" t="n">
        <f>21</f>
        <v>21.0</v>
      </c>
    </row>
    <row r="287">
      <c r="A287" s="27" t="s">
        <v>42</v>
      </c>
      <c r="B287" s="27" t="s">
        <v>904</v>
      </c>
      <c r="C287" s="27" t="s">
        <v>905</v>
      </c>
      <c r="D287" s="27" t="s">
        <v>906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1133</f>
        <v>1133.0</v>
      </c>
      <c r="L287" s="34" t="s">
        <v>48</v>
      </c>
      <c r="M287" s="33" t="n">
        <f>1174</f>
        <v>1174.0</v>
      </c>
      <c r="N287" s="34" t="s">
        <v>88</v>
      </c>
      <c r="O287" s="33" t="n">
        <f>1130</f>
        <v>1130.0</v>
      </c>
      <c r="P287" s="34" t="s">
        <v>73</v>
      </c>
      <c r="Q287" s="33" t="n">
        <f>1139</f>
        <v>1139.0</v>
      </c>
      <c r="R287" s="34" t="s">
        <v>50</v>
      </c>
      <c r="S287" s="35" t="n">
        <f>1153.14</f>
        <v>1153.14</v>
      </c>
      <c r="T287" s="32" t="n">
        <f>5673381</f>
        <v>5673381.0</v>
      </c>
      <c r="U287" s="32" t="n">
        <f>5396546</f>
        <v>5396546.0</v>
      </c>
      <c r="V287" s="32" t="n">
        <f>6556478741</f>
        <v>6.556478741E9</v>
      </c>
      <c r="W287" s="32" t="n">
        <f>6238116611</f>
        <v>6.238116611E9</v>
      </c>
      <c r="X287" s="36" t="n">
        <f>21</f>
        <v>21.0</v>
      </c>
    </row>
    <row r="288">
      <c r="A288" s="27" t="s">
        <v>42</v>
      </c>
      <c r="B288" s="27" t="s">
        <v>907</v>
      </c>
      <c r="C288" s="27" t="s">
        <v>908</v>
      </c>
      <c r="D288" s="27" t="s">
        <v>909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2262</f>
        <v>2262.0</v>
      </c>
      <c r="L288" s="34" t="s">
        <v>48</v>
      </c>
      <c r="M288" s="33" t="n">
        <f>2263</f>
        <v>2263.0</v>
      </c>
      <c r="N288" s="34" t="s">
        <v>200</v>
      </c>
      <c r="O288" s="33" t="n">
        <f>2104</f>
        <v>2104.0</v>
      </c>
      <c r="P288" s="34" t="s">
        <v>72</v>
      </c>
      <c r="Q288" s="33" t="n">
        <f>2132</f>
        <v>2132.0</v>
      </c>
      <c r="R288" s="34" t="s">
        <v>50</v>
      </c>
      <c r="S288" s="35" t="n">
        <f>2181.57</f>
        <v>2181.57</v>
      </c>
      <c r="T288" s="32" t="n">
        <f>3631849</f>
        <v>3631849.0</v>
      </c>
      <c r="U288" s="32" t="n">
        <f>3374160</f>
        <v>3374160.0</v>
      </c>
      <c r="V288" s="32" t="n">
        <f>7930299378</f>
        <v>7.930299378E9</v>
      </c>
      <c r="W288" s="32" t="n">
        <f>7364355276</f>
        <v>7.364355276E9</v>
      </c>
      <c r="X288" s="36" t="n">
        <f>21</f>
        <v>21.0</v>
      </c>
    </row>
    <row r="289">
      <c r="A289" s="27" t="s">
        <v>42</v>
      </c>
      <c r="B289" s="27" t="s">
        <v>910</v>
      </c>
      <c r="C289" s="27" t="s">
        <v>911</v>
      </c>
      <c r="D289" s="27" t="s">
        <v>912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16675</f>
        <v>16675.0</v>
      </c>
      <c r="L289" s="34" t="s">
        <v>48</v>
      </c>
      <c r="M289" s="33" t="n">
        <f>17840</f>
        <v>17840.0</v>
      </c>
      <c r="N289" s="34" t="s">
        <v>50</v>
      </c>
      <c r="O289" s="33" t="n">
        <f>16600</f>
        <v>16600.0</v>
      </c>
      <c r="P289" s="34" t="s">
        <v>68</v>
      </c>
      <c r="Q289" s="33" t="n">
        <f>17840</f>
        <v>17840.0</v>
      </c>
      <c r="R289" s="34" t="s">
        <v>50</v>
      </c>
      <c r="S289" s="35" t="n">
        <f>17393.1</f>
        <v>17393.1</v>
      </c>
      <c r="T289" s="32" t="n">
        <f>821</f>
        <v>821.0</v>
      </c>
      <c r="U289" s="32" t="str">
        <f>"－"</f>
        <v>－</v>
      </c>
      <c r="V289" s="32" t="n">
        <f>14113190</f>
        <v>1.411319E7</v>
      </c>
      <c r="W289" s="32" t="str">
        <f>"－"</f>
        <v>－</v>
      </c>
      <c r="X289" s="36" t="n">
        <f>21</f>
        <v>21.0</v>
      </c>
    </row>
    <row r="290">
      <c r="A290" s="27" t="s">
        <v>42</v>
      </c>
      <c r="B290" s="27" t="s">
        <v>913</v>
      </c>
      <c r="C290" s="27" t="s">
        <v>914</v>
      </c>
      <c r="D290" s="27" t="s">
        <v>915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2030</f>
        <v>2030.0</v>
      </c>
      <c r="L290" s="34" t="s">
        <v>48</v>
      </c>
      <c r="M290" s="33" t="n">
        <f>2087</f>
        <v>2087.0</v>
      </c>
      <c r="N290" s="34" t="s">
        <v>88</v>
      </c>
      <c r="O290" s="33" t="n">
        <f>2015</f>
        <v>2015.0</v>
      </c>
      <c r="P290" s="34" t="s">
        <v>50</v>
      </c>
      <c r="Q290" s="33" t="n">
        <f>2015</f>
        <v>2015.0</v>
      </c>
      <c r="R290" s="34" t="s">
        <v>50</v>
      </c>
      <c r="S290" s="35" t="n">
        <f>2052.19</f>
        <v>2052.19</v>
      </c>
      <c r="T290" s="32" t="n">
        <f>106087</f>
        <v>106087.0</v>
      </c>
      <c r="U290" s="32" t="n">
        <f>49000</f>
        <v>49000.0</v>
      </c>
      <c r="V290" s="32" t="n">
        <f>217365911</f>
        <v>2.17365911E8</v>
      </c>
      <c r="W290" s="32" t="n">
        <f>99615040</f>
        <v>9.961504E7</v>
      </c>
      <c r="X290" s="36" t="n">
        <f>21</f>
        <v>21.0</v>
      </c>
    </row>
    <row r="291">
      <c r="A291" s="27" t="s">
        <v>42</v>
      </c>
      <c r="B291" s="27" t="s">
        <v>916</v>
      </c>
      <c r="C291" s="27" t="s">
        <v>917</v>
      </c>
      <c r="D291" s="27" t="s">
        <v>918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2371.5</f>
        <v>2371.5</v>
      </c>
      <c r="L291" s="34" t="s">
        <v>48</v>
      </c>
      <c r="M291" s="33" t="n">
        <f>2569.5</f>
        <v>2569.5</v>
      </c>
      <c r="N291" s="34" t="s">
        <v>644</v>
      </c>
      <c r="O291" s="33" t="n">
        <f>2285</f>
        <v>2285.0</v>
      </c>
      <c r="P291" s="34" t="s">
        <v>68</v>
      </c>
      <c r="Q291" s="33" t="n">
        <f>2567</f>
        <v>2567.0</v>
      </c>
      <c r="R291" s="34" t="s">
        <v>50</v>
      </c>
      <c r="S291" s="35" t="n">
        <f>2450.1</f>
        <v>2450.1</v>
      </c>
      <c r="T291" s="32" t="n">
        <f>104580</f>
        <v>104580.0</v>
      </c>
      <c r="U291" s="32" t="str">
        <f>"－"</f>
        <v>－</v>
      </c>
      <c r="V291" s="32" t="n">
        <f>253226205</f>
        <v>2.53226205E8</v>
      </c>
      <c r="W291" s="32" t="str">
        <f>"－"</f>
        <v>－</v>
      </c>
      <c r="X291" s="36" t="n">
        <f>21</f>
        <v>21.0</v>
      </c>
    </row>
    <row r="292">
      <c r="A292" s="27" t="s">
        <v>42</v>
      </c>
      <c r="B292" s="27" t="s">
        <v>919</v>
      </c>
      <c r="C292" s="27" t="s">
        <v>920</v>
      </c>
      <c r="D292" s="27" t="s">
        <v>921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762.3</f>
        <v>762.3</v>
      </c>
      <c r="L292" s="34" t="s">
        <v>48</v>
      </c>
      <c r="M292" s="33" t="n">
        <f>769.6</f>
        <v>769.6</v>
      </c>
      <c r="N292" s="34" t="s">
        <v>49</v>
      </c>
      <c r="O292" s="33" t="n">
        <f>760.2</f>
        <v>760.2</v>
      </c>
      <c r="P292" s="34" t="s">
        <v>73</v>
      </c>
      <c r="Q292" s="33" t="n">
        <f>761.6</f>
        <v>761.6</v>
      </c>
      <c r="R292" s="34" t="s">
        <v>50</v>
      </c>
      <c r="S292" s="35" t="n">
        <f>765.24</f>
        <v>765.24</v>
      </c>
      <c r="T292" s="32" t="n">
        <f>383990</f>
        <v>383990.0</v>
      </c>
      <c r="U292" s="32" t="n">
        <f>270450</f>
        <v>270450.0</v>
      </c>
      <c r="V292" s="32" t="n">
        <f>294380740</f>
        <v>2.9438074E8</v>
      </c>
      <c r="W292" s="32" t="n">
        <f>207679082</f>
        <v>2.07679082E8</v>
      </c>
      <c r="X292" s="36" t="n">
        <f>21</f>
        <v>21.0</v>
      </c>
    </row>
    <row r="293">
      <c r="A293" s="27" t="s">
        <v>42</v>
      </c>
      <c r="B293" s="27" t="s">
        <v>922</v>
      </c>
      <c r="C293" s="27" t="s">
        <v>923</v>
      </c>
      <c r="D293" s="27" t="s">
        <v>924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1968</f>
        <v>1968.0</v>
      </c>
      <c r="L293" s="34" t="s">
        <v>48</v>
      </c>
      <c r="M293" s="33" t="n">
        <f>2010.5</f>
        <v>2010.5</v>
      </c>
      <c r="N293" s="34" t="s">
        <v>200</v>
      </c>
      <c r="O293" s="33" t="n">
        <f>1928.5</f>
        <v>1928.5</v>
      </c>
      <c r="P293" s="34" t="s">
        <v>50</v>
      </c>
      <c r="Q293" s="33" t="n">
        <f>1928.5</f>
        <v>1928.5</v>
      </c>
      <c r="R293" s="34" t="s">
        <v>50</v>
      </c>
      <c r="S293" s="35" t="n">
        <f>1966.45</f>
        <v>1966.45</v>
      </c>
      <c r="T293" s="32" t="n">
        <f>1024240</f>
        <v>1024240.0</v>
      </c>
      <c r="U293" s="32" t="n">
        <f>599080</f>
        <v>599080.0</v>
      </c>
      <c r="V293" s="32" t="n">
        <f>2011950603</f>
        <v>2.011950603E9</v>
      </c>
      <c r="W293" s="32" t="n">
        <f>1176344528</f>
        <v>1.176344528E9</v>
      </c>
      <c r="X293" s="36" t="n">
        <f>21</f>
        <v>21.0</v>
      </c>
    </row>
    <row r="294">
      <c r="A294" s="27" t="s">
        <v>42</v>
      </c>
      <c r="B294" s="27" t="s">
        <v>925</v>
      </c>
      <c r="C294" s="27" t="s">
        <v>926</v>
      </c>
      <c r="D294" s="27" t="s">
        <v>927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1938</f>
        <v>1938.0</v>
      </c>
      <c r="L294" s="34" t="s">
        <v>48</v>
      </c>
      <c r="M294" s="33" t="n">
        <f>1990</f>
        <v>1990.0</v>
      </c>
      <c r="N294" s="34" t="s">
        <v>88</v>
      </c>
      <c r="O294" s="33" t="n">
        <f>1923.5</f>
        <v>1923.5</v>
      </c>
      <c r="P294" s="34" t="s">
        <v>50</v>
      </c>
      <c r="Q294" s="33" t="n">
        <f>1931.5</f>
        <v>1931.5</v>
      </c>
      <c r="R294" s="34" t="s">
        <v>50</v>
      </c>
      <c r="S294" s="35" t="n">
        <f>1960.29</f>
        <v>1960.29</v>
      </c>
      <c r="T294" s="32" t="n">
        <f>3203670</f>
        <v>3203670.0</v>
      </c>
      <c r="U294" s="32" t="n">
        <f>2128580</f>
        <v>2128580.0</v>
      </c>
      <c r="V294" s="32" t="n">
        <f>6257452475</f>
        <v>6.257452475E9</v>
      </c>
      <c r="W294" s="32" t="n">
        <f>4155559765</f>
        <v>4.155559765E9</v>
      </c>
      <c r="X294" s="36" t="n">
        <f>21</f>
        <v>21.0</v>
      </c>
    </row>
    <row r="295">
      <c r="A295" s="27" t="s">
        <v>42</v>
      </c>
      <c r="B295" s="27" t="s">
        <v>928</v>
      </c>
      <c r="C295" s="27" t="s">
        <v>929</v>
      </c>
      <c r="D295" s="27" t="s">
        <v>930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3692</f>
        <v>3692.0</v>
      </c>
      <c r="L295" s="34" t="s">
        <v>48</v>
      </c>
      <c r="M295" s="33" t="n">
        <f>3864</f>
        <v>3864.0</v>
      </c>
      <c r="N295" s="34" t="s">
        <v>49</v>
      </c>
      <c r="O295" s="33" t="n">
        <f>3677</f>
        <v>3677.0</v>
      </c>
      <c r="P295" s="34" t="s">
        <v>48</v>
      </c>
      <c r="Q295" s="33" t="n">
        <f>3757</f>
        <v>3757.0</v>
      </c>
      <c r="R295" s="34" t="s">
        <v>50</v>
      </c>
      <c r="S295" s="35" t="n">
        <f>3775.29</f>
        <v>3775.29</v>
      </c>
      <c r="T295" s="32" t="n">
        <f>2118310</f>
        <v>2118310.0</v>
      </c>
      <c r="U295" s="32" t="n">
        <f>1951470</f>
        <v>1951470.0</v>
      </c>
      <c r="V295" s="32" t="n">
        <f>7999037235</f>
        <v>7.999037235E9</v>
      </c>
      <c r="W295" s="32" t="n">
        <f>7370446625</f>
        <v>7.370446625E9</v>
      </c>
      <c r="X295" s="36" t="n">
        <f>21</f>
        <v>21.0</v>
      </c>
    </row>
    <row r="296">
      <c r="A296" s="27" t="s">
        <v>42</v>
      </c>
      <c r="B296" s="27" t="s">
        <v>931</v>
      </c>
      <c r="C296" s="27" t="s">
        <v>932</v>
      </c>
      <c r="D296" s="27" t="s">
        <v>933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29880</f>
        <v>29880.0</v>
      </c>
      <c r="L296" s="34" t="s">
        <v>48</v>
      </c>
      <c r="M296" s="33" t="n">
        <f>33100</f>
        <v>33100.0</v>
      </c>
      <c r="N296" s="34" t="s">
        <v>50</v>
      </c>
      <c r="O296" s="33" t="n">
        <f>29730</f>
        <v>29730.0</v>
      </c>
      <c r="P296" s="34" t="s">
        <v>73</v>
      </c>
      <c r="Q296" s="33" t="n">
        <f>32900</f>
        <v>32900.0</v>
      </c>
      <c r="R296" s="34" t="s">
        <v>50</v>
      </c>
      <c r="S296" s="35" t="n">
        <f>31631.9</f>
        <v>31631.9</v>
      </c>
      <c r="T296" s="32" t="n">
        <f>500153</f>
        <v>500153.0</v>
      </c>
      <c r="U296" s="32" t="n">
        <f>42966</f>
        <v>42966.0</v>
      </c>
      <c r="V296" s="32" t="n">
        <f>15854186317</f>
        <v>1.5854186317E10</v>
      </c>
      <c r="W296" s="32" t="n">
        <f>1379982057</f>
        <v>1.379982057E9</v>
      </c>
      <c r="X296" s="36" t="n">
        <f>21</f>
        <v>21.0</v>
      </c>
    </row>
    <row r="297">
      <c r="A297" s="27" t="s">
        <v>42</v>
      </c>
      <c r="B297" s="27" t="s">
        <v>934</v>
      </c>
      <c r="C297" s="27" t="s">
        <v>935</v>
      </c>
      <c r="D297" s="27" t="s">
        <v>936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26000</f>
        <v>26000.0</v>
      </c>
      <c r="L297" s="34" t="s">
        <v>48</v>
      </c>
      <c r="M297" s="33" t="n">
        <f>28300</f>
        <v>28300.0</v>
      </c>
      <c r="N297" s="34" t="s">
        <v>207</v>
      </c>
      <c r="O297" s="33" t="n">
        <f>25585</f>
        <v>25585.0</v>
      </c>
      <c r="P297" s="34" t="s">
        <v>73</v>
      </c>
      <c r="Q297" s="33" t="n">
        <f>28100</f>
        <v>28100.0</v>
      </c>
      <c r="R297" s="34" t="s">
        <v>50</v>
      </c>
      <c r="S297" s="35" t="n">
        <f>27315.71</f>
        <v>27315.71</v>
      </c>
      <c r="T297" s="32" t="n">
        <f>538056</f>
        <v>538056.0</v>
      </c>
      <c r="U297" s="32" t="n">
        <f>30060</f>
        <v>30060.0</v>
      </c>
      <c r="V297" s="32" t="n">
        <f>14752764318</f>
        <v>1.4752764318E10</v>
      </c>
      <c r="W297" s="32" t="n">
        <f>824631858</f>
        <v>8.24631858E8</v>
      </c>
      <c r="X297" s="36" t="n">
        <f>21</f>
        <v>21.0</v>
      </c>
    </row>
    <row r="298">
      <c r="A298" s="27" t="s">
        <v>42</v>
      </c>
      <c r="B298" s="27" t="s">
        <v>937</v>
      </c>
      <c r="C298" s="27" t="s">
        <v>938</v>
      </c>
      <c r="D298" s="27" t="s">
        <v>939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48650</f>
        <v>48650.0</v>
      </c>
      <c r="L298" s="34" t="s">
        <v>48</v>
      </c>
      <c r="M298" s="33" t="n">
        <f>52000</f>
        <v>52000.0</v>
      </c>
      <c r="N298" s="34" t="s">
        <v>116</v>
      </c>
      <c r="O298" s="33" t="n">
        <f>48400</f>
        <v>48400.0</v>
      </c>
      <c r="P298" s="34" t="s">
        <v>60</v>
      </c>
      <c r="Q298" s="33" t="n">
        <f>49140</f>
        <v>49140.0</v>
      </c>
      <c r="R298" s="34" t="s">
        <v>144</v>
      </c>
      <c r="S298" s="35" t="n">
        <f>49791.25</f>
        <v>49791.25</v>
      </c>
      <c r="T298" s="32" t="n">
        <f>27</f>
        <v>27.0</v>
      </c>
      <c r="U298" s="32" t="str">
        <f>"－"</f>
        <v>－</v>
      </c>
      <c r="V298" s="32" t="n">
        <f>1339970</f>
        <v>1339970.0</v>
      </c>
      <c r="W298" s="32" t="str">
        <f>"－"</f>
        <v>－</v>
      </c>
      <c r="X298" s="36" t="n">
        <f>8</f>
        <v>8.0</v>
      </c>
    </row>
    <row r="299">
      <c r="A299" s="27" t="s">
        <v>42</v>
      </c>
      <c r="B299" s="27" t="s">
        <v>940</v>
      </c>
      <c r="C299" s="27" t="s">
        <v>941</v>
      </c>
      <c r="D299" s="27" t="s">
        <v>942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2062</f>
        <v>2062.0</v>
      </c>
      <c r="L299" s="34" t="s">
        <v>48</v>
      </c>
      <c r="M299" s="33" t="n">
        <f>2074</f>
        <v>2074.0</v>
      </c>
      <c r="N299" s="34" t="s">
        <v>48</v>
      </c>
      <c r="O299" s="33" t="n">
        <f>2035</f>
        <v>2035.0</v>
      </c>
      <c r="P299" s="34" t="s">
        <v>242</v>
      </c>
      <c r="Q299" s="33" t="n">
        <f>2035</f>
        <v>2035.0</v>
      </c>
      <c r="R299" s="34" t="s">
        <v>50</v>
      </c>
      <c r="S299" s="35" t="n">
        <f>2053.76</f>
        <v>2053.76</v>
      </c>
      <c r="T299" s="32" t="n">
        <f>750369</f>
        <v>750369.0</v>
      </c>
      <c r="U299" s="32" t="n">
        <f>362046</f>
        <v>362046.0</v>
      </c>
      <c r="V299" s="32" t="n">
        <f>1537635602</f>
        <v>1.537635602E9</v>
      </c>
      <c r="W299" s="32" t="n">
        <f>741270217</f>
        <v>7.41270217E8</v>
      </c>
      <c r="X299" s="36" t="n">
        <f>21</f>
        <v>21.0</v>
      </c>
    </row>
    <row r="300">
      <c r="A300" s="27" t="s">
        <v>42</v>
      </c>
      <c r="B300" s="27" t="s">
        <v>943</v>
      </c>
      <c r="C300" s="27" t="s">
        <v>944</v>
      </c>
      <c r="D300" s="27" t="s">
        <v>945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3256</f>
        <v>3256.0</v>
      </c>
      <c r="L300" s="34" t="s">
        <v>48</v>
      </c>
      <c r="M300" s="33" t="n">
        <f>3488</f>
        <v>3488.0</v>
      </c>
      <c r="N300" s="34" t="s">
        <v>80</v>
      </c>
      <c r="O300" s="33" t="n">
        <f>3238</f>
        <v>3238.0</v>
      </c>
      <c r="P300" s="34" t="s">
        <v>73</v>
      </c>
      <c r="Q300" s="33" t="n">
        <f>3410</f>
        <v>3410.0</v>
      </c>
      <c r="R300" s="34" t="s">
        <v>50</v>
      </c>
      <c r="S300" s="35" t="n">
        <f>3387.29</f>
        <v>3387.29</v>
      </c>
      <c r="T300" s="32" t="n">
        <f>3556435</f>
        <v>3556435.0</v>
      </c>
      <c r="U300" s="32" t="n">
        <f>3350472</f>
        <v>3350472.0</v>
      </c>
      <c r="V300" s="32" t="n">
        <f>12053632238</f>
        <v>1.2053632238E10</v>
      </c>
      <c r="W300" s="32" t="n">
        <f>11362931114</f>
        <v>1.1362931114E10</v>
      </c>
      <c r="X300" s="36" t="n">
        <f>21</f>
        <v>21.0</v>
      </c>
    </row>
    <row r="301">
      <c r="A301" s="27" t="s">
        <v>42</v>
      </c>
      <c r="B301" s="27" t="s">
        <v>946</v>
      </c>
      <c r="C301" s="27" t="s">
        <v>947</v>
      </c>
      <c r="D301" s="27" t="s">
        <v>948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350.4</f>
        <v>350.4</v>
      </c>
      <c r="L301" s="34" t="s">
        <v>48</v>
      </c>
      <c r="M301" s="33" t="n">
        <f>406.3</f>
        <v>406.3</v>
      </c>
      <c r="N301" s="34" t="s">
        <v>50</v>
      </c>
      <c r="O301" s="33" t="n">
        <f>346.2</f>
        <v>346.2</v>
      </c>
      <c r="P301" s="34" t="s">
        <v>73</v>
      </c>
      <c r="Q301" s="33" t="n">
        <f>380</f>
        <v>380.0</v>
      </c>
      <c r="R301" s="34" t="s">
        <v>50</v>
      </c>
      <c r="S301" s="35" t="n">
        <f>368.37</f>
        <v>368.37</v>
      </c>
      <c r="T301" s="32" t="n">
        <f>66187840</f>
        <v>6.618784E7</v>
      </c>
      <c r="U301" s="32" t="n">
        <f>49659260</f>
        <v>4.965926E7</v>
      </c>
      <c r="V301" s="32" t="n">
        <f>24607786889</f>
        <v>2.4607786889E10</v>
      </c>
      <c r="W301" s="32" t="n">
        <f>18515438496</f>
        <v>1.8515438496E10</v>
      </c>
      <c r="X301" s="36" t="n">
        <f>21</f>
        <v>21.0</v>
      </c>
    </row>
    <row r="302">
      <c r="A302" s="27" t="s">
        <v>42</v>
      </c>
      <c r="B302" s="27" t="s">
        <v>949</v>
      </c>
      <c r="C302" s="27" t="s">
        <v>950</v>
      </c>
      <c r="D302" s="27" t="s">
        <v>951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3556</f>
        <v>3556.0</v>
      </c>
      <c r="L302" s="34" t="s">
        <v>48</v>
      </c>
      <c r="M302" s="33" t="n">
        <f>3662</f>
        <v>3662.0</v>
      </c>
      <c r="N302" s="34" t="s">
        <v>116</v>
      </c>
      <c r="O302" s="33" t="n">
        <f>3318</f>
        <v>3318.0</v>
      </c>
      <c r="P302" s="34" t="s">
        <v>72</v>
      </c>
      <c r="Q302" s="33" t="n">
        <f>3365</f>
        <v>3365.0</v>
      </c>
      <c r="R302" s="34" t="s">
        <v>50</v>
      </c>
      <c r="S302" s="35" t="n">
        <f>3514.52</f>
        <v>3514.52</v>
      </c>
      <c r="T302" s="32" t="n">
        <f>1242877</f>
        <v>1242877.0</v>
      </c>
      <c r="U302" s="32" t="n">
        <f>546495</f>
        <v>546495.0</v>
      </c>
      <c r="V302" s="32" t="n">
        <f>4402362092</f>
        <v>4.402362092E9</v>
      </c>
      <c r="W302" s="32" t="n">
        <f>1953044478</f>
        <v>1.953044478E9</v>
      </c>
      <c r="X302" s="36" t="n">
        <f>21</f>
        <v>21.0</v>
      </c>
    </row>
    <row r="303">
      <c r="A303" s="27" t="s">
        <v>42</v>
      </c>
      <c r="B303" s="27" t="s">
        <v>952</v>
      </c>
      <c r="C303" s="27" t="s">
        <v>953</v>
      </c>
      <c r="D303" s="27" t="s">
        <v>954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922</f>
        <v>922.0</v>
      </c>
      <c r="L303" s="34" t="s">
        <v>48</v>
      </c>
      <c r="M303" s="33" t="n">
        <f>972</f>
        <v>972.0</v>
      </c>
      <c r="N303" s="34" t="s">
        <v>184</v>
      </c>
      <c r="O303" s="33" t="n">
        <f>916</f>
        <v>916.0</v>
      </c>
      <c r="P303" s="34" t="s">
        <v>50</v>
      </c>
      <c r="Q303" s="33" t="n">
        <f>921</f>
        <v>921.0</v>
      </c>
      <c r="R303" s="34" t="s">
        <v>50</v>
      </c>
      <c r="S303" s="35" t="n">
        <f>939.48</f>
        <v>939.48</v>
      </c>
      <c r="T303" s="32" t="n">
        <f>404590</f>
        <v>404590.0</v>
      </c>
      <c r="U303" s="32" t="n">
        <f>110841</f>
        <v>110841.0</v>
      </c>
      <c r="V303" s="32" t="n">
        <f>376412075</f>
        <v>3.76412075E8</v>
      </c>
      <c r="W303" s="32" t="n">
        <f>102935471</f>
        <v>1.02935471E8</v>
      </c>
      <c r="X303" s="36" t="n">
        <f>21</f>
        <v>21.0</v>
      </c>
    </row>
    <row r="304">
      <c r="A304" s="27" t="s">
        <v>42</v>
      </c>
      <c r="B304" s="27" t="s">
        <v>955</v>
      </c>
      <c r="C304" s="27" t="s">
        <v>956</v>
      </c>
      <c r="D304" s="27" t="s">
        <v>957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1064</f>
        <v>1064.0</v>
      </c>
      <c r="L304" s="34" t="s">
        <v>48</v>
      </c>
      <c r="M304" s="33" t="n">
        <f>1092</f>
        <v>1092.0</v>
      </c>
      <c r="N304" s="34" t="s">
        <v>88</v>
      </c>
      <c r="O304" s="33" t="n">
        <f>1055</f>
        <v>1055.0</v>
      </c>
      <c r="P304" s="34" t="s">
        <v>50</v>
      </c>
      <c r="Q304" s="33" t="n">
        <f>1059</f>
        <v>1059.0</v>
      </c>
      <c r="R304" s="34" t="s">
        <v>50</v>
      </c>
      <c r="S304" s="35" t="n">
        <f>1075.57</f>
        <v>1075.57</v>
      </c>
      <c r="T304" s="32" t="n">
        <f>70567</f>
        <v>70567.0</v>
      </c>
      <c r="U304" s="32" t="n">
        <f>646</f>
        <v>646.0</v>
      </c>
      <c r="V304" s="32" t="n">
        <f>75293644</f>
        <v>7.5293644E7</v>
      </c>
      <c r="W304" s="32" t="n">
        <f>698328</f>
        <v>698328.0</v>
      </c>
      <c r="X304" s="36" t="n">
        <f>21</f>
        <v>21.0</v>
      </c>
    </row>
    <row r="305">
      <c r="A305" s="27" t="s">
        <v>42</v>
      </c>
      <c r="B305" s="27" t="s">
        <v>958</v>
      </c>
      <c r="C305" s="27" t="s">
        <v>959</v>
      </c>
      <c r="D305" s="27" t="s">
        <v>960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470</f>
        <v>470.0</v>
      </c>
      <c r="L305" s="34" t="s">
        <v>48</v>
      </c>
      <c r="M305" s="33" t="n">
        <f>520</f>
        <v>520.0</v>
      </c>
      <c r="N305" s="34" t="s">
        <v>88</v>
      </c>
      <c r="O305" s="33" t="n">
        <f>470</f>
        <v>470.0</v>
      </c>
      <c r="P305" s="34" t="s">
        <v>48</v>
      </c>
      <c r="Q305" s="33" t="n">
        <f>492.4</f>
        <v>492.4</v>
      </c>
      <c r="R305" s="34" t="s">
        <v>50</v>
      </c>
      <c r="S305" s="35" t="n">
        <f>497.69</f>
        <v>497.69</v>
      </c>
      <c r="T305" s="32" t="n">
        <f>8150</f>
        <v>8150.0</v>
      </c>
      <c r="U305" s="32" t="str">
        <f>"－"</f>
        <v>－</v>
      </c>
      <c r="V305" s="32" t="n">
        <f>4047456</f>
        <v>4047456.0</v>
      </c>
      <c r="W305" s="32" t="str">
        <f>"－"</f>
        <v>－</v>
      </c>
      <c r="X305" s="36" t="n">
        <f>20</f>
        <v>20.0</v>
      </c>
    </row>
    <row r="306">
      <c r="A306" s="27" t="s">
        <v>42</v>
      </c>
      <c r="B306" s="27" t="s">
        <v>961</v>
      </c>
      <c r="C306" s="27" t="s">
        <v>962</v>
      </c>
      <c r="D306" s="27" t="s">
        <v>963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6491</f>
        <v>6491.0</v>
      </c>
      <c r="L306" s="34" t="s">
        <v>48</v>
      </c>
      <c r="M306" s="33" t="n">
        <f>7550</f>
        <v>7550.0</v>
      </c>
      <c r="N306" s="34" t="s">
        <v>50</v>
      </c>
      <c r="O306" s="33" t="n">
        <f>6383</f>
        <v>6383.0</v>
      </c>
      <c r="P306" s="34" t="s">
        <v>68</v>
      </c>
      <c r="Q306" s="33" t="n">
        <f>7469</f>
        <v>7469.0</v>
      </c>
      <c r="R306" s="34" t="s">
        <v>50</v>
      </c>
      <c r="S306" s="35" t="n">
        <f>7007.19</f>
        <v>7007.19</v>
      </c>
      <c r="T306" s="32" t="n">
        <f>804439</f>
        <v>804439.0</v>
      </c>
      <c r="U306" s="32" t="n">
        <f>71755</f>
        <v>71755.0</v>
      </c>
      <c r="V306" s="32" t="n">
        <f>5584072626</f>
        <v>5.584072626E9</v>
      </c>
      <c r="W306" s="32" t="n">
        <f>506465691</f>
        <v>5.06465691E8</v>
      </c>
      <c r="X306" s="36" t="n">
        <f>21</f>
        <v>21.0</v>
      </c>
    </row>
    <row r="307">
      <c r="A307" s="27" t="s">
        <v>42</v>
      </c>
      <c r="B307" s="27" t="s">
        <v>964</v>
      </c>
      <c r="C307" s="27" t="s">
        <v>965</v>
      </c>
      <c r="D307" s="27" t="s">
        <v>966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3517</f>
        <v>3517.0</v>
      </c>
      <c r="L307" s="34" t="s">
        <v>48</v>
      </c>
      <c r="M307" s="33" t="n">
        <f>4047</f>
        <v>4047.0</v>
      </c>
      <c r="N307" s="34" t="s">
        <v>50</v>
      </c>
      <c r="O307" s="33" t="n">
        <f>3478</f>
        <v>3478.0</v>
      </c>
      <c r="P307" s="34" t="s">
        <v>73</v>
      </c>
      <c r="Q307" s="33" t="n">
        <f>3993</f>
        <v>3993.0</v>
      </c>
      <c r="R307" s="34" t="s">
        <v>50</v>
      </c>
      <c r="S307" s="35" t="n">
        <f>3778.33</f>
        <v>3778.33</v>
      </c>
      <c r="T307" s="32" t="n">
        <f>3720846</f>
        <v>3720846.0</v>
      </c>
      <c r="U307" s="32" t="n">
        <f>3154274</f>
        <v>3154274.0</v>
      </c>
      <c r="V307" s="32" t="n">
        <f>14019934127</f>
        <v>1.4019934127E10</v>
      </c>
      <c r="W307" s="32" t="n">
        <f>11911967572</f>
        <v>1.1911967572E10</v>
      </c>
      <c r="X307" s="36" t="n">
        <f>21</f>
        <v>21.0</v>
      </c>
    </row>
    <row r="308">
      <c r="A308" s="27" t="s">
        <v>42</v>
      </c>
      <c r="B308" s="27" t="s">
        <v>967</v>
      </c>
      <c r="C308" s="27" t="s">
        <v>968</v>
      </c>
      <c r="D308" s="27" t="s">
        <v>969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2890</f>
        <v>2890.0</v>
      </c>
      <c r="L308" s="34" t="s">
        <v>48</v>
      </c>
      <c r="M308" s="33" t="n">
        <f>3302</f>
        <v>3302.0</v>
      </c>
      <c r="N308" s="34" t="s">
        <v>88</v>
      </c>
      <c r="O308" s="33" t="n">
        <f>2889</f>
        <v>2889.0</v>
      </c>
      <c r="P308" s="34" t="s">
        <v>48</v>
      </c>
      <c r="Q308" s="33" t="n">
        <f>3171</f>
        <v>3171.0</v>
      </c>
      <c r="R308" s="34" t="s">
        <v>50</v>
      </c>
      <c r="S308" s="35" t="n">
        <f>3140.33</f>
        <v>3140.33</v>
      </c>
      <c r="T308" s="32" t="n">
        <f>7040</f>
        <v>7040.0</v>
      </c>
      <c r="U308" s="32" t="str">
        <f>"－"</f>
        <v>－</v>
      </c>
      <c r="V308" s="32" t="n">
        <f>22088876</f>
        <v>2.2088876E7</v>
      </c>
      <c r="W308" s="32" t="str">
        <f>"－"</f>
        <v>－</v>
      </c>
      <c r="X308" s="36" t="n">
        <f>21</f>
        <v>21.0</v>
      </c>
    </row>
    <row r="309">
      <c r="A309" s="27" t="s">
        <v>42</v>
      </c>
      <c r="B309" s="27" t="s">
        <v>970</v>
      </c>
      <c r="C309" s="27" t="s">
        <v>971</v>
      </c>
      <c r="D309" s="27" t="s">
        <v>972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2250</f>
        <v>2250.0</v>
      </c>
      <c r="L309" s="34" t="s">
        <v>48</v>
      </c>
      <c r="M309" s="33" t="n">
        <f>2285</f>
        <v>2285.0</v>
      </c>
      <c r="N309" s="34" t="s">
        <v>49</v>
      </c>
      <c r="O309" s="33" t="n">
        <f>2150</f>
        <v>2150.0</v>
      </c>
      <c r="P309" s="34" t="s">
        <v>48</v>
      </c>
      <c r="Q309" s="33" t="n">
        <f>2177</f>
        <v>2177.0</v>
      </c>
      <c r="R309" s="34" t="s">
        <v>50</v>
      </c>
      <c r="S309" s="35" t="n">
        <f>2207.95</f>
        <v>2207.95</v>
      </c>
      <c r="T309" s="32" t="n">
        <f>3562</f>
        <v>3562.0</v>
      </c>
      <c r="U309" s="32" t="str">
        <f>"－"</f>
        <v>－</v>
      </c>
      <c r="V309" s="32" t="n">
        <f>7862987</f>
        <v>7862987.0</v>
      </c>
      <c r="W309" s="32" t="str">
        <f>"－"</f>
        <v>－</v>
      </c>
      <c r="X309" s="36" t="n">
        <f>21</f>
        <v>21.0</v>
      </c>
    </row>
    <row r="310">
      <c r="A310" s="27" t="s">
        <v>42</v>
      </c>
      <c r="B310" s="27" t="s">
        <v>973</v>
      </c>
      <c r="C310" s="27" t="s">
        <v>974</v>
      </c>
      <c r="D310" s="27" t="s">
        <v>975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370</f>
        <v>370.0</v>
      </c>
      <c r="L310" s="34" t="s">
        <v>48</v>
      </c>
      <c r="M310" s="33" t="n">
        <f>373.6</f>
        <v>373.6</v>
      </c>
      <c r="N310" s="34" t="s">
        <v>60</v>
      </c>
      <c r="O310" s="33" t="n">
        <f>367.9</f>
        <v>367.9</v>
      </c>
      <c r="P310" s="34" t="s">
        <v>143</v>
      </c>
      <c r="Q310" s="33" t="n">
        <f>372.9</f>
        <v>372.9</v>
      </c>
      <c r="R310" s="34" t="s">
        <v>50</v>
      </c>
      <c r="S310" s="35" t="n">
        <f>370.37</f>
        <v>370.37</v>
      </c>
      <c r="T310" s="32" t="n">
        <f>5173270</f>
        <v>5173270.0</v>
      </c>
      <c r="U310" s="32" t="n">
        <f>686080</f>
        <v>686080.0</v>
      </c>
      <c r="V310" s="32" t="n">
        <f>1914633242</f>
        <v>1.914633242E9</v>
      </c>
      <c r="W310" s="32" t="n">
        <f>253072510</f>
        <v>2.5307251E8</v>
      </c>
      <c r="X310" s="36" t="n">
        <f>21</f>
        <v>21.0</v>
      </c>
    </row>
    <row r="311">
      <c r="A311" s="27" t="s">
        <v>42</v>
      </c>
      <c r="B311" s="27" t="s">
        <v>976</v>
      </c>
      <c r="C311" s="27" t="s">
        <v>977</v>
      </c>
      <c r="D311" s="27" t="s">
        <v>978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1068</f>
        <v>1068.0</v>
      </c>
      <c r="L311" s="34" t="s">
        <v>48</v>
      </c>
      <c r="M311" s="33" t="n">
        <f>1078</f>
        <v>1078.0</v>
      </c>
      <c r="N311" s="34" t="s">
        <v>200</v>
      </c>
      <c r="O311" s="33" t="n">
        <f>1039</f>
        <v>1039.0</v>
      </c>
      <c r="P311" s="34" t="s">
        <v>50</v>
      </c>
      <c r="Q311" s="33" t="n">
        <f>1039</f>
        <v>1039.0</v>
      </c>
      <c r="R311" s="34" t="s">
        <v>50</v>
      </c>
      <c r="S311" s="35" t="n">
        <f>1058.1</f>
        <v>1058.1</v>
      </c>
      <c r="T311" s="32" t="n">
        <f>13335411</f>
        <v>1.3335411E7</v>
      </c>
      <c r="U311" s="32" t="n">
        <f>1111</f>
        <v>1111.0</v>
      </c>
      <c r="V311" s="32" t="n">
        <f>14110910884</f>
        <v>1.4110910884E10</v>
      </c>
      <c r="W311" s="32" t="n">
        <f>1174271</f>
        <v>1174271.0</v>
      </c>
      <c r="X311" s="36" t="n">
        <f>21</f>
        <v>21.0</v>
      </c>
    </row>
    <row r="312">
      <c r="A312" s="27" t="s">
        <v>42</v>
      </c>
      <c r="B312" s="27" t="s">
        <v>979</v>
      </c>
      <c r="C312" s="27" t="s">
        <v>980</v>
      </c>
      <c r="D312" s="27" t="s">
        <v>981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1708</f>
        <v>1708.0</v>
      </c>
      <c r="L312" s="34" t="s">
        <v>48</v>
      </c>
      <c r="M312" s="33" t="n">
        <f>1746</f>
        <v>1746.0</v>
      </c>
      <c r="N312" s="34" t="s">
        <v>80</v>
      </c>
      <c r="O312" s="33" t="n">
        <f>1705</f>
        <v>1705.0</v>
      </c>
      <c r="P312" s="34" t="s">
        <v>73</v>
      </c>
      <c r="Q312" s="33" t="n">
        <f>1720</f>
        <v>1720.0</v>
      </c>
      <c r="R312" s="34" t="s">
        <v>50</v>
      </c>
      <c r="S312" s="35" t="n">
        <f>1727.33</f>
        <v>1727.33</v>
      </c>
      <c r="T312" s="32" t="n">
        <f>46754</f>
        <v>46754.0</v>
      </c>
      <c r="U312" s="32" t="str">
        <f>"－"</f>
        <v>－</v>
      </c>
      <c r="V312" s="32" t="n">
        <f>80844388</f>
        <v>8.0844388E7</v>
      </c>
      <c r="W312" s="32" t="str">
        <f>"－"</f>
        <v>－</v>
      </c>
      <c r="X312" s="36" t="n">
        <f>21</f>
        <v>21.0</v>
      </c>
    </row>
    <row r="313">
      <c r="A313" s="27" t="s">
        <v>42</v>
      </c>
      <c r="B313" s="27" t="s">
        <v>982</v>
      </c>
      <c r="C313" s="27" t="s">
        <v>983</v>
      </c>
      <c r="D313" s="27" t="s">
        <v>984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1972</f>
        <v>1972.0</v>
      </c>
      <c r="L313" s="34" t="s">
        <v>48</v>
      </c>
      <c r="M313" s="33" t="n">
        <f>1994</f>
        <v>1994.0</v>
      </c>
      <c r="N313" s="34" t="s">
        <v>200</v>
      </c>
      <c r="O313" s="33" t="n">
        <f>1924</f>
        <v>1924.0</v>
      </c>
      <c r="P313" s="34" t="s">
        <v>50</v>
      </c>
      <c r="Q313" s="33" t="n">
        <f>1929</f>
        <v>1929.0</v>
      </c>
      <c r="R313" s="34" t="s">
        <v>50</v>
      </c>
      <c r="S313" s="35" t="n">
        <f>1953.81</f>
        <v>1953.81</v>
      </c>
      <c r="T313" s="32" t="n">
        <f>139401</f>
        <v>139401.0</v>
      </c>
      <c r="U313" s="32" t="n">
        <f>103000</f>
        <v>103000.0</v>
      </c>
      <c r="V313" s="32" t="n">
        <f>271004513</f>
        <v>2.71004513E8</v>
      </c>
      <c r="W313" s="32" t="n">
        <f>199695370</f>
        <v>1.9969537E8</v>
      </c>
      <c r="X313" s="36" t="n">
        <f>21</f>
        <v>21.0</v>
      </c>
    </row>
    <row r="314">
      <c r="A314" s="27" t="s">
        <v>42</v>
      </c>
      <c r="B314" s="27" t="s">
        <v>985</v>
      </c>
      <c r="C314" s="27" t="s">
        <v>986</v>
      </c>
      <c r="D314" s="27" t="s">
        <v>987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5358</f>
        <v>5358.0</v>
      </c>
      <c r="L314" s="34" t="s">
        <v>48</v>
      </c>
      <c r="M314" s="33" t="n">
        <f>6122</f>
        <v>6122.0</v>
      </c>
      <c r="N314" s="34" t="s">
        <v>72</v>
      </c>
      <c r="O314" s="33" t="n">
        <f>5291</f>
        <v>5291.0</v>
      </c>
      <c r="P314" s="34" t="s">
        <v>73</v>
      </c>
      <c r="Q314" s="33" t="n">
        <f>5946</f>
        <v>5946.0</v>
      </c>
      <c r="R314" s="34" t="s">
        <v>50</v>
      </c>
      <c r="S314" s="35" t="n">
        <f>5766.95</f>
        <v>5766.95</v>
      </c>
      <c r="T314" s="32" t="n">
        <f>745169</f>
        <v>745169.0</v>
      </c>
      <c r="U314" s="32" t="n">
        <f>257848</f>
        <v>257848.0</v>
      </c>
      <c r="V314" s="32" t="n">
        <f>4299893882</f>
        <v>4.299893882E9</v>
      </c>
      <c r="W314" s="32" t="n">
        <f>1441050434</f>
        <v>1.441050434E9</v>
      </c>
      <c r="X314" s="36" t="n">
        <f>21</f>
        <v>21.0</v>
      </c>
    </row>
    <row r="315">
      <c r="A315" s="27" t="s">
        <v>42</v>
      </c>
      <c r="B315" s="27" t="s">
        <v>988</v>
      </c>
      <c r="C315" s="27" t="s">
        <v>989</v>
      </c>
      <c r="D315" s="27" t="s">
        <v>990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3655</f>
        <v>3655.0</v>
      </c>
      <c r="L315" s="34" t="s">
        <v>48</v>
      </c>
      <c r="M315" s="33" t="n">
        <f>3850</f>
        <v>3850.0</v>
      </c>
      <c r="N315" s="34" t="s">
        <v>200</v>
      </c>
      <c r="O315" s="33" t="n">
        <f>3643</f>
        <v>3643.0</v>
      </c>
      <c r="P315" s="34" t="s">
        <v>48</v>
      </c>
      <c r="Q315" s="33" t="n">
        <f>3731</f>
        <v>3731.0</v>
      </c>
      <c r="R315" s="34" t="s">
        <v>50</v>
      </c>
      <c r="S315" s="35" t="n">
        <f>3748.95</f>
        <v>3748.95</v>
      </c>
      <c r="T315" s="32" t="n">
        <f>460486</f>
        <v>460486.0</v>
      </c>
      <c r="U315" s="32" t="n">
        <f>379623</f>
        <v>379623.0</v>
      </c>
      <c r="V315" s="32" t="n">
        <f>1734609363</f>
        <v>1.734609363E9</v>
      </c>
      <c r="W315" s="32" t="n">
        <f>1432460482</f>
        <v>1.432460482E9</v>
      </c>
      <c r="X315" s="36" t="n">
        <f>21</f>
        <v>21.0</v>
      </c>
    </row>
    <row r="316">
      <c r="A316" s="27" t="s">
        <v>42</v>
      </c>
      <c r="B316" s="27" t="s">
        <v>991</v>
      </c>
      <c r="C316" s="27" t="s">
        <v>992</v>
      </c>
      <c r="D316" s="27" t="s">
        <v>993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2698</f>
        <v>2698.0</v>
      </c>
      <c r="L316" s="34" t="s">
        <v>48</v>
      </c>
      <c r="M316" s="33" t="n">
        <f>2862</f>
        <v>2862.0</v>
      </c>
      <c r="N316" s="34" t="s">
        <v>80</v>
      </c>
      <c r="O316" s="33" t="n">
        <f>2656</f>
        <v>2656.0</v>
      </c>
      <c r="P316" s="34" t="s">
        <v>73</v>
      </c>
      <c r="Q316" s="33" t="n">
        <f>2709</f>
        <v>2709.0</v>
      </c>
      <c r="R316" s="34" t="s">
        <v>50</v>
      </c>
      <c r="S316" s="35" t="n">
        <f>2756</f>
        <v>2756.0</v>
      </c>
      <c r="T316" s="32" t="n">
        <f>17374</f>
        <v>17374.0</v>
      </c>
      <c r="U316" s="32" t="n">
        <f>30</f>
        <v>30.0</v>
      </c>
      <c r="V316" s="32" t="n">
        <f>48435486</f>
        <v>4.8435486E7</v>
      </c>
      <c r="W316" s="32" t="n">
        <f>80847</f>
        <v>80847.0</v>
      </c>
      <c r="X316" s="36" t="n">
        <f>21</f>
        <v>21.0</v>
      </c>
    </row>
    <row r="317">
      <c r="A317" s="27" t="s">
        <v>42</v>
      </c>
      <c r="B317" s="27" t="s">
        <v>994</v>
      </c>
      <c r="C317" s="27" t="s">
        <v>995</v>
      </c>
      <c r="D317" s="27" t="s">
        <v>996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1364</f>
        <v>1364.0</v>
      </c>
      <c r="L317" s="34" t="s">
        <v>48</v>
      </c>
      <c r="M317" s="33" t="n">
        <f>1444</f>
        <v>1444.0</v>
      </c>
      <c r="N317" s="34" t="s">
        <v>49</v>
      </c>
      <c r="O317" s="33" t="n">
        <f>1346</f>
        <v>1346.0</v>
      </c>
      <c r="P317" s="34" t="s">
        <v>242</v>
      </c>
      <c r="Q317" s="33" t="n">
        <f>1377</f>
        <v>1377.0</v>
      </c>
      <c r="R317" s="34" t="s">
        <v>50</v>
      </c>
      <c r="S317" s="35" t="n">
        <f>1403.76</f>
        <v>1403.76</v>
      </c>
      <c r="T317" s="32" t="n">
        <f>4464</f>
        <v>4464.0</v>
      </c>
      <c r="U317" s="32" t="str">
        <f>"－"</f>
        <v>－</v>
      </c>
      <c r="V317" s="32" t="n">
        <f>6248683</f>
        <v>6248683.0</v>
      </c>
      <c r="W317" s="32" t="str">
        <f>"－"</f>
        <v>－</v>
      </c>
      <c r="X317" s="36" t="n">
        <f>21</f>
        <v>21.0</v>
      </c>
    </row>
    <row r="318">
      <c r="A318" s="27" t="s">
        <v>42</v>
      </c>
      <c r="B318" s="27" t="s">
        <v>997</v>
      </c>
      <c r="C318" s="27" t="s">
        <v>998</v>
      </c>
      <c r="D318" s="27" t="s">
        <v>999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2898</f>
        <v>2898.0</v>
      </c>
      <c r="L318" s="34" t="s">
        <v>48</v>
      </c>
      <c r="M318" s="33" t="n">
        <f>3560</f>
        <v>3560.0</v>
      </c>
      <c r="N318" s="34" t="s">
        <v>50</v>
      </c>
      <c r="O318" s="33" t="n">
        <f>2810</f>
        <v>2810.0</v>
      </c>
      <c r="P318" s="34" t="s">
        <v>60</v>
      </c>
      <c r="Q318" s="33" t="n">
        <f>3515</f>
        <v>3515.0</v>
      </c>
      <c r="R318" s="34" t="s">
        <v>50</v>
      </c>
      <c r="S318" s="35" t="n">
        <f>3141.52</f>
        <v>3141.52</v>
      </c>
      <c r="T318" s="32" t="n">
        <f>102287</f>
        <v>102287.0</v>
      </c>
      <c r="U318" s="32" t="str">
        <f>"－"</f>
        <v>－</v>
      </c>
      <c r="V318" s="32" t="n">
        <f>319270250</f>
        <v>3.1927025E8</v>
      </c>
      <c r="W318" s="32" t="str">
        <f>"－"</f>
        <v>－</v>
      </c>
      <c r="X318" s="36" t="n">
        <f>21</f>
        <v>21.0</v>
      </c>
    </row>
    <row r="319">
      <c r="A319" s="27" t="s">
        <v>42</v>
      </c>
      <c r="B319" s="27" t="s">
        <v>1000</v>
      </c>
      <c r="C319" s="27" t="s">
        <v>1001</v>
      </c>
      <c r="D319" s="27" t="s">
        <v>1002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3443</f>
        <v>3443.0</v>
      </c>
      <c r="L319" s="34" t="s">
        <v>48</v>
      </c>
      <c r="M319" s="33" t="n">
        <f>3728</f>
        <v>3728.0</v>
      </c>
      <c r="N319" s="34" t="s">
        <v>50</v>
      </c>
      <c r="O319" s="33" t="n">
        <f>3400</f>
        <v>3400.0</v>
      </c>
      <c r="P319" s="34" t="s">
        <v>220</v>
      </c>
      <c r="Q319" s="33" t="n">
        <f>3715</f>
        <v>3715.0</v>
      </c>
      <c r="R319" s="34" t="s">
        <v>50</v>
      </c>
      <c r="S319" s="35" t="n">
        <f>3581.62</f>
        <v>3581.62</v>
      </c>
      <c r="T319" s="32" t="n">
        <f>65431</f>
        <v>65431.0</v>
      </c>
      <c r="U319" s="32" t="n">
        <f>2400</f>
        <v>2400.0</v>
      </c>
      <c r="V319" s="32" t="n">
        <f>231889563</f>
        <v>2.31889563E8</v>
      </c>
      <c r="W319" s="32" t="n">
        <f>8299200</f>
        <v>8299200.0</v>
      </c>
      <c r="X319" s="36" t="n">
        <f>21</f>
        <v>21.0</v>
      </c>
    </row>
    <row r="320">
      <c r="A320" s="27" t="s">
        <v>42</v>
      </c>
      <c r="B320" s="27" t="s">
        <v>1003</v>
      </c>
      <c r="C320" s="27" t="s">
        <v>1004</v>
      </c>
      <c r="D320" s="27" t="s">
        <v>1005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13895</f>
        <v>13895.0</v>
      </c>
      <c r="L320" s="34" t="s">
        <v>48</v>
      </c>
      <c r="M320" s="33" t="n">
        <f>15225</f>
        <v>15225.0</v>
      </c>
      <c r="N320" s="34" t="s">
        <v>207</v>
      </c>
      <c r="O320" s="33" t="n">
        <f>13745</f>
        <v>13745.0</v>
      </c>
      <c r="P320" s="34" t="s">
        <v>73</v>
      </c>
      <c r="Q320" s="33" t="n">
        <f>15065</f>
        <v>15065.0</v>
      </c>
      <c r="R320" s="34" t="s">
        <v>50</v>
      </c>
      <c r="S320" s="35" t="n">
        <f>14617.62</f>
        <v>14617.62</v>
      </c>
      <c r="T320" s="32" t="n">
        <f>354524</f>
        <v>354524.0</v>
      </c>
      <c r="U320" s="32" t="n">
        <f>268374</f>
        <v>268374.0</v>
      </c>
      <c r="V320" s="32" t="n">
        <f>5249932142</f>
        <v>5.249932142E9</v>
      </c>
      <c r="W320" s="32" t="n">
        <f>3989393377</f>
        <v>3.989393377E9</v>
      </c>
      <c r="X320" s="36" t="n">
        <f>21</f>
        <v>21.0</v>
      </c>
    </row>
    <row r="321">
      <c r="A321" s="27" t="s">
        <v>42</v>
      </c>
      <c r="B321" s="27" t="s">
        <v>1006</v>
      </c>
      <c r="C321" s="27" t="s">
        <v>1007</v>
      </c>
      <c r="D321" s="27" t="s">
        <v>1008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27075</f>
        <v>27075.0</v>
      </c>
      <c r="L321" s="34" t="s">
        <v>48</v>
      </c>
      <c r="M321" s="33" t="n">
        <f>31530</f>
        <v>31530.0</v>
      </c>
      <c r="N321" s="34" t="s">
        <v>50</v>
      </c>
      <c r="O321" s="33" t="n">
        <f>26915</f>
        <v>26915.0</v>
      </c>
      <c r="P321" s="34" t="s">
        <v>73</v>
      </c>
      <c r="Q321" s="33" t="n">
        <f>31190</f>
        <v>31190.0</v>
      </c>
      <c r="R321" s="34" t="s">
        <v>50</v>
      </c>
      <c r="S321" s="35" t="n">
        <f>29257.38</f>
        <v>29257.38</v>
      </c>
      <c r="T321" s="32" t="n">
        <f>283158</f>
        <v>283158.0</v>
      </c>
      <c r="U321" s="32" t="n">
        <f>34737</f>
        <v>34737.0</v>
      </c>
      <c r="V321" s="32" t="n">
        <f>8282641855</f>
        <v>8.282641855E9</v>
      </c>
      <c r="W321" s="32" t="n">
        <f>1038140570</f>
        <v>1.03814057E9</v>
      </c>
      <c r="X321" s="36" t="n">
        <f>21</f>
        <v>21.0</v>
      </c>
    </row>
    <row r="322">
      <c r="A322" s="27" t="s">
        <v>42</v>
      </c>
      <c r="B322" s="27" t="s">
        <v>1009</v>
      </c>
      <c r="C322" s="27" t="s">
        <v>1010</v>
      </c>
      <c r="D322" s="27" t="s">
        <v>1011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14685</f>
        <v>14685.0</v>
      </c>
      <c r="L322" s="34" t="s">
        <v>48</v>
      </c>
      <c r="M322" s="33" t="n">
        <f>16885</f>
        <v>16885.0</v>
      </c>
      <c r="N322" s="34" t="s">
        <v>50</v>
      </c>
      <c r="O322" s="33" t="n">
        <f>14505</f>
        <v>14505.0</v>
      </c>
      <c r="P322" s="34" t="s">
        <v>73</v>
      </c>
      <c r="Q322" s="33" t="n">
        <f>16655</f>
        <v>16655.0</v>
      </c>
      <c r="R322" s="34" t="s">
        <v>50</v>
      </c>
      <c r="S322" s="35" t="n">
        <f>15762.38</f>
        <v>15762.38</v>
      </c>
      <c r="T322" s="32" t="n">
        <f>580026</f>
        <v>580026.0</v>
      </c>
      <c r="U322" s="32" t="n">
        <f>483126</f>
        <v>483126.0</v>
      </c>
      <c r="V322" s="32" t="n">
        <f>9178543070</f>
        <v>9.17854307E9</v>
      </c>
      <c r="W322" s="32" t="n">
        <f>7645513540</f>
        <v>7.64551354E9</v>
      </c>
      <c r="X322" s="36" t="n">
        <f>21</f>
        <v>21.0</v>
      </c>
    </row>
    <row r="323">
      <c r="A323" s="27" t="s">
        <v>42</v>
      </c>
      <c r="B323" s="27" t="s">
        <v>1012</v>
      </c>
      <c r="C323" s="27" t="s">
        <v>1013</v>
      </c>
      <c r="D323" s="27" t="s">
        <v>1014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478.3</f>
        <v>478.3</v>
      </c>
      <c r="L323" s="34" t="s">
        <v>48</v>
      </c>
      <c r="M323" s="33" t="n">
        <f>529.8</f>
        <v>529.8</v>
      </c>
      <c r="N323" s="34" t="s">
        <v>50</v>
      </c>
      <c r="O323" s="33" t="n">
        <f>475.9</f>
        <v>475.9</v>
      </c>
      <c r="P323" s="34" t="s">
        <v>73</v>
      </c>
      <c r="Q323" s="33" t="n">
        <f>527</f>
        <v>527.0</v>
      </c>
      <c r="R323" s="34" t="s">
        <v>50</v>
      </c>
      <c r="S323" s="35" t="n">
        <f>506.37</f>
        <v>506.37</v>
      </c>
      <c r="T323" s="32" t="n">
        <f>10318360</f>
        <v>1.031836E7</v>
      </c>
      <c r="U323" s="32" t="n">
        <f>6757920</f>
        <v>6757920.0</v>
      </c>
      <c r="V323" s="32" t="n">
        <f>5212659340</f>
        <v>5.21265934E9</v>
      </c>
      <c r="W323" s="32" t="n">
        <f>3424970206</f>
        <v>3.424970206E9</v>
      </c>
      <c r="X323" s="36" t="n">
        <f>21</f>
        <v>21.0</v>
      </c>
    </row>
    <row r="324">
      <c r="A324" s="27" t="s">
        <v>42</v>
      </c>
      <c r="B324" s="27" t="s">
        <v>1015</v>
      </c>
      <c r="C324" s="27" t="s">
        <v>1016</v>
      </c>
      <c r="D324" s="27" t="s">
        <v>1017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2733</f>
        <v>2733.0</v>
      </c>
      <c r="L324" s="34" t="s">
        <v>48</v>
      </c>
      <c r="M324" s="33" t="n">
        <f>2996</f>
        <v>2996.0</v>
      </c>
      <c r="N324" s="34" t="s">
        <v>50</v>
      </c>
      <c r="O324" s="33" t="n">
        <f>2700</f>
        <v>2700.0</v>
      </c>
      <c r="P324" s="34" t="s">
        <v>73</v>
      </c>
      <c r="Q324" s="33" t="n">
        <f>2960</f>
        <v>2960.0</v>
      </c>
      <c r="R324" s="34" t="s">
        <v>50</v>
      </c>
      <c r="S324" s="35" t="n">
        <f>2872.81</f>
        <v>2872.81</v>
      </c>
      <c r="T324" s="32" t="n">
        <f>3082336</f>
        <v>3082336.0</v>
      </c>
      <c r="U324" s="32" t="n">
        <f>1895911</f>
        <v>1895911.0</v>
      </c>
      <c r="V324" s="32" t="n">
        <f>8830256426</f>
        <v>8.830256426E9</v>
      </c>
      <c r="W324" s="32" t="n">
        <f>5462469653</f>
        <v>5.462469653E9</v>
      </c>
      <c r="X324" s="36" t="n">
        <f>21</f>
        <v>21.0</v>
      </c>
    </row>
    <row r="325">
      <c r="A325" s="27" t="s">
        <v>42</v>
      </c>
      <c r="B325" s="27" t="s">
        <v>1018</v>
      </c>
      <c r="C325" s="27" t="s">
        <v>1019</v>
      </c>
      <c r="D325" s="27" t="s">
        <v>1020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4329</f>
        <v>4329.0</v>
      </c>
      <c r="L325" s="34" t="s">
        <v>48</v>
      </c>
      <c r="M325" s="33" t="n">
        <f>4656</f>
        <v>4656.0</v>
      </c>
      <c r="N325" s="34" t="s">
        <v>67</v>
      </c>
      <c r="O325" s="33" t="n">
        <f>4263</f>
        <v>4263.0</v>
      </c>
      <c r="P325" s="34" t="s">
        <v>73</v>
      </c>
      <c r="Q325" s="33" t="n">
        <f>4570</f>
        <v>4570.0</v>
      </c>
      <c r="R325" s="34" t="s">
        <v>50</v>
      </c>
      <c r="S325" s="35" t="n">
        <f>4492.43</f>
        <v>4492.43</v>
      </c>
      <c r="T325" s="32" t="n">
        <f>2912</f>
        <v>2912.0</v>
      </c>
      <c r="U325" s="32" t="n">
        <f>370</f>
        <v>370.0</v>
      </c>
      <c r="V325" s="32" t="n">
        <f>13069717</f>
        <v>1.3069717E7</v>
      </c>
      <c r="W325" s="32" t="n">
        <f>1699780</f>
        <v>1699780.0</v>
      </c>
      <c r="X325" s="36" t="n">
        <f>21</f>
        <v>21.0</v>
      </c>
    </row>
    <row r="326">
      <c r="A326" s="27" t="s">
        <v>42</v>
      </c>
      <c r="B326" s="27" t="s">
        <v>1021</v>
      </c>
      <c r="C326" s="27" t="s">
        <v>1022</v>
      </c>
      <c r="D326" s="27" t="s">
        <v>1023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2167</f>
        <v>2167.0</v>
      </c>
      <c r="L326" s="34" t="s">
        <v>48</v>
      </c>
      <c r="M326" s="33" t="n">
        <f>2537</f>
        <v>2537.0</v>
      </c>
      <c r="N326" s="34" t="s">
        <v>50</v>
      </c>
      <c r="O326" s="33" t="n">
        <f>2134</f>
        <v>2134.0</v>
      </c>
      <c r="P326" s="34" t="s">
        <v>60</v>
      </c>
      <c r="Q326" s="33" t="n">
        <f>2522</f>
        <v>2522.0</v>
      </c>
      <c r="R326" s="34" t="s">
        <v>50</v>
      </c>
      <c r="S326" s="35" t="n">
        <f>2396.24</f>
        <v>2396.24</v>
      </c>
      <c r="T326" s="32" t="n">
        <f>37901</f>
        <v>37901.0</v>
      </c>
      <c r="U326" s="32" t="n">
        <f>660</f>
        <v>660.0</v>
      </c>
      <c r="V326" s="32" t="n">
        <f>89369127</f>
        <v>8.9369127E7</v>
      </c>
      <c r="W326" s="32" t="n">
        <f>1616692</f>
        <v>1616692.0</v>
      </c>
      <c r="X326" s="36" t="n">
        <f>21</f>
        <v>21.0</v>
      </c>
    </row>
    <row r="327">
      <c r="A327" s="27" t="s">
        <v>42</v>
      </c>
      <c r="B327" s="27" t="s">
        <v>1024</v>
      </c>
      <c r="C327" s="27" t="s">
        <v>1025</v>
      </c>
      <c r="D327" s="27" t="s">
        <v>1026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2308</f>
        <v>2308.0</v>
      </c>
      <c r="L327" s="34" t="s">
        <v>48</v>
      </c>
      <c r="M327" s="33" t="n">
        <f>2674</f>
        <v>2674.0</v>
      </c>
      <c r="N327" s="34" t="s">
        <v>72</v>
      </c>
      <c r="O327" s="33" t="n">
        <f>2261</f>
        <v>2261.0</v>
      </c>
      <c r="P327" s="34" t="s">
        <v>48</v>
      </c>
      <c r="Q327" s="33" t="n">
        <f>2601</f>
        <v>2601.0</v>
      </c>
      <c r="R327" s="34" t="s">
        <v>50</v>
      </c>
      <c r="S327" s="35" t="n">
        <f>2483.9</f>
        <v>2483.9</v>
      </c>
      <c r="T327" s="32" t="n">
        <f>1065476</f>
        <v>1065476.0</v>
      </c>
      <c r="U327" s="32" t="n">
        <f>183527</f>
        <v>183527.0</v>
      </c>
      <c r="V327" s="32" t="n">
        <f>2676526123</f>
        <v>2.676526123E9</v>
      </c>
      <c r="W327" s="32" t="n">
        <f>451435407</f>
        <v>4.51435407E8</v>
      </c>
      <c r="X327" s="36" t="n">
        <f>21</f>
        <v>21.0</v>
      </c>
    </row>
    <row r="328">
      <c r="A328" s="27" t="s">
        <v>42</v>
      </c>
      <c r="B328" s="27" t="s">
        <v>1027</v>
      </c>
      <c r="C328" s="27" t="s">
        <v>1028</v>
      </c>
      <c r="D328" s="27" t="s">
        <v>1029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1710</f>
        <v>1710.0</v>
      </c>
      <c r="L328" s="34" t="s">
        <v>48</v>
      </c>
      <c r="M328" s="33" t="n">
        <f>1789</f>
        <v>1789.0</v>
      </c>
      <c r="N328" s="34" t="s">
        <v>200</v>
      </c>
      <c r="O328" s="33" t="n">
        <f>1626</f>
        <v>1626.0</v>
      </c>
      <c r="P328" s="34" t="s">
        <v>50</v>
      </c>
      <c r="Q328" s="33" t="n">
        <f>1634</f>
        <v>1634.0</v>
      </c>
      <c r="R328" s="34" t="s">
        <v>50</v>
      </c>
      <c r="S328" s="35" t="n">
        <f>1706.67</f>
        <v>1706.67</v>
      </c>
      <c r="T328" s="32" t="n">
        <f>359399</f>
        <v>359399.0</v>
      </c>
      <c r="U328" s="32" t="n">
        <f>350014</f>
        <v>350014.0</v>
      </c>
      <c r="V328" s="32" t="n">
        <f>634569089</f>
        <v>6.34569089E8</v>
      </c>
      <c r="W328" s="32" t="n">
        <f>618402169</f>
        <v>6.18402169E8</v>
      </c>
      <c r="X328" s="36" t="n">
        <f>21</f>
        <v>21.0</v>
      </c>
    </row>
    <row r="329">
      <c r="A329" s="27" t="s">
        <v>42</v>
      </c>
      <c r="B329" s="27" t="s">
        <v>1030</v>
      </c>
      <c r="C329" s="27" t="s">
        <v>1031</v>
      </c>
      <c r="D329" s="27" t="s">
        <v>1032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3865</f>
        <v>3865.0</v>
      </c>
      <c r="L329" s="34" t="s">
        <v>48</v>
      </c>
      <c r="M329" s="33" t="n">
        <f>3997</f>
        <v>3997.0</v>
      </c>
      <c r="N329" s="34" t="s">
        <v>48</v>
      </c>
      <c r="O329" s="33" t="n">
        <f>3604</f>
        <v>3604.0</v>
      </c>
      <c r="P329" s="34" t="s">
        <v>50</v>
      </c>
      <c r="Q329" s="33" t="n">
        <f>3610</f>
        <v>3610.0</v>
      </c>
      <c r="R329" s="34" t="s">
        <v>50</v>
      </c>
      <c r="S329" s="35" t="n">
        <f>3804.9</f>
        <v>3804.9</v>
      </c>
      <c r="T329" s="32" t="n">
        <f>555353</f>
        <v>555353.0</v>
      </c>
      <c r="U329" s="32" t="n">
        <f>282417</f>
        <v>282417.0</v>
      </c>
      <c r="V329" s="32" t="n">
        <f>2094281186</f>
        <v>2.094281186E9</v>
      </c>
      <c r="W329" s="32" t="n">
        <f>1063769547</f>
        <v>1.063769547E9</v>
      </c>
      <c r="X329" s="36" t="n">
        <f>21</f>
        <v>21.0</v>
      </c>
    </row>
    <row r="330">
      <c r="A330" s="27" t="s">
        <v>42</v>
      </c>
      <c r="B330" s="27" t="s">
        <v>1033</v>
      </c>
      <c r="C330" s="27" t="s">
        <v>1034</v>
      </c>
      <c r="D330" s="27" t="s">
        <v>1035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4190</f>
        <v>4190.0</v>
      </c>
      <c r="L330" s="34" t="s">
        <v>48</v>
      </c>
      <c r="M330" s="33" t="n">
        <f>4483</f>
        <v>4483.0</v>
      </c>
      <c r="N330" s="34" t="s">
        <v>200</v>
      </c>
      <c r="O330" s="33" t="n">
        <f>4155</f>
        <v>4155.0</v>
      </c>
      <c r="P330" s="34" t="s">
        <v>50</v>
      </c>
      <c r="Q330" s="33" t="n">
        <f>4198</f>
        <v>4198.0</v>
      </c>
      <c r="R330" s="34" t="s">
        <v>50</v>
      </c>
      <c r="S330" s="35" t="n">
        <f>4301.62</f>
        <v>4301.62</v>
      </c>
      <c r="T330" s="32" t="n">
        <f>744325</f>
        <v>744325.0</v>
      </c>
      <c r="U330" s="32" t="n">
        <f>601778</f>
        <v>601778.0</v>
      </c>
      <c r="V330" s="32" t="n">
        <f>3191982613</f>
        <v>3.191982613E9</v>
      </c>
      <c r="W330" s="32" t="n">
        <f>2581925144</f>
        <v>2.581925144E9</v>
      </c>
      <c r="X330" s="36" t="n">
        <f>21</f>
        <v>21.0</v>
      </c>
    </row>
    <row r="331">
      <c r="A331" s="27" t="s">
        <v>42</v>
      </c>
      <c r="B331" s="27" t="s">
        <v>1036</v>
      </c>
      <c r="C331" s="27" t="s">
        <v>1037</v>
      </c>
      <c r="D331" s="27" t="s">
        <v>1038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48130</f>
        <v>48130.0</v>
      </c>
      <c r="L331" s="34" t="s">
        <v>48</v>
      </c>
      <c r="M331" s="33" t="n">
        <f>50470</f>
        <v>50470.0</v>
      </c>
      <c r="N331" s="34" t="s">
        <v>49</v>
      </c>
      <c r="O331" s="33" t="n">
        <f>47870</f>
        <v>47870.0</v>
      </c>
      <c r="P331" s="34" t="s">
        <v>73</v>
      </c>
      <c r="Q331" s="33" t="n">
        <f>49360</f>
        <v>49360.0</v>
      </c>
      <c r="R331" s="34" t="s">
        <v>50</v>
      </c>
      <c r="S331" s="35" t="n">
        <f>49424.67</f>
        <v>49424.67</v>
      </c>
      <c r="T331" s="32" t="n">
        <f>42</f>
        <v>42.0</v>
      </c>
      <c r="U331" s="32" t="str">
        <f>"－"</f>
        <v>－</v>
      </c>
      <c r="V331" s="32" t="n">
        <f>2091910</f>
        <v>2091910.0</v>
      </c>
      <c r="W331" s="32" t="str">
        <f>"－"</f>
        <v>－</v>
      </c>
      <c r="X331" s="36" t="n">
        <f>15</f>
        <v>15.0</v>
      </c>
    </row>
    <row r="332">
      <c r="A332" s="27" t="s">
        <v>42</v>
      </c>
      <c r="B332" s="27" t="s">
        <v>1039</v>
      </c>
      <c r="C332" s="27" t="s">
        <v>1040</v>
      </c>
      <c r="D332" s="27" t="s">
        <v>1041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3762</f>
        <v>3762.0</v>
      </c>
      <c r="L332" s="34" t="s">
        <v>48</v>
      </c>
      <c r="M332" s="33" t="n">
        <f>4000</f>
        <v>4000.0</v>
      </c>
      <c r="N332" s="34" t="s">
        <v>49</v>
      </c>
      <c r="O332" s="33" t="n">
        <f>3744</f>
        <v>3744.0</v>
      </c>
      <c r="P332" s="34" t="s">
        <v>48</v>
      </c>
      <c r="Q332" s="33" t="n">
        <f>3883</f>
        <v>3883.0</v>
      </c>
      <c r="R332" s="34" t="s">
        <v>50</v>
      </c>
      <c r="S332" s="35" t="n">
        <f>3878.16</f>
        <v>3878.16</v>
      </c>
      <c r="T332" s="32" t="n">
        <f>26877</f>
        <v>26877.0</v>
      </c>
      <c r="U332" s="32" t="n">
        <f>100</f>
        <v>100.0</v>
      </c>
      <c r="V332" s="32" t="n">
        <f>104997652</f>
        <v>1.04997652E8</v>
      </c>
      <c r="W332" s="32" t="n">
        <f>395050</f>
        <v>395050.0</v>
      </c>
      <c r="X332" s="36" t="n">
        <f>19</f>
        <v>19.0</v>
      </c>
    </row>
    <row r="333">
      <c r="A333" s="27" t="s">
        <v>42</v>
      </c>
      <c r="B333" s="27" t="s">
        <v>1042</v>
      </c>
      <c r="C333" s="27" t="s">
        <v>1043</v>
      </c>
      <c r="D333" s="27" t="s">
        <v>1044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3079</f>
        <v>3079.0</v>
      </c>
      <c r="L333" s="34" t="s">
        <v>48</v>
      </c>
      <c r="M333" s="33" t="n">
        <f>3807</f>
        <v>3807.0</v>
      </c>
      <c r="N333" s="34" t="s">
        <v>72</v>
      </c>
      <c r="O333" s="33" t="n">
        <f>2995</f>
        <v>2995.0</v>
      </c>
      <c r="P333" s="34" t="s">
        <v>73</v>
      </c>
      <c r="Q333" s="33" t="n">
        <f>3643</f>
        <v>3643.0</v>
      </c>
      <c r="R333" s="34" t="s">
        <v>50</v>
      </c>
      <c r="S333" s="35" t="n">
        <f>3460.76</f>
        <v>3460.76</v>
      </c>
      <c r="T333" s="32" t="n">
        <f>29938878</f>
        <v>2.9938878E7</v>
      </c>
      <c r="U333" s="32" t="n">
        <f>176159</f>
        <v>176159.0</v>
      </c>
      <c r="V333" s="32" t="n">
        <f>105004071681</f>
        <v>1.05004071681E11</v>
      </c>
      <c r="W333" s="32" t="n">
        <f>619937724</f>
        <v>6.19937724E8</v>
      </c>
      <c r="X333" s="36" t="n">
        <f>21</f>
        <v>21.0</v>
      </c>
    </row>
    <row r="334">
      <c r="A334" s="27" t="s">
        <v>42</v>
      </c>
      <c r="B334" s="27" t="s">
        <v>1045</v>
      </c>
      <c r="C334" s="27" t="s">
        <v>1046</v>
      </c>
      <c r="D334" s="27" t="s">
        <v>1047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2670</f>
        <v>2670.0</v>
      </c>
      <c r="L334" s="34" t="s">
        <v>48</v>
      </c>
      <c r="M334" s="33" t="n">
        <f>2850</f>
        <v>2850.0</v>
      </c>
      <c r="N334" s="34" t="s">
        <v>116</v>
      </c>
      <c r="O334" s="33" t="n">
        <f>2624</f>
        <v>2624.0</v>
      </c>
      <c r="P334" s="34" t="s">
        <v>50</v>
      </c>
      <c r="Q334" s="33" t="n">
        <f>2628</f>
        <v>2628.0</v>
      </c>
      <c r="R334" s="34" t="s">
        <v>50</v>
      </c>
      <c r="S334" s="35" t="n">
        <f>2711.05</f>
        <v>2711.05</v>
      </c>
      <c r="T334" s="32" t="n">
        <f>81102</f>
        <v>81102.0</v>
      </c>
      <c r="U334" s="32" t="n">
        <f>74208</f>
        <v>74208.0</v>
      </c>
      <c r="V334" s="32" t="n">
        <f>225392124</f>
        <v>2.25392124E8</v>
      </c>
      <c r="W334" s="32" t="n">
        <f>206605461</f>
        <v>2.06605461E8</v>
      </c>
      <c r="X334" s="36" t="n">
        <f>21</f>
        <v>21.0</v>
      </c>
    </row>
    <row r="335">
      <c r="A335" s="27" t="s">
        <v>42</v>
      </c>
      <c r="B335" s="27" t="s">
        <v>1048</v>
      </c>
      <c r="C335" s="27" t="s">
        <v>1049</v>
      </c>
      <c r="D335" s="27" t="s">
        <v>1050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3568</f>
        <v>3568.0</v>
      </c>
      <c r="L335" s="34" t="s">
        <v>48</v>
      </c>
      <c r="M335" s="33" t="n">
        <f>4305</f>
        <v>4305.0</v>
      </c>
      <c r="N335" s="34" t="s">
        <v>88</v>
      </c>
      <c r="O335" s="33" t="n">
        <f>3527</f>
        <v>3527.0</v>
      </c>
      <c r="P335" s="34" t="s">
        <v>48</v>
      </c>
      <c r="Q335" s="33" t="n">
        <f>3942</f>
        <v>3942.0</v>
      </c>
      <c r="R335" s="34" t="s">
        <v>50</v>
      </c>
      <c r="S335" s="35" t="n">
        <f>3915.9</f>
        <v>3915.9</v>
      </c>
      <c r="T335" s="32" t="n">
        <f>544361</f>
        <v>544361.0</v>
      </c>
      <c r="U335" s="32" t="n">
        <f>4855</f>
        <v>4855.0</v>
      </c>
      <c r="V335" s="32" t="n">
        <f>2142777217</f>
        <v>2.142777217E9</v>
      </c>
      <c r="W335" s="32" t="n">
        <f>19350500</f>
        <v>1.93505E7</v>
      </c>
      <c r="X335" s="36" t="n">
        <f>21</f>
        <v>21.0</v>
      </c>
    </row>
    <row r="336">
      <c r="A336" s="27" t="s">
        <v>42</v>
      </c>
      <c r="B336" s="27" t="s">
        <v>1051</v>
      </c>
      <c r="C336" s="27" t="s">
        <v>1052</v>
      </c>
      <c r="D336" s="27" t="s">
        <v>1053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5982</f>
        <v>5982.0</v>
      </c>
      <c r="L336" s="34" t="s">
        <v>48</v>
      </c>
      <c r="M336" s="33" t="n">
        <f>6214</f>
        <v>6214.0</v>
      </c>
      <c r="N336" s="34" t="s">
        <v>68</v>
      </c>
      <c r="O336" s="33" t="n">
        <f>5977</f>
        <v>5977.0</v>
      </c>
      <c r="P336" s="34" t="s">
        <v>73</v>
      </c>
      <c r="Q336" s="33" t="n">
        <f>6037</f>
        <v>6037.0</v>
      </c>
      <c r="R336" s="34" t="s">
        <v>50</v>
      </c>
      <c r="S336" s="35" t="n">
        <f>6015.35</f>
        <v>6015.35</v>
      </c>
      <c r="T336" s="32" t="n">
        <f>209218</f>
        <v>209218.0</v>
      </c>
      <c r="U336" s="32" t="n">
        <f>200012</f>
        <v>200012.0</v>
      </c>
      <c r="V336" s="32" t="n">
        <f>1256293658</f>
        <v>1.256293658E9</v>
      </c>
      <c r="W336" s="32" t="n">
        <f>1200793256</f>
        <v>1.200793256E9</v>
      </c>
      <c r="X336" s="36" t="n">
        <f>20</f>
        <v>20.0</v>
      </c>
    </row>
    <row r="337">
      <c r="A337" s="27" t="s">
        <v>42</v>
      </c>
      <c r="B337" s="27" t="s">
        <v>1054</v>
      </c>
      <c r="C337" s="27" t="s">
        <v>1055</v>
      </c>
      <c r="D337" s="27" t="s">
        <v>1056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3439</f>
        <v>3439.0</v>
      </c>
      <c r="L337" s="34" t="s">
        <v>48</v>
      </c>
      <c r="M337" s="33" t="n">
        <f>3479</f>
        <v>3479.0</v>
      </c>
      <c r="N337" s="34" t="s">
        <v>88</v>
      </c>
      <c r="O337" s="33" t="n">
        <f>3432</f>
        <v>3432.0</v>
      </c>
      <c r="P337" s="34" t="s">
        <v>50</v>
      </c>
      <c r="Q337" s="33" t="n">
        <f>3435</f>
        <v>3435.0</v>
      </c>
      <c r="R337" s="34" t="s">
        <v>50</v>
      </c>
      <c r="S337" s="35" t="n">
        <f>3461.1</f>
        <v>3461.1</v>
      </c>
      <c r="T337" s="32" t="n">
        <f>15077</f>
        <v>15077.0</v>
      </c>
      <c r="U337" s="32" t="n">
        <f>2</f>
        <v>2.0</v>
      </c>
      <c r="V337" s="32" t="n">
        <f>52105593</f>
        <v>5.2105593E7</v>
      </c>
      <c r="W337" s="32" t="n">
        <f>6908</f>
        <v>6908.0</v>
      </c>
      <c r="X337" s="36" t="n">
        <f>21</f>
        <v>21.0</v>
      </c>
    </row>
    <row r="338">
      <c r="A338" s="27" t="s">
        <v>42</v>
      </c>
      <c r="B338" s="27" t="s">
        <v>1057</v>
      </c>
      <c r="C338" s="27" t="s">
        <v>1058</v>
      </c>
      <c r="D338" s="27" t="s">
        <v>1059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10.0</v>
      </c>
      <c r="K338" s="33" t="n">
        <f>596.9</f>
        <v>596.9</v>
      </c>
      <c r="L338" s="34" t="s">
        <v>73</v>
      </c>
      <c r="M338" s="33" t="n">
        <f>601.9</f>
        <v>601.9</v>
      </c>
      <c r="N338" s="34" t="s">
        <v>200</v>
      </c>
      <c r="O338" s="33" t="n">
        <f>587</f>
        <v>587.0</v>
      </c>
      <c r="P338" s="34" t="s">
        <v>50</v>
      </c>
      <c r="Q338" s="33" t="n">
        <f>590.6</f>
        <v>590.6</v>
      </c>
      <c r="R338" s="34" t="s">
        <v>50</v>
      </c>
      <c r="S338" s="35" t="n">
        <f>594.62</f>
        <v>594.62</v>
      </c>
      <c r="T338" s="32" t="n">
        <f>31900</f>
        <v>31900.0</v>
      </c>
      <c r="U338" s="32" t="n">
        <f>11010</f>
        <v>11010.0</v>
      </c>
      <c r="V338" s="32" t="n">
        <f>18912989</f>
        <v>1.8912989E7</v>
      </c>
      <c r="W338" s="32" t="n">
        <f>6526844</f>
        <v>6526844.0</v>
      </c>
      <c r="X338" s="36" t="n">
        <f>20</f>
        <v>20.0</v>
      </c>
    </row>
    <row r="339">
      <c r="A339" s="27" t="s">
        <v>42</v>
      </c>
      <c r="B339" s="27" t="s">
        <v>1060</v>
      </c>
      <c r="C339" s="27" t="s">
        <v>1061</v>
      </c>
      <c r="D339" s="27" t="s">
        <v>1062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10110</f>
        <v>10110.0</v>
      </c>
      <c r="L339" s="34" t="s">
        <v>48</v>
      </c>
      <c r="M339" s="33" t="n">
        <f>10440</f>
        <v>10440.0</v>
      </c>
      <c r="N339" s="34" t="s">
        <v>49</v>
      </c>
      <c r="O339" s="33" t="n">
        <f>9901</f>
        <v>9901.0</v>
      </c>
      <c r="P339" s="34" t="s">
        <v>282</v>
      </c>
      <c r="Q339" s="33" t="n">
        <f>10000</f>
        <v>10000.0</v>
      </c>
      <c r="R339" s="34" t="s">
        <v>50</v>
      </c>
      <c r="S339" s="35" t="n">
        <f>10114.57</f>
        <v>10114.57</v>
      </c>
      <c r="T339" s="32" t="n">
        <f>4621</f>
        <v>4621.0</v>
      </c>
      <c r="U339" s="32" t="str">
        <f>"－"</f>
        <v>－</v>
      </c>
      <c r="V339" s="32" t="n">
        <f>46726255</f>
        <v>4.6726255E7</v>
      </c>
      <c r="W339" s="32" t="str">
        <f>"－"</f>
        <v>－</v>
      </c>
      <c r="X339" s="36" t="n">
        <f>21</f>
        <v>21.0</v>
      </c>
    </row>
    <row r="340">
      <c r="A340" s="27" t="s">
        <v>42</v>
      </c>
      <c r="B340" s="27" t="s">
        <v>1063</v>
      </c>
      <c r="C340" s="27" t="s">
        <v>1064</v>
      </c>
      <c r="D340" s="27" t="s">
        <v>1065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1698</f>
        <v>1698.0</v>
      </c>
      <c r="L340" s="34" t="s">
        <v>48</v>
      </c>
      <c r="M340" s="33" t="n">
        <f>2215</f>
        <v>2215.0</v>
      </c>
      <c r="N340" s="34" t="s">
        <v>72</v>
      </c>
      <c r="O340" s="33" t="n">
        <f>1658</f>
        <v>1658.0</v>
      </c>
      <c r="P340" s="34" t="s">
        <v>73</v>
      </c>
      <c r="Q340" s="33" t="n">
        <f>2145</f>
        <v>2145.0</v>
      </c>
      <c r="R340" s="34" t="s">
        <v>50</v>
      </c>
      <c r="S340" s="35" t="n">
        <f>1968.62</f>
        <v>1968.62</v>
      </c>
      <c r="T340" s="32" t="n">
        <f>3253513</f>
        <v>3253513.0</v>
      </c>
      <c r="U340" s="32" t="n">
        <f>340</f>
        <v>340.0</v>
      </c>
      <c r="V340" s="32" t="n">
        <f>6703710411</f>
        <v>6.703710411E9</v>
      </c>
      <c r="W340" s="32" t="n">
        <f>691940</f>
        <v>691940.0</v>
      </c>
      <c r="X340" s="36" t="n">
        <f>21</f>
        <v>21.0</v>
      </c>
    </row>
    <row r="341">
      <c r="A341" s="27" t="s">
        <v>42</v>
      </c>
      <c r="B341" s="27" t="s">
        <v>1066</v>
      </c>
      <c r="C341" s="27" t="s">
        <v>1067</v>
      </c>
      <c r="D341" s="27" t="s">
        <v>1068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2871</f>
        <v>2871.0</v>
      </c>
      <c r="L341" s="34" t="s">
        <v>48</v>
      </c>
      <c r="M341" s="33" t="n">
        <f>3221</f>
        <v>3221.0</v>
      </c>
      <c r="N341" s="34" t="s">
        <v>184</v>
      </c>
      <c r="O341" s="33" t="n">
        <f>2867</f>
        <v>2867.0</v>
      </c>
      <c r="P341" s="34" t="s">
        <v>73</v>
      </c>
      <c r="Q341" s="33" t="n">
        <f>2941</f>
        <v>2941.0</v>
      </c>
      <c r="R341" s="34" t="s">
        <v>50</v>
      </c>
      <c r="S341" s="35" t="n">
        <f>3018.38</f>
        <v>3018.38</v>
      </c>
      <c r="T341" s="32" t="n">
        <f>8683</f>
        <v>8683.0</v>
      </c>
      <c r="U341" s="32" t="str">
        <f>"－"</f>
        <v>－</v>
      </c>
      <c r="V341" s="32" t="n">
        <f>26425469</f>
        <v>2.6425469E7</v>
      </c>
      <c r="W341" s="32" t="str">
        <f>"－"</f>
        <v>－</v>
      </c>
      <c r="X341" s="36" t="n">
        <f>21</f>
        <v>21.0</v>
      </c>
    </row>
    <row r="342">
      <c r="A342" s="27" t="s">
        <v>42</v>
      </c>
      <c r="B342" s="27" t="s">
        <v>1069</v>
      </c>
      <c r="C342" s="27" t="s">
        <v>1070</v>
      </c>
      <c r="D342" s="27" t="s">
        <v>1071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3082</f>
        <v>3082.0</v>
      </c>
      <c r="L342" s="34" t="s">
        <v>48</v>
      </c>
      <c r="M342" s="33" t="n">
        <f>3832</f>
        <v>3832.0</v>
      </c>
      <c r="N342" s="34" t="s">
        <v>84</v>
      </c>
      <c r="O342" s="33" t="n">
        <f>3063</f>
        <v>3063.0</v>
      </c>
      <c r="P342" s="34" t="s">
        <v>48</v>
      </c>
      <c r="Q342" s="33" t="n">
        <f>3782</f>
        <v>3782.0</v>
      </c>
      <c r="R342" s="34" t="s">
        <v>50</v>
      </c>
      <c r="S342" s="35" t="n">
        <f>3525.48</f>
        <v>3525.48</v>
      </c>
      <c r="T342" s="32" t="n">
        <f>151558</f>
        <v>151558.0</v>
      </c>
      <c r="U342" s="32" t="n">
        <f>180</f>
        <v>180.0</v>
      </c>
      <c r="V342" s="32" t="n">
        <f>550224568</f>
        <v>5.50224568E8</v>
      </c>
      <c r="W342" s="32" t="n">
        <f>599230</f>
        <v>599230.0</v>
      </c>
      <c r="X342" s="36" t="n">
        <f>21</f>
        <v>21.0</v>
      </c>
    </row>
    <row r="343">
      <c r="A343" s="27" t="s">
        <v>42</v>
      </c>
      <c r="B343" s="27" t="s">
        <v>1072</v>
      </c>
      <c r="C343" s="27" t="s">
        <v>1073</v>
      </c>
      <c r="D343" s="27" t="s">
        <v>1074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8939</f>
        <v>8939.0</v>
      </c>
      <c r="L343" s="34" t="s">
        <v>48</v>
      </c>
      <c r="M343" s="33" t="n">
        <f>9025</f>
        <v>9025.0</v>
      </c>
      <c r="N343" s="34" t="s">
        <v>80</v>
      </c>
      <c r="O343" s="33" t="n">
        <f>8640</f>
        <v>8640.0</v>
      </c>
      <c r="P343" s="34" t="s">
        <v>68</v>
      </c>
      <c r="Q343" s="33" t="n">
        <f>8991</f>
        <v>8991.0</v>
      </c>
      <c r="R343" s="34" t="s">
        <v>50</v>
      </c>
      <c r="S343" s="35" t="n">
        <f>8993.1</f>
        <v>8993.1</v>
      </c>
      <c r="T343" s="32" t="n">
        <f>348052</f>
        <v>348052.0</v>
      </c>
      <c r="U343" s="32" t="n">
        <f>342000</f>
        <v>342000.0</v>
      </c>
      <c r="V343" s="32" t="n">
        <f>3117945320</f>
        <v>3.11794532E9</v>
      </c>
      <c r="W343" s="32" t="n">
        <f>3063518708</f>
        <v>3.063518708E9</v>
      </c>
      <c r="X343" s="36" t="n">
        <f>20</f>
        <v>20.0</v>
      </c>
    </row>
    <row r="344">
      <c r="A344" s="27" t="s">
        <v>42</v>
      </c>
      <c r="B344" s="27" t="s">
        <v>1075</v>
      </c>
      <c r="C344" s="27" t="s">
        <v>1076</v>
      </c>
      <c r="D344" s="27" t="s">
        <v>1077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5180</f>
        <v>5180.0</v>
      </c>
      <c r="L344" s="34" t="s">
        <v>48</v>
      </c>
      <c r="M344" s="33" t="n">
        <f>5389</f>
        <v>5389.0</v>
      </c>
      <c r="N344" s="34" t="s">
        <v>143</v>
      </c>
      <c r="O344" s="33" t="n">
        <f>5138</f>
        <v>5138.0</v>
      </c>
      <c r="P344" s="34" t="s">
        <v>50</v>
      </c>
      <c r="Q344" s="33" t="n">
        <f>5139</f>
        <v>5139.0</v>
      </c>
      <c r="R344" s="34" t="s">
        <v>50</v>
      </c>
      <c r="S344" s="35" t="n">
        <f>5187.48</f>
        <v>5187.48</v>
      </c>
      <c r="T344" s="32" t="n">
        <f>30879</f>
        <v>30879.0</v>
      </c>
      <c r="U344" s="32" t="str">
        <f>"－"</f>
        <v>－</v>
      </c>
      <c r="V344" s="32" t="n">
        <f>160036180</f>
        <v>1.6003618E8</v>
      </c>
      <c r="W344" s="32" t="str">
        <f>"－"</f>
        <v>－</v>
      </c>
      <c r="X344" s="36" t="n">
        <f>21</f>
        <v>21.0</v>
      </c>
    </row>
    <row r="345">
      <c r="A345" s="27" t="s">
        <v>42</v>
      </c>
      <c r="B345" s="27" t="s">
        <v>1078</v>
      </c>
      <c r="C345" s="27" t="s">
        <v>1079</v>
      </c>
      <c r="D345" s="27" t="s">
        <v>1080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1125</f>
        <v>1125.0</v>
      </c>
      <c r="L345" s="34" t="s">
        <v>48</v>
      </c>
      <c r="M345" s="33" t="n">
        <f>1298</f>
        <v>1298.0</v>
      </c>
      <c r="N345" s="34" t="s">
        <v>72</v>
      </c>
      <c r="O345" s="33" t="n">
        <f>1125</f>
        <v>1125.0</v>
      </c>
      <c r="P345" s="34" t="s">
        <v>48</v>
      </c>
      <c r="Q345" s="33" t="n">
        <f>1275</f>
        <v>1275.0</v>
      </c>
      <c r="R345" s="34" t="s">
        <v>50</v>
      </c>
      <c r="S345" s="35" t="n">
        <f>1218.76</f>
        <v>1218.76</v>
      </c>
      <c r="T345" s="32" t="n">
        <f>663861</f>
        <v>663861.0</v>
      </c>
      <c r="U345" s="32" t="str">
        <f>"－"</f>
        <v>－</v>
      </c>
      <c r="V345" s="32" t="n">
        <f>800599645</f>
        <v>8.00599645E8</v>
      </c>
      <c r="W345" s="32" t="str">
        <f>"－"</f>
        <v>－</v>
      </c>
      <c r="X345" s="36" t="n">
        <f>21</f>
        <v>21.0</v>
      </c>
    </row>
    <row r="346">
      <c r="A346" s="27" t="s">
        <v>42</v>
      </c>
      <c r="B346" s="27" t="s">
        <v>1081</v>
      </c>
      <c r="C346" s="27" t="s">
        <v>1082</v>
      </c>
      <c r="D346" s="27" t="s">
        <v>1083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2181</f>
        <v>2181.0</v>
      </c>
      <c r="L346" s="34" t="s">
        <v>48</v>
      </c>
      <c r="M346" s="33" t="n">
        <f>2539</f>
        <v>2539.0</v>
      </c>
      <c r="N346" s="34" t="s">
        <v>50</v>
      </c>
      <c r="O346" s="33" t="n">
        <f>2166</f>
        <v>2166.0</v>
      </c>
      <c r="P346" s="34" t="s">
        <v>73</v>
      </c>
      <c r="Q346" s="33" t="n">
        <f>2508</f>
        <v>2508.0</v>
      </c>
      <c r="R346" s="34" t="s">
        <v>50</v>
      </c>
      <c r="S346" s="35" t="n">
        <f>2354.57</f>
        <v>2354.57</v>
      </c>
      <c r="T346" s="32" t="n">
        <f>2466147</f>
        <v>2466147.0</v>
      </c>
      <c r="U346" s="32" t="n">
        <f>360380</f>
        <v>360380.0</v>
      </c>
      <c r="V346" s="32" t="n">
        <f>5859061348</f>
        <v>5.859061348E9</v>
      </c>
      <c r="W346" s="32" t="n">
        <f>801668369</f>
        <v>8.01668369E8</v>
      </c>
      <c r="X346" s="36" t="n">
        <f>21</f>
        <v>21.0</v>
      </c>
    </row>
    <row r="347">
      <c r="A347" s="27" t="s">
        <v>42</v>
      </c>
      <c r="B347" s="27" t="s">
        <v>1084</v>
      </c>
      <c r="C347" s="27" t="s">
        <v>1085</v>
      </c>
      <c r="D347" s="27" t="s">
        <v>1086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1385</f>
        <v>1385.0</v>
      </c>
      <c r="L347" s="34" t="s">
        <v>48</v>
      </c>
      <c r="M347" s="33" t="n">
        <f>1594</f>
        <v>1594.0</v>
      </c>
      <c r="N347" s="34" t="s">
        <v>50</v>
      </c>
      <c r="O347" s="33" t="n">
        <f>1365</f>
        <v>1365.0</v>
      </c>
      <c r="P347" s="34" t="s">
        <v>73</v>
      </c>
      <c r="Q347" s="33" t="n">
        <f>1571</f>
        <v>1571.0</v>
      </c>
      <c r="R347" s="34" t="s">
        <v>50</v>
      </c>
      <c r="S347" s="35" t="n">
        <f>1486.52</f>
        <v>1486.52</v>
      </c>
      <c r="T347" s="32" t="n">
        <f>8868039</f>
        <v>8868039.0</v>
      </c>
      <c r="U347" s="32" t="n">
        <f>7451799</f>
        <v>7451799.0</v>
      </c>
      <c r="V347" s="32" t="n">
        <f>13598889102</f>
        <v>1.3598889102E10</v>
      </c>
      <c r="W347" s="32" t="n">
        <f>11466082161</f>
        <v>1.1466082161E10</v>
      </c>
      <c r="X347" s="36" t="n">
        <f>21</f>
        <v>21.0</v>
      </c>
    </row>
    <row r="348">
      <c r="A348" s="27" t="s">
        <v>42</v>
      </c>
      <c r="B348" s="27" t="s">
        <v>1087</v>
      </c>
      <c r="C348" s="27" t="s">
        <v>1088</v>
      </c>
      <c r="D348" s="27" t="s">
        <v>1089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15140</f>
        <v>15140.0</v>
      </c>
      <c r="L348" s="34" t="s">
        <v>48</v>
      </c>
      <c r="M348" s="33" t="n">
        <f>15300</f>
        <v>15300.0</v>
      </c>
      <c r="N348" s="34" t="s">
        <v>73</v>
      </c>
      <c r="O348" s="33" t="n">
        <f>13115</f>
        <v>13115.0</v>
      </c>
      <c r="P348" s="34" t="s">
        <v>50</v>
      </c>
      <c r="Q348" s="33" t="n">
        <f>13310</f>
        <v>13310.0</v>
      </c>
      <c r="R348" s="34" t="s">
        <v>50</v>
      </c>
      <c r="S348" s="35" t="n">
        <f>14102.14</f>
        <v>14102.14</v>
      </c>
      <c r="T348" s="32" t="n">
        <f>132599</f>
        <v>132599.0</v>
      </c>
      <c r="U348" s="32" t="n">
        <f>498</f>
        <v>498.0</v>
      </c>
      <c r="V348" s="32" t="n">
        <f>1882753122</f>
        <v>1.882753122E9</v>
      </c>
      <c r="W348" s="32" t="n">
        <f>7332922</f>
        <v>7332922.0</v>
      </c>
      <c r="X348" s="36" t="n">
        <f>21</f>
        <v>21.0</v>
      </c>
    </row>
    <row r="349">
      <c r="A349" s="27" t="s">
        <v>42</v>
      </c>
      <c r="B349" s="27" t="s">
        <v>1090</v>
      </c>
      <c r="C349" s="27" t="s">
        <v>1091</v>
      </c>
      <c r="D349" s="27" t="s">
        <v>1092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3755</f>
        <v>3755.0</v>
      </c>
      <c r="L349" s="34" t="s">
        <v>48</v>
      </c>
      <c r="M349" s="33" t="n">
        <f>3801</f>
        <v>3801.0</v>
      </c>
      <c r="N349" s="34" t="s">
        <v>50</v>
      </c>
      <c r="O349" s="33" t="n">
        <f>3690</f>
        <v>3690.0</v>
      </c>
      <c r="P349" s="34" t="s">
        <v>60</v>
      </c>
      <c r="Q349" s="33" t="n">
        <f>3724</f>
        <v>3724.0</v>
      </c>
      <c r="R349" s="34" t="s">
        <v>50</v>
      </c>
      <c r="S349" s="35" t="n">
        <f>3744.86</f>
        <v>3744.86</v>
      </c>
      <c r="T349" s="32" t="n">
        <f>242987</f>
        <v>242987.0</v>
      </c>
      <c r="U349" s="32" t="n">
        <f>212002</f>
        <v>212002.0</v>
      </c>
      <c r="V349" s="32" t="n">
        <f>910417732</f>
        <v>9.10417732E8</v>
      </c>
      <c r="W349" s="32" t="n">
        <f>794373568</f>
        <v>7.94373568E8</v>
      </c>
      <c r="X349" s="36" t="n">
        <f>21</f>
        <v>21.0</v>
      </c>
    </row>
    <row r="350">
      <c r="A350" s="27" t="s">
        <v>42</v>
      </c>
      <c r="B350" s="27" t="s">
        <v>1093</v>
      </c>
      <c r="C350" s="27" t="s">
        <v>1094</v>
      </c>
      <c r="D350" s="27" t="s">
        <v>1095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5473</f>
        <v>5473.0</v>
      </c>
      <c r="L350" s="34" t="s">
        <v>48</v>
      </c>
      <c r="M350" s="33" t="n">
        <f>5804</f>
        <v>5804.0</v>
      </c>
      <c r="N350" s="34" t="s">
        <v>644</v>
      </c>
      <c r="O350" s="33" t="n">
        <f>5414</f>
        <v>5414.0</v>
      </c>
      <c r="P350" s="34" t="s">
        <v>73</v>
      </c>
      <c r="Q350" s="33" t="n">
        <f>5671</f>
        <v>5671.0</v>
      </c>
      <c r="R350" s="34" t="s">
        <v>50</v>
      </c>
      <c r="S350" s="35" t="n">
        <f>5613.9</f>
        <v>5613.9</v>
      </c>
      <c r="T350" s="32" t="n">
        <f>587201</f>
        <v>587201.0</v>
      </c>
      <c r="U350" s="32" t="n">
        <f>504330</f>
        <v>504330.0</v>
      </c>
      <c r="V350" s="32" t="n">
        <f>3284886709</f>
        <v>3.284886709E9</v>
      </c>
      <c r="W350" s="32" t="n">
        <f>2819147813</f>
        <v>2.819147813E9</v>
      </c>
      <c r="X350" s="36" t="n">
        <f>21</f>
        <v>21.0</v>
      </c>
    </row>
    <row r="351">
      <c r="A351" s="27" t="s">
        <v>42</v>
      </c>
      <c r="B351" s="27" t="s">
        <v>1096</v>
      </c>
      <c r="C351" s="27" t="s">
        <v>1097</v>
      </c>
      <c r="D351" s="27" t="s">
        <v>1098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2902</f>
        <v>2902.0</v>
      </c>
      <c r="L351" s="34" t="s">
        <v>48</v>
      </c>
      <c r="M351" s="33" t="n">
        <f>3340</f>
        <v>3340.0</v>
      </c>
      <c r="N351" s="34" t="s">
        <v>50</v>
      </c>
      <c r="O351" s="33" t="n">
        <f>2869</f>
        <v>2869.0</v>
      </c>
      <c r="P351" s="34" t="s">
        <v>73</v>
      </c>
      <c r="Q351" s="33" t="n">
        <f>3285</f>
        <v>3285.0</v>
      </c>
      <c r="R351" s="34" t="s">
        <v>50</v>
      </c>
      <c r="S351" s="35" t="n">
        <f>3118.19</f>
        <v>3118.19</v>
      </c>
      <c r="T351" s="32" t="n">
        <f>2182802</f>
        <v>2182802.0</v>
      </c>
      <c r="U351" s="32" t="n">
        <f>1460769</f>
        <v>1460769.0</v>
      </c>
      <c r="V351" s="32" t="n">
        <f>6747053569</f>
        <v>6.747053569E9</v>
      </c>
      <c r="W351" s="32" t="n">
        <f>4552545933</f>
        <v>4.552545933E9</v>
      </c>
      <c r="X351" s="36" t="n">
        <f>21</f>
        <v>21.0</v>
      </c>
    </row>
    <row r="352">
      <c r="A352" s="27" t="s">
        <v>42</v>
      </c>
      <c r="B352" s="27" t="s">
        <v>1099</v>
      </c>
      <c r="C352" s="27" t="s">
        <v>1100</v>
      </c>
      <c r="D352" s="27" t="s">
        <v>1101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2265</f>
        <v>2265.0</v>
      </c>
      <c r="L352" s="34" t="s">
        <v>48</v>
      </c>
      <c r="M352" s="33" t="n">
        <f>2410</f>
        <v>2410.0</v>
      </c>
      <c r="N352" s="34" t="s">
        <v>80</v>
      </c>
      <c r="O352" s="33" t="n">
        <f>2243</f>
        <v>2243.0</v>
      </c>
      <c r="P352" s="34" t="s">
        <v>73</v>
      </c>
      <c r="Q352" s="33" t="n">
        <f>2360</f>
        <v>2360.0</v>
      </c>
      <c r="R352" s="34" t="s">
        <v>50</v>
      </c>
      <c r="S352" s="35" t="n">
        <f>2342.52</f>
        <v>2342.52</v>
      </c>
      <c r="T352" s="32" t="n">
        <f>1637952</f>
        <v>1637952.0</v>
      </c>
      <c r="U352" s="32" t="n">
        <f>1308150</f>
        <v>1308150.0</v>
      </c>
      <c r="V352" s="32" t="n">
        <f>3842371738</f>
        <v>3.842371738E9</v>
      </c>
      <c r="W352" s="32" t="n">
        <f>3063754198</f>
        <v>3.063754198E9</v>
      </c>
      <c r="X352" s="36" t="n">
        <f>21</f>
        <v>21.0</v>
      </c>
    </row>
    <row r="353">
      <c r="A353" s="27" t="s">
        <v>42</v>
      </c>
      <c r="B353" s="27" t="s">
        <v>1102</v>
      </c>
      <c r="C353" s="27" t="s">
        <v>1103</v>
      </c>
      <c r="D353" s="27" t="s">
        <v>1104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2640</f>
        <v>2640.0</v>
      </c>
      <c r="L353" s="34" t="s">
        <v>48</v>
      </c>
      <c r="M353" s="33" t="n">
        <f>3031</f>
        <v>3031.0</v>
      </c>
      <c r="N353" s="34" t="s">
        <v>200</v>
      </c>
      <c r="O353" s="33" t="n">
        <f>2602</f>
        <v>2602.0</v>
      </c>
      <c r="P353" s="34" t="s">
        <v>48</v>
      </c>
      <c r="Q353" s="33" t="n">
        <f>2894</f>
        <v>2894.0</v>
      </c>
      <c r="R353" s="34" t="s">
        <v>50</v>
      </c>
      <c r="S353" s="35" t="n">
        <f>2816.71</f>
        <v>2816.71</v>
      </c>
      <c r="T353" s="32" t="n">
        <f>15953</f>
        <v>15953.0</v>
      </c>
      <c r="U353" s="32" t="n">
        <f>600</f>
        <v>600.0</v>
      </c>
      <c r="V353" s="32" t="n">
        <f>45097753</f>
        <v>4.5097753E7</v>
      </c>
      <c r="W353" s="32" t="n">
        <f>1666980</f>
        <v>1666980.0</v>
      </c>
      <c r="X353" s="36" t="n">
        <f>21</f>
        <v>21.0</v>
      </c>
    </row>
    <row r="354">
      <c r="A354" s="27" t="s">
        <v>42</v>
      </c>
      <c r="B354" s="27" t="s">
        <v>1105</v>
      </c>
      <c r="C354" s="27" t="s">
        <v>1106</v>
      </c>
      <c r="D354" s="27" t="s">
        <v>1107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2715</f>
        <v>2715.0</v>
      </c>
      <c r="L354" s="34" t="s">
        <v>60</v>
      </c>
      <c r="M354" s="33" t="n">
        <f>2950</f>
        <v>2950.0</v>
      </c>
      <c r="N354" s="34" t="s">
        <v>80</v>
      </c>
      <c r="O354" s="33" t="n">
        <f>2703</f>
        <v>2703.0</v>
      </c>
      <c r="P354" s="34" t="s">
        <v>220</v>
      </c>
      <c r="Q354" s="33" t="n">
        <f>2798</f>
        <v>2798.0</v>
      </c>
      <c r="R354" s="34" t="s">
        <v>50</v>
      </c>
      <c r="S354" s="35" t="n">
        <f>2807.47</f>
        <v>2807.47</v>
      </c>
      <c r="T354" s="32" t="n">
        <f>3291</f>
        <v>3291.0</v>
      </c>
      <c r="U354" s="32" t="n">
        <f>10</f>
        <v>10.0</v>
      </c>
      <c r="V354" s="32" t="n">
        <f>9243246</f>
        <v>9243246.0</v>
      </c>
      <c r="W354" s="32" t="n">
        <f>28098</f>
        <v>28098.0</v>
      </c>
      <c r="X354" s="36" t="n">
        <f>17</f>
        <v>17.0</v>
      </c>
    </row>
    <row r="355">
      <c r="A355" s="27" t="s">
        <v>42</v>
      </c>
      <c r="B355" s="27" t="s">
        <v>1108</v>
      </c>
      <c r="C355" s="27" t="s">
        <v>1109</v>
      </c>
      <c r="D355" s="27" t="s">
        <v>1110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5248</f>
        <v>5248.0</v>
      </c>
      <c r="L355" s="34" t="s">
        <v>48</v>
      </c>
      <c r="M355" s="33" t="n">
        <f>5600</f>
        <v>5600.0</v>
      </c>
      <c r="N355" s="34" t="s">
        <v>200</v>
      </c>
      <c r="O355" s="33" t="n">
        <f>5088</f>
        <v>5088.0</v>
      </c>
      <c r="P355" s="34" t="s">
        <v>72</v>
      </c>
      <c r="Q355" s="33" t="n">
        <f>5120</f>
        <v>5120.0</v>
      </c>
      <c r="R355" s="34" t="s">
        <v>50</v>
      </c>
      <c r="S355" s="35" t="n">
        <f>5263.86</f>
        <v>5263.86</v>
      </c>
      <c r="T355" s="32" t="n">
        <f>75057</f>
        <v>75057.0</v>
      </c>
      <c r="U355" s="32" t="n">
        <f>61050</f>
        <v>61050.0</v>
      </c>
      <c r="V355" s="32" t="n">
        <f>391982929</f>
        <v>3.91982929E8</v>
      </c>
      <c r="W355" s="32" t="n">
        <f>317859600</f>
        <v>3.178596E8</v>
      </c>
      <c r="X355" s="36" t="n">
        <f>21</f>
        <v>21.0</v>
      </c>
    </row>
    <row r="356">
      <c r="A356" s="27" t="s">
        <v>42</v>
      </c>
      <c r="B356" s="27" t="s">
        <v>1111</v>
      </c>
      <c r="C356" s="27" t="s">
        <v>1112</v>
      </c>
      <c r="D356" s="27" t="s">
        <v>1113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343.7</f>
        <v>343.7</v>
      </c>
      <c r="L356" s="34" t="s">
        <v>48</v>
      </c>
      <c r="M356" s="33" t="n">
        <f>363</f>
        <v>363.0</v>
      </c>
      <c r="N356" s="34" t="s">
        <v>184</v>
      </c>
      <c r="O356" s="33" t="n">
        <f>340.5</f>
        <v>340.5</v>
      </c>
      <c r="P356" s="34" t="s">
        <v>73</v>
      </c>
      <c r="Q356" s="33" t="n">
        <f>349.4</f>
        <v>349.4</v>
      </c>
      <c r="R356" s="34" t="s">
        <v>50</v>
      </c>
      <c r="S356" s="35" t="n">
        <f>351.62</f>
        <v>351.62</v>
      </c>
      <c r="T356" s="32" t="n">
        <f>23530</f>
        <v>23530.0</v>
      </c>
      <c r="U356" s="32" t="n">
        <f>50</f>
        <v>50.0</v>
      </c>
      <c r="V356" s="32" t="n">
        <f>8294558</f>
        <v>8294558.0</v>
      </c>
      <c r="W356" s="32" t="n">
        <f>17730</f>
        <v>17730.0</v>
      </c>
      <c r="X356" s="36" t="n">
        <f>21</f>
        <v>21.0</v>
      </c>
    </row>
    <row r="357">
      <c r="A357" s="27" t="s">
        <v>42</v>
      </c>
      <c r="B357" s="27" t="s">
        <v>1114</v>
      </c>
      <c r="C357" s="27" t="s">
        <v>1115</v>
      </c>
      <c r="D357" s="27" t="s">
        <v>1116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182</f>
        <v>182.0</v>
      </c>
      <c r="L357" s="34" t="s">
        <v>48</v>
      </c>
      <c r="M357" s="33" t="n">
        <f>191</f>
        <v>191.0</v>
      </c>
      <c r="N357" s="34" t="s">
        <v>88</v>
      </c>
      <c r="O357" s="33" t="n">
        <f>182</f>
        <v>182.0</v>
      </c>
      <c r="P357" s="34" t="s">
        <v>48</v>
      </c>
      <c r="Q357" s="33" t="n">
        <f>184.9</f>
        <v>184.9</v>
      </c>
      <c r="R357" s="34" t="s">
        <v>50</v>
      </c>
      <c r="S357" s="35" t="n">
        <f>187.39</f>
        <v>187.39</v>
      </c>
      <c r="T357" s="32" t="n">
        <f>1405450</f>
        <v>1405450.0</v>
      </c>
      <c r="U357" s="32" t="n">
        <f>1300200</f>
        <v>1300200.0</v>
      </c>
      <c r="V357" s="32" t="n">
        <f>264305653</f>
        <v>2.64305653E8</v>
      </c>
      <c r="W357" s="32" t="n">
        <f>244479797</f>
        <v>2.44479797E8</v>
      </c>
      <c r="X357" s="36" t="n">
        <f>21</f>
        <v>21.0</v>
      </c>
    </row>
    <row r="358">
      <c r="A358" s="27" t="s">
        <v>42</v>
      </c>
      <c r="B358" s="27" t="s">
        <v>1117</v>
      </c>
      <c r="C358" s="27" t="s">
        <v>1118</v>
      </c>
      <c r="D358" s="27" t="s">
        <v>1119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10.0</v>
      </c>
      <c r="K358" s="33" t="n">
        <f>629.5</f>
        <v>629.5</v>
      </c>
      <c r="L358" s="34" t="s">
        <v>48</v>
      </c>
      <c r="M358" s="33" t="n">
        <f>637</f>
        <v>637.0</v>
      </c>
      <c r="N358" s="34" t="s">
        <v>50</v>
      </c>
      <c r="O358" s="33" t="n">
        <f>619</f>
        <v>619.0</v>
      </c>
      <c r="P358" s="34" t="s">
        <v>50</v>
      </c>
      <c r="Q358" s="33" t="n">
        <f>619</f>
        <v>619.0</v>
      </c>
      <c r="R358" s="34" t="s">
        <v>50</v>
      </c>
      <c r="S358" s="35" t="n">
        <f>625.81</f>
        <v>625.81</v>
      </c>
      <c r="T358" s="32" t="n">
        <f>1220</f>
        <v>1220.0</v>
      </c>
      <c r="U358" s="32" t="str">
        <f>"－"</f>
        <v>－</v>
      </c>
      <c r="V358" s="32" t="n">
        <f>763517</f>
        <v>763517.0</v>
      </c>
      <c r="W358" s="32" t="str">
        <f>"－"</f>
        <v>－</v>
      </c>
      <c r="X358" s="36" t="n">
        <f>21</f>
        <v>21.0</v>
      </c>
    </row>
    <row r="359">
      <c r="A359" s="27" t="s">
        <v>42</v>
      </c>
      <c r="B359" s="27" t="s">
        <v>1120</v>
      </c>
      <c r="C359" s="27" t="s">
        <v>1121</v>
      </c>
      <c r="D359" s="27" t="s">
        <v>1122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2010</f>
        <v>2010.0</v>
      </c>
      <c r="L359" s="34" t="s">
        <v>48</v>
      </c>
      <c r="M359" s="33" t="n">
        <f>2392</f>
        <v>2392.0</v>
      </c>
      <c r="N359" s="34" t="s">
        <v>72</v>
      </c>
      <c r="O359" s="33" t="n">
        <f>1991</f>
        <v>1991.0</v>
      </c>
      <c r="P359" s="34" t="s">
        <v>73</v>
      </c>
      <c r="Q359" s="33" t="n">
        <f>2286</f>
        <v>2286.0</v>
      </c>
      <c r="R359" s="34" t="s">
        <v>50</v>
      </c>
      <c r="S359" s="35" t="n">
        <f>2198.81</f>
        <v>2198.81</v>
      </c>
      <c r="T359" s="32" t="n">
        <f>997304</f>
        <v>997304.0</v>
      </c>
      <c r="U359" s="32" t="n">
        <f>121135</f>
        <v>121135.0</v>
      </c>
      <c r="V359" s="32" t="n">
        <f>2258742281</f>
        <v>2.258742281E9</v>
      </c>
      <c r="W359" s="32" t="n">
        <f>275326966</f>
        <v>2.75326966E8</v>
      </c>
      <c r="X359" s="36" t="n">
        <f>21</f>
        <v>21.0</v>
      </c>
    </row>
    <row r="360">
      <c r="A360" s="27" t="s">
        <v>42</v>
      </c>
      <c r="B360" s="27" t="s">
        <v>1123</v>
      </c>
      <c r="C360" s="27" t="s">
        <v>1124</v>
      </c>
      <c r="D360" s="27" t="s">
        <v>1125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987</f>
        <v>987.0</v>
      </c>
      <c r="L360" s="34" t="s">
        <v>48</v>
      </c>
      <c r="M360" s="33" t="n">
        <f>1050</f>
        <v>1050.0</v>
      </c>
      <c r="N360" s="34" t="s">
        <v>49</v>
      </c>
      <c r="O360" s="33" t="n">
        <f>982</f>
        <v>982.0</v>
      </c>
      <c r="P360" s="34" t="s">
        <v>50</v>
      </c>
      <c r="Q360" s="33" t="n">
        <f>984</f>
        <v>984.0</v>
      </c>
      <c r="R360" s="34" t="s">
        <v>50</v>
      </c>
      <c r="S360" s="35" t="n">
        <f>1004.1</f>
        <v>1004.1</v>
      </c>
      <c r="T360" s="32" t="n">
        <f>668733</f>
        <v>668733.0</v>
      </c>
      <c r="U360" s="32" t="n">
        <f>579090</f>
        <v>579090.0</v>
      </c>
      <c r="V360" s="32" t="n">
        <f>659849871</f>
        <v>6.59849871E8</v>
      </c>
      <c r="W360" s="32" t="n">
        <f>570026393</f>
        <v>5.70026393E8</v>
      </c>
      <c r="X360" s="36" t="n">
        <f>21</f>
        <v>21.0</v>
      </c>
    </row>
    <row r="361">
      <c r="A361" s="27" t="s">
        <v>42</v>
      </c>
      <c r="B361" s="27" t="s">
        <v>1126</v>
      </c>
      <c r="C361" s="27" t="s">
        <v>1127</v>
      </c>
      <c r="D361" s="27" t="s">
        <v>1128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669.3</f>
        <v>669.3</v>
      </c>
      <c r="L361" s="34" t="s">
        <v>48</v>
      </c>
      <c r="M361" s="33" t="n">
        <f>699.3</f>
        <v>699.3</v>
      </c>
      <c r="N361" s="34" t="s">
        <v>60</v>
      </c>
      <c r="O361" s="33" t="n">
        <f>659.4</f>
        <v>659.4</v>
      </c>
      <c r="P361" s="34" t="s">
        <v>50</v>
      </c>
      <c r="Q361" s="33" t="n">
        <f>659.9</f>
        <v>659.9</v>
      </c>
      <c r="R361" s="34" t="s">
        <v>50</v>
      </c>
      <c r="S361" s="35" t="n">
        <f>665.1</f>
        <v>665.1</v>
      </c>
      <c r="T361" s="32" t="n">
        <f>882910</f>
        <v>882910.0</v>
      </c>
      <c r="U361" s="32" t="n">
        <f>150200</f>
        <v>150200.0</v>
      </c>
      <c r="V361" s="32" t="n">
        <f>587620044</f>
        <v>5.87620044E8</v>
      </c>
      <c r="W361" s="32" t="n">
        <f>100372891</f>
        <v>1.00372891E8</v>
      </c>
      <c r="X361" s="36" t="n">
        <f>21</f>
        <v>21.0</v>
      </c>
    </row>
    <row r="362">
      <c r="A362" s="27" t="s">
        <v>42</v>
      </c>
      <c r="B362" s="27" t="s">
        <v>1129</v>
      </c>
      <c r="C362" s="27" t="s">
        <v>1130</v>
      </c>
      <c r="D362" s="27" t="s">
        <v>1131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10.0</v>
      </c>
      <c r="K362" s="33" t="n">
        <f>637</f>
        <v>637.0</v>
      </c>
      <c r="L362" s="34" t="s">
        <v>48</v>
      </c>
      <c r="M362" s="33" t="n">
        <f>639.4</f>
        <v>639.4</v>
      </c>
      <c r="N362" s="34" t="s">
        <v>200</v>
      </c>
      <c r="O362" s="33" t="n">
        <f>628.4</f>
        <v>628.4</v>
      </c>
      <c r="P362" s="34" t="s">
        <v>50</v>
      </c>
      <c r="Q362" s="33" t="n">
        <f>628.5</f>
        <v>628.5</v>
      </c>
      <c r="R362" s="34" t="s">
        <v>50</v>
      </c>
      <c r="S362" s="35" t="n">
        <f>633.22</f>
        <v>633.22</v>
      </c>
      <c r="T362" s="32" t="n">
        <f>4769300</f>
        <v>4769300.0</v>
      </c>
      <c r="U362" s="32" t="n">
        <f>3608980</f>
        <v>3608980.0</v>
      </c>
      <c r="V362" s="32" t="n">
        <f>3020128107</f>
        <v>3.020128107E9</v>
      </c>
      <c r="W362" s="32" t="n">
        <f>2281473709</f>
        <v>2.281473709E9</v>
      </c>
      <c r="X362" s="36" t="n">
        <f>21</f>
        <v>21.0</v>
      </c>
    </row>
    <row r="363">
      <c r="A363" s="27" t="s">
        <v>42</v>
      </c>
      <c r="B363" s="27" t="s">
        <v>1132</v>
      </c>
      <c r="C363" s="27" t="s">
        <v>1133</v>
      </c>
      <c r="D363" s="27" t="s">
        <v>1134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1353</f>
        <v>1353.0</v>
      </c>
      <c r="L363" s="34" t="s">
        <v>48</v>
      </c>
      <c r="M363" s="33" t="n">
        <f>1457</f>
        <v>1457.0</v>
      </c>
      <c r="N363" s="34" t="s">
        <v>184</v>
      </c>
      <c r="O363" s="33" t="n">
        <f>1334</f>
        <v>1334.0</v>
      </c>
      <c r="P363" s="34" t="s">
        <v>73</v>
      </c>
      <c r="Q363" s="33" t="n">
        <f>1440</f>
        <v>1440.0</v>
      </c>
      <c r="R363" s="34" t="s">
        <v>50</v>
      </c>
      <c r="S363" s="35" t="n">
        <f>1407.71</f>
        <v>1407.71</v>
      </c>
      <c r="T363" s="32" t="n">
        <f>35562</f>
        <v>35562.0</v>
      </c>
      <c r="U363" s="32" t="str">
        <f>"－"</f>
        <v>－</v>
      </c>
      <c r="V363" s="32" t="n">
        <f>49876638</f>
        <v>4.9876638E7</v>
      </c>
      <c r="W363" s="32" t="str">
        <f>"－"</f>
        <v>－</v>
      </c>
      <c r="X363" s="36" t="n">
        <f>21</f>
        <v>21.0</v>
      </c>
    </row>
    <row r="364">
      <c r="A364" s="27" t="s">
        <v>42</v>
      </c>
      <c r="B364" s="27" t="s">
        <v>1135</v>
      </c>
      <c r="C364" s="27" t="s">
        <v>1136</v>
      </c>
      <c r="D364" s="27" t="s">
        <v>1137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2864</f>
        <v>2864.0</v>
      </c>
      <c r="L364" s="34" t="s">
        <v>48</v>
      </c>
      <c r="M364" s="33" t="n">
        <f>3050</f>
        <v>3050.0</v>
      </c>
      <c r="N364" s="34" t="s">
        <v>184</v>
      </c>
      <c r="O364" s="33" t="n">
        <f>2822</f>
        <v>2822.0</v>
      </c>
      <c r="P364" s="34" t="s">
        <v>60</v>
      </c>
      <c r="Q364" s="33" t="n">
        <f>2912</f>
        <v>2912.0</v>
      </c>
      <c r="R364" s="34" t="s">
        <v>50</v>
      </c>
      <c r="S364" s="35" t="n">
        <f>2957.52</f>
        <v>2957.52</v>
      </c>
      <c r="T364" s="32" t="n">
        <f>94291</f>
        <v>94291.0</v>
      </c>
      <c r="U364" s="32" t="n">
        <f>17465</f>
        <v>17465.0</v>
      </c>
      <c r="V364" s="32" t="n">
        <f>278717339</f>
        <v>2.78717339E8</v>
      </c>
      <c r="W364" s="32" t="n">
        <f>51860884</f>
        <v>5.1860884E7</v>
      </c>
      <c r="X364" s="36" t="n">
        <f>21</f>
        <v>21.0</v>
      </c>
    </row>
    <row r="365">
      <c r="A365" s="27" t="s">
        <v>42</v>
      </c>
      <c r="B365" s="27" t="s">
        <v>1138</v>
      </c>
      <c r="C365" s="27" t="s">
        <v>1139</v>
      </c>
      <c r="D365" s="27" t="s">
        <v>1140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2974</f>
        <v>2974.0</v>
      </c>
      <c r="L365" s="34" t="s">
        <v>48</v>
      </c>
      <c r="M365" s="33" t="n">
        <f>3170</f>
        <v>3170.0</v>
      </c>
      <c r="N365" s="34" t="s">
        <v>80</v>
      </c>
      <c r="O365" s="33" t="n">
        <f>2942</f>
        <v>2942.0</v>
      </c>
      <c r="P365" s="34" t="s">
        <v>73</v>
      </c>
      <c r="Q365" s="33" t="n">
        <f>3050</f>
        <v>3050.0</v>
      </c>
      <c r="R365" s="34" t="s">
        <v>50</v>
      </c>
      <c r="S365" s="35" t="n">
        <f>3075.29</f>
        <v>3075.29</v>
      </c>
      <c r="T365" s="32" t="n">
        <f>380697</f>
        <v>380697.0</v>
      </c>
      <c r="U365" s="32" t="n">
        <f>136310</f>
        <v>136310.0</v>
      </c>
      <c r="V365" s="32" t="n">
        <f>1162609933</f>
        <v>1.162609933E9</v>
      </c>
      <c r="W365" s="32" t="n">
        <f>414314003</f>
        <v>4.14314003E8</v>
      </c>
      <c r="X365" s="36" t="n">
        <f>21</f>
        <v>21.0</v>
      </c>
    </row>
    <row r="366">
      <c r="A366" s="27" t="s">
        <v>42</v>
      </c>
      <c r="B366" s="27" t="s">
        <v>1141</v>
      </c>
      <c r="C366" s="27" t="s">
        <v>1142</v>
      </c>
      <c r="D366" s="27" t="s">
        <v>1143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5802</f>
        <v>5802.0</v>
      </c>
      <c r="L366" s="34" t="s">
        <v>48</v>
      </c>
      <c r="M366" s="33" t="n">
        <f>5975</f>
        <v>5975.0</v>
      </c>
      <c r="N366" s="34" t="s">
        <v>644</v>
      </c>
      <c r="O366" s="33" t="n">
        <f>5720</f>
        <v>5720.0</v>
      </c>
      <c r="P366" s="34" t="s">
        <v>60</v>
      </c>
      <c r="Q366" s="33" t="n">
        <f>5890</f>
        <v>5890.0</v>
      </c>
      <c r="R366" s="34" t="s">
        <v>50</v>
      </c>
      <c r="S366" s="35" t="n">
        <f>5882.9</f>
        <v>5882.9</v>
      </c>
      <c r="T366" s="32" t="n">
        <f>3455</f>
        <v>3455.0</v>
      </c>
      <c r="U366" s="32" t="n">
        <f>22</f>
        <v>22.0</v>
      </c>
      <c r="V366" s="32" t="n">
        <f>20264938</f>
        <v>2.0264938E7</v>
      </c>
      <c r="W366" s="32" t="n">
        <f>129844</f>
        <v>129844.0</v>
      </c>
      <c r="X366" s="36" t="n">
        <f>21</f>
        <v>21.0</v>
      </c>
    </row>
    <row r="367">
      <c r="A367" s="27" t="s">
        <v>42</v>
      </c>
      <c r="B367" s="27" t="s">
        <v>1144</v>
      </c>
      <c r="C367" s="27" t="s">
        <v>1145</v>
      </c>
      <c r="D367" s="27" t="s">
        <v>1146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3951</f>
        <v>3951.0</v>
      </c>
      <c r="L367" s="34" t="s">
        <v>60</v>
      </c>
      <c r="M367" s="33" t="n">
        <f>4016</f>
        <v>4016.0</v>
      </c>
      <c r="N367" s="34" t="s">
        <v>68</v>
      </c>
      <c r="O367" s="33" t="n">
        <f>3947</f>
        <v>3947.0</v>
      </c>
      <c r="P367" s="34" t="s">
        <v>50</v>
      </c>
      <c r="Q367" s="33" t="n">
        <f>3947</f>
        <v>3947.0</v>
      </c>
      <c r="R367" s="34" t="s">
        <v>50</v>
      </c>
      <c r="S367" s="35" t="n">
        <f>3973.13</f>
        <v>3973.13</v>
      </c>
      <c r="T367" s="32" t="n">
        <f>316</f>
        <v>316.0</v>
      </c>
      <c r="U367" s="32" t="str">
        <f>"－"</f>
        <v>－</v>
      </c>
      <c r="V367" s="32" t="n">
        <f>1253052</f>
        <v>1253052.0</v>
      </c>
      <c r="W367" s="32" t="str">
        <f>"－"</f>
        <v>－</v>
      </c>
      <c r="X367" s="36" t="n">
        <f>8</f>
        <v>8.0</v>
      </c>
    </row>
    <row r="368">
      <c r="A368" s="27" t="s">
        <v>42</v>
      </c>
      <c r="B368" s="27" t="s">
        <v>1147</v>
      </c>
      <c r="C368" s="27" t="s">
        <v>1148</v>
      </c>
      <c r="D368" s="27" t="s">
        <v>1149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1242</f>
        <v>1242.0</v>
      </c>
      <c r="L368" s="34" t="s">
        <v>48</v>
      </c>
      <c r="M368" s="33" t="n">
        <f>1419</f>
        <v>1419.0</v>
      </c>
      <c r="N368" s="34" t="s">
        <v>644</v>
      </c>
      <c r="O368" s="33" t="n">
        <f>1236</f>
        <v>1236.0</v>
      </c>
      <c r="P368" s="34" t="s">
        <v>48</v>
      </c>
      <c r="Q368" s="33" t="n">
        <f>1362</f>
        <v>1362.0</v>
      </c>
      <c r="R368" s="34" t="s">
        <v>50</v>
      </c>
      <c r="S368" s="35" t="n">
        <f>1342.29</f>
        <v>1342.29</v>
      </c>
      <c r="T368" s="32" t="n">
        <f>63620</f>
        <v>63620.0</v>
      </c>
      <c r="U368" s="32" t="str">
        <f>"－"</f>
        <v>－</v>
      </c>
      <c r="V368" s="32" t="n">
        <f>82753604</f>
        <v>8.2753604E7</v>
      </c>
      <c r="W368" s="32" t="str">
        <f>"－"</f>
        <v>－</v>
      </c>
      <c r="X368" s="36" t="n">
        <f>21</f>
        <v>21.0</v>
      </c>
    </row>
    <row r="369">
      <c r="A369" s="27" t="s">
        <v>42</v>
      </c>
      <c r="B369" s="27" t="s">
        <v>1150</v>
      </c>
      <c r="C369" s="27" t="s">
        <v>1151</v>
      </c>
      <c r="D369" s="27" t="s">
        <v>1152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1205</f>
        <v>1205.0</v>
      </c>
      <c r="L369" s="34" t="s">
        <v>48</v>
      </c>
      <c r="M369" s="33" t="n">
        <f>1272</f>
        <v>1272.0</v>
      </c>
      <c r="N369" s="34" t="s">
        <v>50</v>
      </c>
      <c r="O369" s="33" t="n">
        <f>1202</f>
        <v>1202.0</v>
      </c>
      <c r="P369" s="34" t="s">
        <v>48</v>
      </c>
      <c r="Q369" s="33" t="n">
        <f>1272</f>
        <v>1272.0</v>
      </c>
      <c r="R369" s="34" t="s">
        <v>50</v>
      </c>
      <c r="S369" s="35" t="n">
        <f>1235.19</f>
        <v>1235.19</v>
      </c>
      <c r="T369" s="32" t="n">
        <f>6186422</f>
        <v>6186422.0</v>
      </c>
      <c r="U369" s="32" t="n">
        <f>1292</f>
        <v>1292.0</v>
      </c>
      <c r="V369" s="32" t="n">
        <f>7651608146</f>
        <v>7.651608146E9</v>
      </c>
      <c r="W369" s="32" t="n">
        <f>1605377</f>
        <v>1605377.0</v>
      </c>
      <c r="X369" s="36" t="n">
        <f>21</f>
        <v>21.0</v>
      </c>
    </row>
    <row r="370">
      <c r="A370" s="27" t="s">
        <v>42</v>
      </c>
      <c r="B370" s="27" t="s">
        <v>1153</v>
      </c>
      <c r="C370" s="27" t="s">
        <v>1154</v>
      </c>
      <c r="D370" s="27" t="s">
        <v>1155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983</f>
        <v>983.0</v>
      </c>
      <c r="L370" s="34" t="s">
        <v>48</v>
      </c>
      <c r="M370" s="33" t="n">
        <f>1024</f>
        <v>1024.0</v>
      </c>
      <c r="N370" s="34" t="s">
        <v>72</v>
      </c>
      <c r="O370" s="33" t="n">
        <f>979</f>
        <v>979.0</v>
      </c>
      <c r="P370" s="34" t="s">
        <v>48</v>
      </c>
      <c r="Q370" s="33" t="n">
        <f>1019</f>
        <v>1019.0</v>
      </c>
      <c r="R370" s="34" t="s">
        <v>50</v>
      </c>
      <c r="S370" s="35" t="n">
        <f>1005.24</f>
        <v>1005.24</v>
      </c>
      <c r="T370" s="32" t="n">
        <f>708796</f>
        <v>708796.0</v>
      </c>
      <c r="U370" s="32" t="n">
        <f>290</f>
        <v>290.0</v>
      </c>
      <c r="V370" s="32" t="n">
        <f>707688880</f>
        <v>7.0768888E8</v>
      </c>
      <c r="W370" s="32" t="n">
        <f>285940</f>
        <v>285940.0</v>
      </c>
      <c r="X370" s="36" t="n">
        <f>21</f>
        <v>21.0</v>
      </c>
    </row>
    <row r="371">
      <c r="A371" s="27" t="s">
        <v>42</v>
      </c>
      <c r="B371" s="27" t="s">
        <v>1156</v>
      </c>
      <c r="C371" s="27" t="s">
        <v>1157</v>
      </c>
      <c r="D371" s="27" t="s">
        <v>1158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1480</f>
        <v>1480.0</v>
      </c>
      <c r="L371" s="34" t="s">
        <v>48</v>
      </c>
      <c r="M371" s="33" t="n">
        <f>1866</f>
        <v>1866.0</v>
      </c>
      <c r="N371" s="34" t="s">
        <v>50</v>
      </c>
      <c r="O371" s="33" t="n">
        <f>1480</f>
        <v>1480.0</v>
      </c>
      <c r="P371" s="34" t="s">
        <v>48</v>
      </c>
      <c r="Q371" s="33" t="n">
        <f>1849</f>
        <v>1849.0</v>
      </c>
      <c r="R371" s="34" t="s">
        <v>50</v>
      </c>
      <c r="S371" s="35" t="n">
        <f>1688.76</f>
        <v>1688.76</v>
      </c>
      <c r="T371" s="32" t="n">
        <f>27001</f>
        <v>27001.0</v>
      </c>
      <c r="U371" s="32" t="str">
        <f>"－"</f>
        <v>－</v>
      </c>
      <c r="V371" s="32" t="n">
        <f>44720887</f>
        <v>4.4720887E7</v>
      </c>
      <c r="W371" s="32" t="str">
        <f>"－"</f>
        <v>－</v>
      </c>
      <c r="X371" s="36" t="n">
        <f>21</f>
        <v>21.0</v>
      </c>
    </row>
    <row r="372">
      <c r="A372" s="27" t="s">
        <v>42</v>
      </c>
      <c r="B372" s="27" t="s">
        <v>1159</v>
      </c>
      <c r="C372" s="27" t="s">
        <v>1160</v>
      </c>
      <c r="D372" s="27" t="s">
        <v>1161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1081</f>
        <v>1081.0</v>
      </c>
      <c r="L372" s="34" t="s">
        <v>48</v>
      </c>
      <c r="M372" s="33" t="n">
        <f>1122</f>
        <v>1122.0</v>
      </c>
      <c r="N372" s="34" t="s">
        <v>72</v>
      </c>
      <c r="O372" s="33" t="n">
        <f>1081</f>
        <v>1081.0</v>
      </c>
      <c r="P372" s="34" t="s">
        <v>48</v>
      </c>
      <c r="Q372" s="33" t="n">
        <f>1116</f>
        <v>1116.0</v>
      </c>
      <c r="R372" s="34" t="s">
        <v>50</v>
      </c>
      <c r="S372" s="35" t="n">
        <f>1099.62</f>
        <v>1099.62</v>
      </c>
      <c r="T372" s="32" t="n">
        <f>916672</f>
        <v>916672.0</v>
      </c>
      <c r="U372" s="32" t="str">
        <f>"－"</f>
        <v>－</v>
      </c>
      <c r="V372" s="32" t="n">
        <f>1008839869</f>
        <v>1.008839869E9</v>
      </c>
      <c r="W372" s="32" t="str">
        <f>"－"</f>
        <v>－</v>
      </c>
      <c r="X372" s="36" t="n">
        <f>21</f>
        <v>21.0</v>
      </c>
    </row>
    <row r="373">
      <c r="A373" s="27" t="s">
        <v>42</v>
      </c>
      <c r="B373" s="27" t="s">
        <v>1162</v>
      </c>
      <c r="C373" s="27" t="s">
        <v>1163</v>
      </c>
      <c r="D373" s="27" t="s">
        <v>1164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50270</f>
        <v>50270.0</v>
      </c>
      <c r="L373" s="34" t="s">
        <v>48</v>
      </c>
      <c r="M373" s="33" t="n">
        <f>66790</f>
        <v>66790.0</v>
      </c>
      <c r="N373" s="34" t="s">
        <v>50</v>
      </c>
      <c r="O373" s="33" t="n">
        <f>49560</f>
        <v>49560.0</v>
      </c>
      <c r="P373" s="34" t="s">
        <v>73</v>
      </c>
      <c r="Q373" s="33" t="n">
        <f>65520</f>
        <v>65520.0</v>
      </c>
      <c r="R373" s="34" t="s">
        <v>50</v>
      </c>
      <c r="S373" s="35" t="n">
        <f>58614.29</f>
        <v>58614.29</v>
      </c>
      <c r="T373" s="32" t="n">
        <f>329975</f>
        <v>329975.0</v>
      </c>
      <c r="U373" s="32" t="n">
        <f>4176</f>
        <v>4176.0</v>
      </c>
      <c r="V373" s="32" t="n">
        <f>19644836104</f>
        <v>1.9644836104E10</v>
      </c>
      <c r="W373" s="32" t="n">
        <f>246155844</f>
        <v>2.46155844E8</v>
      </c>
      <c r="X373" s="36" t="n">
        <f>21</f>
        <v>21.0</v>
      </c>
    </row>
    <row r="374">
      <c r="A374" s="27" t="s">
        <v>42</v>
      </c>
      <c r="B374" s="27" t="s">
        <v>1165</v>
      </c>
      <c r="C374" s="27" t="s">
        <v>1166</v>
      </c>
      <c r="D374" s="27" t="s">
        <v>1167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11960</f>
        <v>11960.0</v>
      </c>
      <c r="L374" s="34" t="s">
        <v>48</v>
      </c>
      <c r="M374" s="33" t="n">
        <f>12255</f>
        <v>12255.0</v>
      </c>
      <c r="N374" s="34" t="s">
        <v>73</v>
      </c>
      <c r="O374" s="33" t="n">
        <f>8986</f>
        <v>8986.0</v>
      </c>
      <c r="P374" s="34" t="s">
        <v>50</v>
      </c>
      <c r="Q374" s="33" t="n">
        <f>9254</f>
        <v>9254.0</v>
      </c>
      <c r="R374" s="34" t="s">
        <v>50</v>
      </c>
      <c r="S374" s="35" t="n">
        <f>10415.71</f>
        <v>10415.71</v>
      </c>
      <c r="T374" s="32" t="n">
        <f>1147179</f>
        <v>1147179.0</v>
      </c>
      <c r="U374" s="32" t="n">
        <f>6099</f>
        <v>6099.0</v>
      </c>
      <c r="V374" s="32" t="n">
        <f>11997054240</f>
        <v>1.199705424E10</v>
      </c>
      <c r="W374" s="32" t="n">
        <f>66121998</f>
        <v>6.6121998E7</v>
      </c>
      <c r="X374" s="36" t="n">
        <f>21</f>
        <v>21.0</v>
      </c>
    </row>
    <row r="375">
      <c r="A375" s="27" t="s">
        <v>42</v>
      </c>
      <c r="B375" s="27" t="s">
        <v>1168</v>
      </c>
      <c r="C375" s="27" t="s">
        <v>1169</v>
      </c>
      <c r="D375" s="27" t="s">
        <v>1170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2647</f>
        <v>2647.0</v>
      </c>
      <c r="L375" s="34" t="s">
        <v>73</v>
      </c>
      <c r="M375" s="33" t="n">
        <f>2746</f>
        <v>2746.0</v>
      </c>
      <c r="N375" s="34" t="s">
        <v>184</v>
      </c>
      <c r="O375" s="33" t="n">
        <f>2598</f>
        <v>2598.0</v>
      </c>
      <c r="P375" s="34" t="s">
        <v>60</v>
      </c>
      <c r="Q375" s="33" t="n">
        <f>2695</f>
        <v>2695.0</v>
      </c>
      <c r="R375" s="34" t="s">
        <v>50</v>
      </c>
      <c r="S375" s="35" t="n">
        <f>2684.93</f>
        <v>2684.93</v>
      </c>
      <c r="T375" s="32" t="n">
        <f>233</f>
        <v>233.0</v>
      </c>
      <c r="U375" s="32" t="str">
        <f>"－"</f>
        <v>－</v>
      </c>
      <c r="V375" s="32" t="n">
        <f>621012</f>
        <v>621012.0</v>
      </c>
      <c r="W375" s="32" t="str">
        <f>"－"</f>
        <v>－</v>
      </c>
      <c r="X375" s="36" t="n">
        <f>14</f>
        <v>14.0</v>
      </c>
    </row>
    <row r="376">
      <c r="A376" s="27" t="s">
        <v>42</v>
      </c>
      <c r="B376" s="27" t="s">
        <v>1171</v>
      </c>
      <c r="C376" s="27" t="s">
        <v>1172</v>
      </c>
      <c r="D376" s="27" t="s">
        <v>1173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10220</f>
        <v>10220.0</v>
      </c>
      <c r="L376" s="34" t="s">
        <v>48</v>
      </c>
      <c r="M376" s="33" t="n">
        <f>10500</f>
        <v>10500.0</v>
      </c>
      <c r="N376" s="34" t="s">
        <v>49</v>
      </c>
      <c r="O376" s="33" t="n">
        <f>9776</f>
        <v>9776.0</v>
      </c>
      <c r="P376" s="34" t="s">
        <v>220</v>
      </c>
      <c r="Q376" s="33" t="n">
        <f>10050</f>
        <v>10050.0</v>
      </c>
      <c r="R376" s="34" t="s">
        <v>50</v>
      </c>
      <c r="S376" s="35" t="n">
        <f>10183.81</f>
        <v>10183.81</v>
      </c>
      <c r="T376" s="32" t="n">
        <f>1927</f>
        <v>1927.0</v>
      </c>
      <c r="U376" s="32" t="n">
        <f>3</f>
        <v>3.0</v>
      </c>
      <c r="V376" s="32" t="n">
        <f>19653817</f>
        <v>1.9653817E7</v>
      </c>
      <c r="W376" s="32" t="n">
        <f>30955</f>
        <v>30955.0</v>
      </c>
      <c r="X376" s="36" t="n">
        <f>21</f>
        <v>21.0</v>
      </c>
    </row>
    <row r="377">
      <c r="A377" s="27" t="s">
        <v>42</v>
      </c>
      <c r="B377" s="27" t="s">
        <v>1174</v>
      </c>
      <c r="C377" s="27" t="s">
        <v>1175</v>
      </c>
      <c r="D377" s="27" t="s">
        <v>1176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119700</f>
        <v>119700.0</v>
      </c>
      <c r="L377" s="34" t="s">
        <v>48</v>
      </c>
      <c r="M377" s="33" t="n">
        <f>123800</f>
        <v>123800.0</v>
      </c>
      <c r="N377" s="34" t="s">
        <v>207</v>
      </c>
      <c r="O377" s="33" t="n">
        <f>119700</f>
        <v>119700.0</v>
      </c>
      <c r="P377" s="34" t="s">
        <v>48</v>
      </c>
      <c r="Q377" s="33" t="n">
        <f>121900</f>
        <v>121900.0</v>
      </c>
      <c r="R377" s="34" t="s">
        <v>50</v>
      </c>
      <c r="S377" s="35" t="n">
        <f>122157.14</f>
        <v>122157.14</v>
      </c>
      <c r="T377" s="32" t="n">
        <f>10058</f>
        <v>10058.0</v>
      </c>
      <c r="U377" s="32" t="n">
        <f>2039</f>
        <v>2039.0</v>
      </c>
      <c r="V377" s="32" t="n">
        <f>1227508910</f>
        <v>1.22750891E9</v>
      </c>
      <c r="W377" s="32" t="n">
        <f>249237810</f>
        <v>2.4923781E8</v>
      </c>
      <c r="X377" s="36" t="n">
        <f>21</f>
        <v>21.0</v>
      </c>
    </row>
    <row r="378">
      <c r="A378" s="27" t="s">
        <v>42</v>
      </c>
      <c r="B378" s="27" t="s">
        <v>1177</v>
      </c>
      <c r="C378" s="27" t="s">
        <v>1178</v>
      </c>
      <c r="D378" s="27" t="s">
        <v>1179</v>
      </c>
      <c r="E378" s="28" t="s">
        <v>46</v>
      </c>
      <c r="F378" s="29" t="s">
        <v>46</v>
      </c>
      <c r="G378" s="30" t="s">
        <v>46</v>
      </c>
      <c r="H378" s="31" t="s">
        <v>789</v>
      </c>
      <c r="I378" s="31" t="s">
        <v>418</v>
      </c>
      <c r="J378" s="32" t="n">
        <v>1.0</v>
      </c>
      <c r="K378" s="33" t="n">
        <f>125000</f>
        <v>125000.0</v>
      </c>
      <c r="L378" s="34" t="s">
        <v>48</v>
      </c>
      <c r="M378" s="33" t="n">
        <f>128400</f>
        <v>128400.0</v>
      </c>
      <c r="N378" s="34" t="s">
        <v>200</v>
      </c>
      <c r="O378" s="33" t="n">
        <f>123300</f>
        <v>123300.0</v>
      </c>
      <c r="P378" s="34" t="s">
        <v>80</v>
      </c>
      <c r="Q378" s="33" t="n">
        <f>124600</f>
        <v>124600.0</v>
      </c>
      <c r="R378" s="34" t="s">
        <v>50</v>
      </c>
      <c r="S378" s="35" t="n">
        <f>125438.1</f>
        <v>125438.1</v>
      </c>
      <c r="T378" s="32" t="n">
        <f>124055</f>
        <v>124055.0</v>
      </c>
      <c r="U378" s="32" t="n">
        <f>3289</f>
        <v>3289.0</v>
      </c>
      <c r="V378" s="32" t="n">
        <f>15443322160</f>
        <v>1.544332216E10</v>
      </c>
      <c r="W378" s="32" t="n">
        <f>412497360</f>
        <v>4.1249736E8</v>
      </c>
      <c r="X378" s="36" t="n">
        <f>21</f>
        <v>21.0</v>
      </c>
    </row>
    <row r="379">
      <c r="A379" s="27" t="s">
        <v>42</v>
      </c>
      <c r="B379" s="27" t="s">
        <v>1180</v>
      </c>
      <c r="C379" s="27" t="s">
        <v>1181</v>
      </c>
      <c r="D379" s="27" t="s">
        <v>1182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122300</f>
        <v>122300.0</v>
      </c>
      <c r="L379" s="34" t="s">
        <v>48</v>
      </c>
      <c r="M379" s="33" t="n">
        <f>129200</f>
        <v>129200.0</v>
      </c>
      <c r="N379" s="34" t="s">
        <v>80</v>
      </c>
      <c r="O379" s="33" t="n">
        <f>122300</f>
        <v>122300.0</v>
      </c>
      <c r="P379" s="34" t="s">
        <v>48</v>
      </c>
      <c r="Q379" s="33" t="n">
        <f>122900</f>
        <v>122900.0</v>
      </c>
      <c r="R379" s="34" t="s">
        <v>50</v>
      </c>
      <c r="S379" s="35" t="n">
        <f>125914.29</f>
        <v>125914.29</v>
      </c>
      <c r="T379" s="32" t="n">
        <f>46597</f>
        <v>46597.0</v>
      </c>
      <c r="U379" s="32" t="n">
        <f>12626</f>
        <v>12626.0</v>
      </c>
      <c r="V379" s="32" t="n">
        <f>5868399140</f>
        <v>5.86839914E9</v>
      </c>
      <c r="W379" s="32" t="n">
        <f>1593009040</f>
        <v>1.59300904E9</v>
      </c>
      <c r="X379" s="36" t="n">
        <f>21</f>
        <v>21.0</v>
      </c>
    </row>
    <row r="380">
      <c r="A380" s="27" t="s">
        <v>42</v>
      </c>
      <c r="B380" s="27" t="s">
        <v>1183</v>
      </c>
      <c r="C380" s="27" t="s">
        <v>1184</v>
      </c>
      <c r="D380" s="27" t="s">
        <v>1185</v>
      </c>
      <c r="E380" s="28" t="s">
        <v>46</v>
      </c>
      <c r="F380" s="29" t="s">
        <v>46</v>
      </c>
      <c r="G380" s="30" t="s">
        <v>46</v>
      </c>
      <c r="H380" s="31"/>
      <c r="I380" s="31" t="s">
        <v>418</v>
      </c>
      <c r="J380" s="32" t="n">
        <v>1.0</v>
      </c>
      <c r="K380" s="33" t="n">
        <f>107000</f>
        <v>107000.0</v>
      </c>
      <c r="L380" s="34" t="s">
        <v>48</v>
      </c>
      <c r="M380" s="33" t="n">
        <f>109800</f>
        <v>109800.0</v>
      </c>
      <c r="N380" s="34" t="s">
        <v>143</v>
      </c>
      <c r="O380" s="33" t="n">
        <f>106500</f>
        <v>106500.0</v>
      </c>
      <c r="P380" s="34" t="s">
        <v>73</v>
      </c>
      <c r="Q380" s="33" t="n">
        <f>106600</f>
        <v>106600.0</v>
      </c>
      <c r="R380" s="34" t="s">
        <v>50</v>
      </c>
      <c r="S380" s="35" t="n">
        <f>108295.24</f>
        <v>108295.24</v>
      </c>
      <c r="T380" s="32" t="n">
        <f>20478</f>
        <v>20478.0</v>
      </c>
      <c r="U380" s="32" t="n">
        <f>3560</f>
        <v>3560.0</v>
      </c>
      <c r="V380" s="32" t="n">
        <f>2214707326</f>
        <v>2.214707326E9</v>
      </c>
      <c r="W380" s="32" t="n">
        <f>385953626</f>
        <v>3.85953626E8</v>
      </c>
      <c r="X380" s="36" t="n">
        <f>21</f>
        <v>21.0</v>
      </c>
    </row>
    <row r="381">
      <c r="A381" s="27" t="s">
        <v>42</v>
      </c>
      <c r="B381" s="27" t="s">
        <v>1186</v>
      </c>
      <c r="C381" s="27" t="s">
        <v>1187</v>
      </c>
      <c r="D381" s="27" t="s">
        <v>1188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224.4</f>
        <v>224.4</v>
      </c>
      <c r="L381" s="34" t="s">
        <v>48</v>
      </c>
      <c r="M381" s="33" t="n">
        <f>254.4</f>
        <v>254.4</v>
      </c>
      <c r="N381" s="34" t="s">
        <v>50</v>
      </c>
      <c r="O381" s="33" t="n">
        <f>224.1</f>
        <v>224.1</v>
      </c>
      <c r="P381" s="34" t="s">
        <v>73</v>
      </c>
      <c r="Q381" s="33" t="n">
        <f>252.8</f>
        <v>252.8</v>
      </c>
      <c r="R381" s="34" t="s">
        <v>50</v>
      </c>
      <c r="S381" s="35" t="n">
        <f>239.18</f>
        <v>239.18</v>
      </c>
      <c r="T381" s="32" t="n">
        <f>3357090</f>
        <v>3357090.0</v>
      </c>
      <c r="U381" s="32" t="str">
        <f>"－"</f>
        <v>－</v>
      </c>
      <c r="V381" s="32" t="n">
        <f>794196975</f>
        <v>7.94196975E8</v>
      </c>
      <c r="W381" s="32" t="str">
        <f>"－"</f>
        <v>－</v>
      </c>
      <c r="X381" s="36" t="n">
        <f>21</f>
        <v>21.0</v>
      </c>
    </row>
    <row r="382">
      <c r="A382" s="27" t="s">
        <v>42</v>
      </c>
      <c r="B382" s="27" t="s">
        <v>1189</v>
      </c>
      <c r="C382" s="27" t="s">
        <v>1190</v>
      </c>
      <c r="D382" s="27" t="s">
        <v>1191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353.3</f>
        <v>353.3</v>
      </c>
      <c r="L382" s="34" t="s">
        <v>48</v>
      </c>
      <c r="M382" s="33" t="n">
        <f>366.9</f>
        <v>366.9</v>
      </c>
      <c r="N382" s="34" t="s">
        <v>88</v>
      </c>
      <c r="O382" s="33" t="n">
        <f>344.1</f>
        <v>344.1</v>
      </c>
      <c r="P382" s="34" t="s">
        <v>73</v>
      </c>
      <c r="Q382" s="33" t="n">
        <f>347.7</f>
        <v>347.7</v>
      </c>
      <c r="R382" s="34" t="s">
        <v>50</v>
      </c>
      <c r="S382" s="35" t="n">
        <f>356.24</f>
        <v>356.24</v>
      </c>
      <c r="T382" s="32" t="n">
        <f>75967820</f>
        <v>7.596782E7</v>
      </c>
      <c r="U382" s="32" t="n">
        <f>2475500</f>
        <v>2475500.0</v>
      </c>
      <c r="V382" s="32" t="n">
        <f>27086268811</f>
        <v>2.7086268811E10</v>
      </c>
      <c r="W382" s="32" t="n">
        <f>888059449</f>
        <v>8.88059449E8</v>
      </c>
      <c r="X382" s="36" t="n">
        <f>21</f>
        <v>21.0</v>
      </c>
    </row>
    <row r="383">
      <c r="A383" s="27" t="s">
        <v>42</v>
      </c>
      <c r="B383" s="27" t="s">
        <v>1192</v>
      </c>
      <c r="C383" s="27" t="s">
        <v>1193</v>
      </c>
      <c r="D383" s="27" t="s">
        <v>1194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1496</f>
        <v>1496.0</v>
      </c>
      <c r="L383" s="34" t="s">
        <v>48</v>
      </c>
      <c r="M383" s="33" t="n">
        <f>1632</f>
        <v>1632.0</v>
      </c>
      <c r="N383" s="34" t="s">
        <v>49</v>
      </c>
      <c r="O383" s="33" t="n">
        <f>1461</f>
        <v>1461.0</v>
      </c>
      <c r="P383" s="34" t="s">
        <v>72</v>
      </c>
      <c r="Q383" s="33" t="n">
        <f>1532</f>
        <v>1532.0</v>
      </c>
      <c r="R383" s="34" t="s">
        <v>50</v>
      </c>
      <c r="S383" s="35" t="n">
        <f>1556.38</f>
        <v>1556.38</v>
      </c>
      <c r="T383" s="32" t="n">
        <f>3944651</f>
        <v>3944651.0</v>
      </c>
      <c r="U383" s="32" t="n">
        <f>2140637</f>
        <v>2140637.0</v>
      </c>
      <c r="V383" s="32" t="n">
        <f>6186817203</f>
        <v>6.186817203E9</v>
      </c>
      <c r="W383" s="32" t="n">
        <f>3383664861</f>
        <v>3.383664861E9</v>
      </c>
      <c r="X383" s="36" t="n">
        <f>21</f>
        <v>21.0</v>
      </c>
    </row>
    <row r="384">
      <c r="A384" s="27" t="s">
        <v>42</v>
      </c>
      <c r="B384" s="27" t="s">
        <v>1195</v>
      </c>
      <c r="C384" s="27" t="s">
        <v>1196</v>
      </c>
      <c r="D384" s="27" t="s">
        <v>1197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2042</f>
        <v>2042.0</v>
      </c>
      <c r="L384" s="34" t="s">
        <v>48</v>
      </c>
      <c r="M384" s="33" t="n">
        <f>2427</f>
        <v>2427.0</v>
      </c>
      <c r="N384" s="34" t="s">
        <v>50</v>
      </c>
      <c r="O384" s="33" t="n">
        <f>2020</f>
        <v>2020.0</v>
      </c>
      <c r="P384" s="34" t="s">
        <v>73</v>
      </c>
      <c r="Q384" s="33" t="n">
        <f>2391</f>
        <v>2391.0</v>
      </c>
      <c r="R384" s="34" t="s">
        <v>50</v>
      </c>
      <c r="S384" s="35" t="n">
        <f>2249.24</f>
        <v>2249.24</v>
      </c>
      <c r="T384" s="32" t="n">
        <f>9697968</f>
        <v>9697968.0</v>
      </c>
      <c r="U384" s="32" t="n">
        <f>86995</f>
        <v>86995.0</v>
      </c>
      <c r="V384" s="32" t="n">
        <f>22115114198</f>
        <v>2.2115114198E10</v>
      </c>
      <c r="W384" s="32" t="n">
        <f>203017857</f>
        <v>2.03017857E8</v>
      </c>
      <c r="X384" s="36" t="n">
        <f>21</f>
        <v>21.0</v>
      </c>
    </row>
    <row r="385">
      <c r="A385" s="27" t="s">
        <v>42</v>
      </c>
      <c r="B385" s="27" t="s">
        <v>1198</v>
      </c>
      <c r="C385" s="27" t="s">
        <v>1199</v>
      </c>
      <c r="D385" s="27" t="s">
        <v>1200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718.7</f>
        <v>718.7</v>
      </c>
      <c r="L385" s="34" t="s">
        <v>48</v>
      </c>
      <c r="M385" s="33" t="n">
        <f>752.3</f>
        <v>752.3</v>
      </c>
      <c r="N385" s="34" t="s">
        <v>73</v>
      </c>
      <c r="O385" s="33" t="n">
        <f>581.7</f>
        <v>581.7</v>
      </c>
      <c r="P385" s="34" t="s">
        <v>207</v>
      </c>
      <c r="Q385" s="33" t="n">
        <f>601.5</f>
        <v>601.5</v>
      </c>
      <c r="R385" s="34" t="s">
        <v>50</v>
      </c>
      <c r="S385" s="35" t="n">
        <f>633.33</f>
        <v>633.33</v>
      </c>
      <c r="T385" s="32" t="n">
        <f>17800150</f>
        <v>1.780015E7</v>
      </c>
      <c r="U385" s="32" t="n">
        <f>59160</f>
        <v>59160.0</v>
      </c>
      <c r="V385" s="32" t="n">
        <f>11628143789</f>
        <v>1.1628143789E10</v>
      </c>
      <c r="W385" s="32" t="n">
        <f>37436495</f>
        <v>3.7436495E7</v>
      </c>
      <c r="X385" s="36" t="n">
        <f>21</f>
        <v>21.0</v>
      </c>
    </row>
    <row r="386">
      <c r="A386" s="27" t="s">
        <v>42</v>
      </c>
      <c r="B386" s="27" t="s">
        <v>1201</v>
      </c>
      <c r="C386" s="27" t="s">
        <v>1202</v>
      </c>
      <c r="D386" s="27" t="s">
        <v>1203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134900</f>
        <v>134900.0</v>
      </c>
      <c r="L386" s="34" t="s">
        <v>48</v>
      </c>
      <c r="M386" s="33" t="n">
        <f>137800</f>
        <v>137800.0</v>
      </c>
      <c r="N386" s="34" t="s">
        <v>143</v>
      </c>
      <c r="O386" s="33" t="n">
        <f>129800</f>
        <v>129800.0</v>
      </c>
      <c r="P386" s="34" t="s">
        <v>50</v>
      </c>
      <c r="Q386" s="33" t="n">
        <f>130700</f>
        <v>130700.0</v>
      </c>
      <c r="R386" s="34" t="s">
        <v>50</v>
      </c>
      <c r="S386" s="35" t="n">
        <f>134242.86</f>
        <v>134242.86</v>
      </c>
      <c r="T386" s="32" t="n">
        <f>138328</f>
        <v>138328.0</v>
      </c>
      <c r="U386" s="32" t="n">
        <f>36739</f>
        <v>36739.0</v>
      </c>
      <c r="V386" s="32" t="n">
        <f>18539774981</f>
        <v>1.8539774981E10</v>
      </c>
      <c r="W386" s="32" t="n">
        <f>4918332681</f>
        <v>4.918332681E9</v>
      </c>
      <c r="X386" s="36" t="n">
        <f>21</f>
        <v>21.0</v>
      </c>
    </row>
    <row r="387">
      <c r="A387" s="27" t="s">
        <v>42</v>
      </c>
      <c r="B387" s="27" t="s">
        <v>1204</v>
      </c>
      <c r="C387" s="27" t="s">
        <v>1205</v>
      </c>
      <c r="D387" s="27" t="s">
        <v>1206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134000</f>
        <v>134000.0</v>
      </c>
      <c r="L387" s="34" t="s">
        <v>48</v>
      </c>
      <c r="M387" s="33" t="n">
        <f>139000</f>
        <v>139000.0</v>
      </c>
      <c r="N387" s="34" t="s">
        <v>143</v>
      </c>
      <c r="O387" s="33" t="n">
        <f>132800</f>
        <v>132800.0</v>
      </c>
      <c r="P387" s="34" t="s">
        <v>50</v>
      </c>
      <c r="Q387" s="33" t="n">
        <f>133700</f>
        <v>133700.0</v>
      </c>
      <c r="R387" s="34" t="s">
        <v>50</v>
      </c>
      <c r="S387" s="35" t="n">
        <f>135357.14</f>
        <v>135357.14</v>
      </c>
      <c r="T387" s="32" t="n">
        <f>88684</f>
        <v>88684.0</v>
      </c>
      <c r="U387" s="32" t="n">
        <f>18179</f>
        <v>18179.0</v>
      </c>
      <c r="V387" s="32" t="n">
        <f>12011983720</f>
        <v>1.201198372E10</v>
      </c>
      <c r="W387" s="32" t="n">
        <f>2465252320</f>
        <v>2.46525232E9</v>
      </c>
      <c r="X387" s="36" t="n">
        <f>21</f>
        <v>21.0</v>
      </c>
    </row>
    <row r="388">
      <c r="A388" s="27" t="s">
        <v>42</v>
      </c>
      <c r="B388" s="27" t="s">
        <v>1207</v>
      </c>
      <c r="C388" s="27" t="s">
        <v>1208</v>
      </c>
      <c r="D388" s="27" t="s">
        <v>1209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143800</f>
        <v>143800.0</v>
      </c>
      <c r="L388" s="34" t="s">
        <v>48</v>
      </c>
      <c r="M388" s="33" t="n">
        <f>151200</f>
        <v>151200.0</v>
      </c>
      <c r="N388" s="34" t="s">
        <v>67</v>
      </c>
      <c r="O388" s="33" t="n">
        <f>143000</f>
        <v>143000.0</v>
      </c>
      <c r="P388" s="34" t="s">
        <v>48</v>
      </c>
      <c r="Q388" s="33" t="n">
        <f>145900</f>
        <v>145900.0</v>
      </c>
      <c r="R388" s="34" t="s">
        <v>50</v>
      </c>
      <c r="S388" s="35" t="n">
        <f>147319.05</f>
        <v>147319.05</v>
      </c>
      <c r="T388" s="32" t="n">
        <f>165093</f>
        <v>165093.0</v>
      </c>
      <c r="U388" s="32" t="n">
        <f>45860</f>
        <v>45860.0</v>
      </c>
      <c r="V388" s="32" t="n">
        <f>24358482188</f>
        <v>2.4358482188E10</v>
      </c>
      <c r="W388" s="32" t="n">
        <f>6773291288</f>
        <v>6.773291288E9</v>
      </c>
      <c r="X388" s="36" t="n">
        <f>21</f>
        <v>21.0</v>
      </c>
    </row>
    <row r="389">
      <c r="A389" s="27" t="s">
        <v>42</v>
      </c>
      <c r="B389" s="27" t="s">
        <v>1210</v>
      </c>
      <c r="C389" s="27" t="s">
        <v>1211</v>
      </c>
      <c r="D389" s="27" t="s">
        <v>1212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163000</f>
        <v>163000.0</v>
      </c>
      <c r="L389" s="34" t="s">
        <v>48</v>
      </c>
      <c r="M389" s="33" t="n">
        <f>168000</f>
        <v>168000.0</v>
      </c>
      <c r="N389" s="34" t="s">
        <v>143</v>
      </c>
      <c r="O389" s="33" t="n">
        <f>160000</f>
        <v>160000.0</v>
      </c>
      <c r="P389" s="34" t="s">
        <v>207</v>
      </c>
      <c r="Q389" s="33" t="n">
        <f>161400</f>
        <v>161400.0</v>
      </c>
      <c r="R389" s="34" t="s">
        <v>50</v>
      </c>
      <c r="S389" s="35" t="n">
        <f>164004.76</f>
        <v>164004.76</v>
      </c>
      <c r="T389" s="32" t="n">
        <f>147219</f>
        <v>147219.0</v>
      </c>
      <c r="U389" s="32" t="n">
        <f>39240</f>
        <v>39240.0</v>
      </c>
      <c r="V389" s="32" t="n">
        <f>24101236210</f>
        <v>2.410123621E10</v>
      </c>
      <c r="W389" s="32" t="n">
        <f>6406728510</f>
        <v>6.40672851E9</v>
      </c>
      <c r="X389" s="36" t="n">
        <f>21</f>
        <v>21.0</v>
      </c>
    </row>
    <row r="390">
      <c r="A390" s="27" t="s">
        <v>42</v>
      </c>
      <c r="B390" s="27" t="s">
        <v>1213</v>
      </c>
      <c r="C390" s="27" t="s">
        <v>1214</v>
      </c>
      <c r="D390" s="27" t="s">
        <v>1215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141400</f>
        <v>141400.0</v>
      </c>
      <c r="L390" s="34" t="s">
        <v>48</v>
      </c>
      <c r="M390" s="33" t="n">
        <f>144900</f>
        <v>144900.0</v>
      </c>
      <c r="N390" s="34" t="s">
        <v>143</v>
      </c>
      <c r="O390" s="33" t="n">
        <f>139300</f>
        <v>139300.0</v>
      </c>
      <c r="P390" s="34" t="s">
        <v>207</v>
      </c>
      <c r="Q390" s="33" t="n">
        <f>140400</f>
        <v>140400.0</v>
      </c>
      <c r="R390" s="34" t="s">
        <v>50</v>
      </c>
      <c r="S390" s="35" t="n">
        <f>142090.48</f>
        <v>142090.48</v>
      </c>
      <c r="T390" s="32" t="n">
        <f>120312</f>
        <v>120312.0</v>
      </c>
      <c r="U390" s="32" t="n">
        <f>31621</f>
        <v>31621.0</v>
      </c>
      <c r="V390" s="32" t="n">
        <f>17100088959</f>
        <v>1.7100088959E10</v>
      </c>
      <c r="W390" s="32" t="n">
        <f>4503801659</f>
        <v>4.503801659E9</v>
      </c>
      <c r="X390" s="36" t="n">
        <f>21</f>
        <v>21.0</v>
      </c>
    </row>
    <row r="391">
      <c r="A391" s="27" t="s">
        <v>42</v>
      </c>
      <c r="B391" s="27" t="s">
        <v>1216</v>
      </c>
      <c r="C391" s="27" t="s">
        <v>1217</v>
      </c>
      <c r="D391" s="27" t="s">
        <v>1218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130100</f>
        <v>130100.0</v>
      </c>
      <c r="L391" s="34" t="s">
        <v>48</v>
      </c>
      <c r="M391" s="33" t="n">
        <f>143800</f>
        <v>143800.0</v>
      </c>
      <c r="N391" s="34" t="s">
        <v>184</v>
      </c>
      <c r="O391" s="33" t="n">
        <f>130000</f>
        <v>130000.0</v>
      </c>
      <c r="P391" s="34" t="s">
        <v>48</v>
      </c>
      <c r="Q391" s="33" t="n">
        <f>135500</f>
        <v>135500.0</v>
      </c>
      <c r="R391" s="34" t="s">
        <v>50</v>
      </c>
      <c r="S391" s="35" t="n">
        <f>136142.86</f>
        <v>136142.86</v>
      </c>
      <c r="T391" s="32" t="n">
        <f>431260</f>
        <v>431260.0</v>
      </c>
      <c r="U391" s="32" t="n">
        <f>106427</f>
        <v>106427.0</v>
      </c>
      <c r="V391" s="32" t="n">
        <f>59267301785</f>
        <v>5.9267301785E10</v>
      </c>
      <c r="W391" s="32" t="n">
        <f>14638886485</f>
        <v>1.4638886485E10</v>
      </c>
      <c r="X391" s="36" t="n">
        <f>21</f>
        <v>21.0</v>
      </c>
    </row>
    <row r="392">
      <c r="A392" s="27" t="s">
        <v>42</v>
      </c>
      <c r="B392" s="27" t="s">
        <v>1219</v>
      </c>
      <c r="C392" s="27" t="s">
        <v>1220</v>
      </c>
      <c r="D392" s="27" t="s">
        <v>1221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109000</f>
        <v>109000.0</v>
      </c>
      <c r="L392" s="34" t="s">
        <v>48</v>
      </c>
      <c r="M392" s="33" t="n">
        <f>113900</f>
        <v>113900.0</v>
      </c>
      <c r="N392" s="34" t="s">
        <v>200</v>
      </c>
      <c r="O392" s="33" t="n">
        <f>108900</f>
        <v>108900.0</v>
      </c>
      <c r="P392" s="34" t="s">
        <v>48</v>
      </c>
      <c r="Q392" s="33" t="n">
        <f>109500</f>
        <v>109500.0</v>
      </c>
      <c r="R392" s="34" t="s">
        <v>50</v>
      </c>
      <c r="S392" s="35" t="n">
        <f>111333.33</f>
        <v>111333.33</v>
      </c>
      <c r="T392" s="32" t="n">
        <f>124513</f>
        <v>124513.0</v>
      </c>
      <c r="U392" s="32" t="n">
        <f>32857</f>
        <v>32857.0</v>
      </c>
      <c r="V392" s="32" t="n">
        <f>13844446586</f>
        <v>1.3844446586E10</v>
      </c>
      <c r="W392" s="32" t="n">
        <f>3651233486</f>
        <v>3.651233486E9</v>
      </c>
      <c r="X392" s="36" t="n">
        <f>21</f>
        <v>21.0</v>
      </c>
    </row>
    <row r="393">
      <c r="A393" s="27" t="s">
        <v>42</v>
      </c>
      <c r="B393" s="27" t="s">
        <v>1222</v>
      </c>
      <c r="C393" s="27" t="s">
        <v>1223</v>
      </c>
      <c r="D393" s="27" t="s">
        <v>1224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86100</f>
        <v>86100.0</v>
      </c>
      <c r="L393" s="34" t="s">
        <v>48</v>
      </c>
      <c r="M393" s="33" t="n">
        <f>91200</f>
        <v>91200.0</v>
      </c>
      <c r="N393" s="34" t="s">
        <v>88</v>
      </c>
      <c r="O393" s="33" t="n">
        <f>85800</f>
        <v>85800.0</v>
      </c>
      <c r="P393" s="34" t="s">
        <v>48</v>
      </c>
      <c r="Q393" s="33" t="n">
        <f>89400</f>
        <v>89400.0</v>
      </c>
      <c r="R393" s="34" t="s">
        <v>50</v>
      </c>
      <c r="S393" s="35" t="n">
        <f>88723.81</f>
        <v>88723.81</v>
      </c>
      <c r="T393" s="32" t="n">
        <f>320889</f>
        <v>320889.0</v>
      </c>
      <c r="U393" s="32" t="n">
        <f>91550</f>
        <v>91550.0</v>
      </c>
      <c r="V393" s="32" t="n">
        <f>28434689991</f>
        <v>2.8434689991E10</v>
      </c>
      <c r="W393" s="32" t="n">
        <f>8102384091</f>
        <v>8.102384091E9</v>
      </c>
      <c r="X393" s="36" t="n">
        <f>21</f>
        <v>21.0</v>
      </c>
    </row>
    <row r="394">
      <c r="A394" s="27" t="s">
        <v>42</v>
      </c>
      <c r="B394" s="27" t="s">
        <v>1225</v>
      </c>
      <c r="C394" s="27" t="s">
        <v>1226</v>
      </c>
      <c r="D394" s="27" t="s">
        <v>1227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245500</f>
        <v>245500.0</v>
      </c>
      <c r="L394" s="34" t="s">
        <v>48</v>
      </c>
      <c r="M394" s="33" t="n">
        <f>263000</f>
        <v>263000.0</v>
      </c>
      <c r="N394" s="34" t="s">
        <v>184</v>
      </c>
      <c r="O394" s="33" t="n">
        <f>244900</f>
        <v>244900.0</v>
      </c>
      <c r="P394" s="34" t="s">
        <v>48</v>
      </c>
      <c r="Q394" s="33" t="n">
        <f>252500</f>
        <v>252500.0</v>
      </c>
      <c r="R394" s="34" t="s">
        <v>50</v>
      </c>
      <c r="S394" s="35" t="n">
        <f>256390.48</f>
        <v>256390.48</v>
      </c>
      <c r="T394" s="32" t="n">
        <f>51752</f>
        <v>51752.0</v>
      </c>
      <c r="U394" s="32" t="n">
        <f>9823</f>
        <v>9823.0</v>
      </c>
      <c r="V394" s="32" t="n">
        <f>13225750452</f>
        <v>1.3225750452E10</v>
      </c>
      <c r="W394" s="32" t="n">
        <f>2504240552</f>
        <v>2.504240552E9</v>
      </c>
      <c r="X394" s="36" t="n">
        <f>21</f>
        <v>21.0</v>
      </c>
    </row>
    <row r="395">
      <c r="A395" s="27" t="s">
        <v>42</v>
      </c>
      <c r="B395" s="27" t="s">
        <v>1228</v>
      </c>
      <c r="C395" s="27" t="s">
        <v>1229</v>
      </c>
      <c r="D395" s="27" t="s">
        <v>1230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1312</f>
        <v>1312.0</v>
      </c>
      <c r="L395" s="34" t="s">
        <v>48</v>
      </c>
      <c r="M395" s="33" t="n">
        <f>1384</f>
        <v>1384.0</v>
      </c>
      <c r="N395" s="34" t="s">
        <v>200</v>
      </c>
      <c r="O395" s="33" t="n">
        <f>1288</f>
        <v>1288.0</v>
      </c>
      <c r="P395" s="34" t="s">
        <v>50</v>
      </c>
      <c r="Q395" s="33" t="n">
        <f>1295</f>
        <v>1295.0</v>
      </c>
      <c r="R395" s="34" t="s">
        <v>50</v>
      </c>
      <c r="S395" s="35" t="n">
        <f>1330.14</f>
        <v>1330.14</v>
      </c>
      <c r="T395" s="32" t="n">
        <f>33317</f>
        <v>33317.0</v>
      </c>
      <c r="U395" s="32" t="n">
        <f>20</f>
        <v>20.0</v>
      </c>
      <c r="V395" s="32" t="n">
        <f>44415657</f>
        <v>4.4415657E7</v>
      </c>
      <c r="W395" s="32" t="n">
        <f>27520</f>
        <v>27520.0</v>
      </c>
      <c r="X395" s="36" t="n">
        <f>21</f>
        <v>21.0</v>
      </c>
    </row>
    <row r="396">
      <c r="A396" s="27" t="s">
        <v>42</v>
      </c>
      <c r="B396" s="27" t="s">
        <v>1231</v>
      </c>
      <c r="C396" s="27" t="s">
        <v>1232</v>
      </c>
      <c r="D396" s="27" t="s">
        <v>1233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79600</f>
        <v>79600.0</v>
      </c>
      <c r="L396" s="34" t="s">
        <v>48</v>
      </c>
      <c r="M396" s="33" t="n">
        <f>82200</f>
        <v>82200.0</v>
      </c>
      <c r="N396" s="34" t="s">
        <v>143</v>
      </c>
      <c r="O396" s="33" t="n">
        <f>77500</f>
        <v>77500.0</v>
      </c>
      <c r="P396" s="34" t="s">
        <v>50</v>
      </c>
      <c r="Q396" s="33" t="n">
        <f>78100</f>
        <v>78100.0</v>
      </c>
      <c r="R396" s="34" t="s">
        <v>50</v>
      </c>
      <c r="S396" s="35" t="n">
        <f>80095.24</f>
        <v>80095.24</v>
      </c>
      <c r="T396" s="32" t="n">
        <f>95846</f>
        <v>95846.0</v>
      </c>
      <c r="U396" s="32" t="n">
        <f>12566</f>
        <v>12566.0</v>
      </c>
      <c r="V396" s="32" t="n">
        <f>7686632933</f>
        <v>7.686632933E9</v>
      </c>
      <c r="W396" s="32" t="n">
        <f>1006627333</f>
        <v>1.006627333E9</v>
      </c>
      <c r="X396" s="36" t="n">
        <f>21</f>
        <v>21.0</v>
      </c>
    </row>
    <row r="397">
      <c r="A397" s="27" t="s">
        <v>42</v>
      </c>
      <c r="B397" s="27" t="s">
        <v>1234</v>
      </c>
      <c r="C397" s="27" t="s">
        <v>1235</v>
      </c>
      <c r="D397" s="27" t="s">
        <v>1236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125700</f>
        <v>125700.0</v>
      </c>
      <c r="L397" s="34" t="s">
        <v>48</v>
      </c>
      <c r="M397" s="33" t="n">
        <f>130600</f>
        <v>130600.0</v>
      </c>
      <c r="N397" s="34" t="s">
        <v>143</v>
      </c>
      <c r="O397" s="33" t="n">
        <f>124900</f>
        <v>124900.0</v>
      </c>
      <c r="P397" s="34" t="s">
        <v>207</v>
      </c>
      <c r="Q397" s="33" t="n">
        <f>125500</f>
        <v>125500.0</v>
      </c>
      <c r="R397" s="34" t="s">
        <v>50</v>
      </c>
      <c r="S397" s="35" t="n">
        <f>127671.43</f>
        <v>127671.43</v>
      </c>
      <c r="T397" s="32" t="n">
        <f>104892</f>
        <v>104892.0</v>
      </c>
      <c r="U397" s="32" t="n">
        <f>27152</f>
        <v>27152.0</v>
      </c>
      <c r="V397" s="32" t="n">
        <f>13358780670</f>
        <v>1.335878067E10</v>
      </c>
      <c r="W397" s="32" t="n">
        <f>3452719570</f>
        <v>3.45271957E9</v>
      </c>
      <c r="X397" s="36" t="n">
        <f>21</f>
        <v>21.0</v>
      </c>
    </row>
    <row r="398">
      <c r="A398" s="27" t="s">
        <v>42</v>
      </c>
      <c r="B398" s="27" t="s">
        <v>1237</v>
      </c>
      <c r="C398" s="27" t="s">
        <v>1238</v>
      </c>
      <c r="D398" s="27" t="s">
        <v>1239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161300</f>
        <v>161300.0</v>
      </c>
      <c r="L398" s="34" t="s">
        <v>48</v>
      </c>
      <c r="M398" s="33" t="n">
        <f>168400</f>
        <v>168400.0</v>
      </c>
      <c r="N398" s="34" t="s">
        <v>143</v>
      </c>
      <c r="O398" s="33" t="n">
        <f>161300</f>
        <v>161300.0</v>
      </c>
      <c r="P398" s="34" t="s">
        <v>48</v>
      </c>
      <c r="Q398" s="33" t="n">
        <f>162700</f>
        <v>162700.0</v>
      </c>
      <c r="R398" s="34" t="s">
        <v>50</v>
      </c>
      <c r="S398" s="35" t="n">
        <f>164857.14</f>
        <v>164857.14</v>
      </c>
      <c r="T398" s="32" t="n">
        <f>64803</f>
        <v>64803.0</v>
      </c>
      <c r="U398" s="32" t="n">
        <f>13123</f>
        <v>13123.0</v>
      </c>
      <c r="V398" s="32" t="n">
        <f>10678946643</f>
        <v>1.0678946643E10</v>
      </c>
      <c r="W398" s="32" t="n">
        <f>2163546943</f>
        <v>2.163546943E9</v>
      </c>
      <c r="X398" s="36" t="n">
        <f>21</f>
        <v>21.0</v>
      </c>
    </row>
    <row r="399">
      <c r="A399" s="27" t="s">
        <v>42</v>
      </c>
      <c r="B399" s="27" t="s">
        <v>1240</v>
      </c>
      <c r="C399" s="27" t="s">
        <v>1241</v>
      </c>
      <c r="D399" s="27" t="s">
        <v>1242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89800</f>
        <v>89800.0</v>
      </c>
      <c r="L399" s="34" t="s">
        <v>48</v>
      </c>
      <c r="M399" s="33" t="n">
        <f>91800</f>
        <v>91800.0</v>
      </c>
      <c r="N399" s="34" t="s">
        <v>143</v>
      </c>
      <c r="O399" s="33" t="n">
        <f>88700</f>
        <v>88700.0</v>
      </c>
      <c r="P399" s="34" t="s">
        <v>73</v>
      </c>
      <c r="Q399" s="33" t="n">
        <f>89500</f>
        <v>89500.0</v>
      </c>
      <c r="R399" s="34" t="s">
        <v>50</v>
      </c>
      <c r="S399" s="35" t="n">
        <f>90371.43</f>
        <v>90371.43</v>
      </c>
      <c r="T399" s="32" t="n">
        <f>93520</f>
        <v>93520.0</v>
      </c>
      <c r="U399" s="32" t="n">
        <f>24062</f>
        <v>24062.0</v>
      </c>
      <c r="V399" s="32" t="n">
        <f>8445437297</f>
        <v>8.445437297E9</v>
      </c>
      <c r="W399" s="32" t="n">
        <f>2172654597</f>
        <v>2.172654597E9</v>
      </c>
      <c r="X399" s="36" t="n">
        <f>21</f>
        <v>21.0</v>
      </c>
    </row>
    <row r="400">
      <c r="A400" s="27" t="s">
        <v>42</v>
      </c>
      <c r="B400" s="27" t="s">
        <v>1243</v>
      </c>
      <c r="C400" s="27" t="s">
        <v>1244</v>
      </c>
      <c r="D400" s="27" t="s">
        <v>1245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90600</f>
        <v>90600.0</v>
      </c>
      <c r="L400" s="34" t="s">
        <v>48</v>
      </c>
      <c r="M400" s="33" t="n">
        <f>93100</f>
        <v>93100.0</v>
      </c>
      <c r="N400" s="34" t="s">
        <v>200</v>
      </c>
      <c r="O400" s="33" t="n">
        <f>84600</f>
        <v>84600.0</v>
      </c>
      <c r="P400" s="34" t="s">
        <v>50</v>
      </c>
      <c r="Q400" s="33" t="n">
        <f>85000</f>
        <v>85000.0</v>
      </c>
      <c r="R400" s="34" t="s">
        <v>50</v>
      </c>
      <c r="S400" s="35" t="n">
        <f>90638.1</f>
        <v>90638.1</v>
      </c>
      <c r="T400" s="32" t="n">
        <f>389927</f>
        <v>389927.0</v>
      </c>
      <c r="U400" s="32" t="n">
        <f>69701</f>
        <v>69701.0</v>
      </c>
      <c r="V400" s="32" t="n">
        <f>35123683119</f>
        <v>3.5123683119E10</v>
      </c>
      <c r="W400" s="32" t="n">
        <f>6296740519</f>
        <v>6.296740519E9</v>
      </c>
      <c r="X400" s="36" t="n">
        <f>21</f>
        <v>21.0</v>
      </c>
    </row>
    <row r="401">
      <c r="A401" s="27" t="s">
        <v>42</v>
      </c>
      <c r="B401" s="27" t="s">
        <v>1246</v>
      </c>
      <c r="C401" s="27" t="s">
        <v>1247</v>
      </c>
      <c r="D401" s="27" t="s">
        <v>1248</v>
      </c>
      <c r="E401" s="28" t="s">
        <v>46</v>
      </c>
      <c r="F401" s="29" t="s">
        <v>46</v>
      </c>
      <c r="G401" s="30" t="s">
        <v>46</v>
      </c>
      <c r="H401" s="31"/>
      <c r="I401" s="31" t="s">
        <v>418</v>
      </c>
      <c r="J401" s="32" t="n">
        <v>1.0</v>
      </c>
      <c r="K401" s="33" t="n">
        <f>139400</f>
        <v>139400.0</v>
      </c>
      <c r="L401" s="34" t="s">
        <v>48</v>
      </c>
      <c r="M401" s="33" t="n">
        <f>144600</f>
        <v>144600.0</v>
      </c>
      <c r="N401" s="34" t="s">
        <v>143</v>
      </c>
      <c r="O401" s="33" t="n">
        <f>136700</f>
        <v>136700.0</v>
      </c>
      <c r="P401" s="34" t="s">
        <v>50</v>
      </c>
      <c r="Q401" s="33" t="n">
        <f>137100</f>
        <v>137100.0</v>
      </c>
      <c r="R401" s="34" t="s">
        <v>50</v>
      </c>
      <c r="S401" s="35" t="n">
        <f>142119.05</f>
        <v>142119.05</v>
      </c>
      <c r="T401" s="32" t="n">
        <f>20725</f>
        <v>20725.0</v>
      </c>
      <c r="U401" s="32" t="n">
        <f>3105</f>
        <v>3105.0</v>
      </c>
      <c r="V401" s="32" t="n">
        <f>2933176571</f>
        <v>2.933176571E9</v>
      </c>
      <c r="W401" s="32" t="n">
        <f>440533271</f>
        <v>4.40533271E8</v>
      </c>
      <c r="X401" s="36" t="n">
        <f>21</f>
        <v>21.0</v>
      </c>
    </row>
    <row r="402">
      <c r="A402" s="27" t="s">
        <v>42</v>
      </c>
      <c r="B402" s="27" t="s">
        <v>1249</v>
      </c>
      <c r="C402" s="27" t="s">
        <v>1250</v>
      </c>
      <c r="D402" s="27" t="s">
        <v>1251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117700</f>
        <v>117700.0</v>
      </c>
      <c r="L402" s="34" t="s">
        <v>48</v>
      </c>
      <c r="M402" s="33" t="n">
        <f>124500</f>
        <v>124500.0</v>
      </c>
      <c r="N402" s="34" t="s">
        <v>49</v>
      </c>
      <c r="O402" s="33" t="n">
        <f>114700</f>
        <v>114700.0</v>
      </c>
      <c r="P402" s="34" t="s">
        <v>50</v>
      </c>
      <c r="Q402" s="33" t="n">
        <f>115400</f>
        <v>115400.0</v>
      </c>
      <c r="R402" s="34" t="s">
        <v>50</v>
      </c>
      <c r="S402" s="35" t="n">
        <f>118657.14</f>
        <v>118657.14</v>
      </c>
      <c r="T402" s="32" t="n">
        <f>18581</f>
        <v>18581.0</v>
      </c>
      <c r="U402" s="32" t="n">
        <f>2731</f>
        <v>2731.0</v>
      </c>
      <c r="V402" s="32" t="n">
        <f>2203129642</f>
        <v>2.203129642E9</v>
      </c>
      <c r="W402" s="32" t="n">
        <f>324355942</f>
        <v>3.24355942E8</v>
      </c>
      <c r="X402" s="36" t="n">
        <f>21</f>
        <v>21.0</v>
      </c>
    </row>
    <row r="403">
      <c r="A403" s="27" t="s">
        <v>42</v>
      </c>
      <c r="B403" s="27" t="s">
        <v>1252</v>
      </c>
      <c r="C403" s="27" t="s">
        <v>1253</v>
      </c>
      <c r="D403" s="27" t="s">
        <v>1254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106500</f>
        <v>106500.0</v>
      </c>
      <c r="L403" s="34" t="s">
        <v>48</v>
      </c>
      <c r="M403" s="33" t="n">
        <f>109400</f>
        <v>109400.0</v>
      </c>
      <c r="N403" s="34" t="s">
        <v>73</v>
      </c>
      <c r="O403" s="33" t="n">
        <f>103900</f>
        <v>103900.0</v>
      </c>
      <c r="P403" s="34" t="s">
        <v>50</v>
      </c>
      <c r="Q403" s="33" t="n">
        <f>104000</f>
        <v>104000.0</v>
      </c>
      <c r="R403" s="34" t="s">
        <v>50</v>
      </c>
      <c r="S403" s="35" t="n">
        <f>107223.81</f>
        <v>107223.81</v>
      </c>
      <c r="T403" s="32" t="n">
        <f>20614</f>
        <v>20614.0</v>
      </c>
      <c r="U403" s="32" t="n">
        <f>3686</f>
        <v>3686.0</v>
      </c>
      <c r="V403" s="32" t="n">
        <f>2203755683</f>
        <v>2.203755683E9</v>
      </c>
      <c r="W403" s="32" t="n">
        <f>394105083</f>
        <v>3.94105083E8</v>
      </c>
      <c r="X403" s="36" t="n">
        <f>21</f>
        <v>21.0</v>
      </c>
    </row>
    <row r="404">
      <c r="A404" s="27" t="s">
        <v>42</v>
      </c>
      <c r="B404" s="27" t="s">
        <v>1255</v>
      </c>
      <c r="C404" s="27" t="s">
        <v>1256</v>
      </c>
      <c r="D404" s="27" t="s">
        <v>1257</v>
      </c>
      <c r="E404" s="28" t="s">
        <v>46</v>
      </c>
      <c r="F404" s="29" t="s">
        <v>46</v>
      </c>
      <c r="G404" s="30" t="s">
        <v>46</v>
      </c>
      <c r="H404" s="31"/>
      <c r="I404" s="31" t="s">
        <v>418</v>
      </c>
      <c r="J404" s="32" t="n">
        <v>1.0</v>
      </c>
      <c r="K404" s="33" t="n">
        <f>14295</f>
        <v>14295.0</v>
      </c>
      <c r="L404" s="34" t="s">
        <v>48</v>
      </c>
      <c r="M404" s="33" t="n">
        <f>14825</f>
        <v>14825.0</v>
      </c>
      <c r="N404" s="34" t="s">
        <v>143</v>
      </c>
      <c r="O404" s="33" t="n">
        <f>13740</f>
        <v>13740.0</v>
      </c>
      <c r="P404" s="34" t="s">
        <v>72</v>
      </c>
      <c r="Q404" s="33" t="n">
        <f>14095</f>
        <v>14095.0</v>
      </c>
      <c r="R404" s="34" t="s">
        <v>50</v>
      </c>
      <c r="S404" s="35" t="n">
        <f>14329.76</f>
        <v>14329.76</v>
      </c>
      <c r="T404" s="32" t="n">
        <f>19472</f>
        <v>19472.0</v>
      </c>
      <c r="U404" s="32" t="str">
        <f>"－"</f>
        <v>－</v>
      </c>
      <c r="V404" s="32" t="n">
        <f>279481235</f>
        <v>2.79481235E8</v>
      </c>
      <c r="W404" s="32" t="str">
        <f>"－"</f>
        <v>－</v>
      </c>
      <c r="X404" s="36" t="n">
        <f>21</f>
        <v>21.0</v>
      </c>
    </row>
    <row r="405">
      <c r="A405" s="27" t="s">
        <v>42</v>
      </c>
      <c r="B405" s="27" t="s">
        <v>1258</v>
      </c>
      <c r="C405" s="27" t="s">
        <v>1259</v>
      </c>
      <c r="D405" s="27" t="s">
        <v>1260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156800</f>
        <v>156800.0</v>
      </c>
      <c r="L405" s="34" t="s">
        <v>48</v>
      </c>
      <c r="M405" s="33" t="n">
        <f>165700</f>
        <v>165700.0</v>
      </c>
      <c r="N405" s="34" t="s">
        <v>49</v>
      </c>
      <c r="O405" s="33" t="n">
        <f>156500</f>
        <v>156500.0</v>
      </c>
      <c r="P405" s="34" t="s">
        <v>48</v>
      </c>
      <c r="Q405" s="33" t="n">
        <f>161400</f>
        <v>161400.0</v>
      </c>
      <c r="R405" s="34" t="s">
        <v>50</v>
      </c>
      <c r="S405" s="35" t="n">
        <f>161904.76</f>
        <v>161904.76</v>
      </c>
      <c r="T405" s="32" t="n">
        <f>245870</f>
        <v>245870.0</v>
      </c>
      <c r="U405" s="32" t="n">
        <f>64172</f>
        <v>64172.0</v>
      </c>
      <c r="V405" s="32" t="n">
        <f>39808255076</f>
        <v>3.9808255076E10</v>
      </c>
      <c r="W405" s="32" t="n">
        <f>10398791276</f>
        <v>1.0398791276E10</v>
      </c>
      <c r="X405" s="36" t="n">
        <f>21</f>
        <v>21.0</v>
      </c>
    </row>
    <row r="406">
      <c r="A406" s="27" t="s">
        <v>42</v>
      </c>
      <c r="B406" s="27" t="s">
        <v>1261</v>
      </c>
      <c r="C406" s="27" t="s">
        <v>1262</v>
      </c>
      <c r="D406" s="27" t="s">
        <v>1263</v>
      </c>
      <c r="E406" s="28" t="s">
        <v>46</v>
      </c>
      <c r="F406" s="29" t="s">
        <v>46</v>
      </c>
      <c r="G406" s="30" t="s">
        <v>46</v>
      </c>
      <c r="H406" s="31"/>
      <c r="I406" s="31" t="s">
        <v>418</v>
      </c>
      <c r="J406" s="32" t="n">
        <v>1.0</v>
      </c>
      <c r="K406" s="33" t="n">
        <f>109900</f>
        <v>109900.0</v>
      </c>
      <c r="L406" s="34" t="s">
        <v>48</v>
      </c>
      <c r="M406" s="33" t="n">
        <f>117600</f>
        <v>117600.0</v>
      </c>
      <c r="N406" s="34" t="s">
        <v>49</v>
      </c>
      <c r="O406" s="33" t="n">
        <f>108900</f>
        <v>108900.0</v>
      </c>
      <c r="P406" s="34" t="s">
        <v>73</v>
      </c>
      <c r="Q406" s="33" t="n">
        <f>112100</f>
        <v>112100.0</v>
      </c>
      <c r="R406" s="34" t="s">
        <v>50</v>
      </c>
      <c r="S406" s="35" t="n">
        <f>114390.48</f>
        <v>114390.48</v>
      </c>
      <c r="T406" s="32" t="n">
        <f>34837</f>
        <v>34837.0</v>
      </c>
      <c r="U406" s="32" t="n">
        <f>3697</f>
        <v>3697.0</v>
      </c>
      <c r="V406" s="32" t="n">
        <f>3967243238</f>
        <v>3.967243238E9</v>
      </c>
      <c r="W406" s="32" t="n">
        <f>419629638</f>
        <v>4.19629638E8</v>
      </c>
      <c r="X406" s="36" t="n">
        <f>21</f>
        <v>21.0</v>
      </c>
    </row>
    <row r="407">
      <c r="A407" s="27" t="s">
        <v>42</v>
      </c>
      <c r="B407" s="27" t="s">
        <v>1264</v>
      </c>
      <c r="C407" s="27" t="s">
        <v>1265</v>
      </c>
      <c r="D407" s="27" t="s">
        <v>1266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150000</f>
        <v>150000.0</v>
      </c>
      <c r="L407" s="34" t="s">
        <v>48</v>
      </c>
      <c r="M407" s="33" t="n">
        <f>158100</f>
        <v>158100.0</v>
      </c>
      <c r="N407" s="34" t="s">
        <v>67</v>
      </c>
      <c r="O407" s="33" t="n">
        <f>149100</f>
        <v>149100.0</v>
      </c>
      <c r="P407" s="34" t="s">
        <v>48</v>
      </c>
      <c r="Q407" s="33" t="n">
        <f>152400</f>
        <v>152400.0</v>
      </c>
      <c r="R407" s="34" t="s">
        <v>50</v>
      </c>
      <c r="S407" s="35" t="n">
        <f>154290.48</f>
        <v>154290.48</v>
      </c>
      <c r="T407" s="32" t="n">
        <f>150857</f>
        <v>150857.0</v>
      </c>
      <c r="U407" s="32" t="n">
        <f>36303</f>
        <v>36303.0</v>
      </c>
      <c r="V407" s="32" t="n">
        <f>23290797830</f>
        <v>2.329079783E10</v>
      </c>
      <c r="W407" s="32" t="n">
        <f>5599026330</f>
        <v>5.59902633E9</v>
      </c>
      <c r="X407" s="36" t="n">
        <f>21</f>
        <v>21.0</v>
      </c>
    </row>
    <row r="408">
      <c r="A408" s="27" t="s">
        <v>42</v>
      </c>
      <c r="B408" s="27" t="s">
        <v>1267</v>
      </c>
      <c r="C408" s="27" t="s">
        <v>1268</v>
      </c>
      <c r="D408" s="27" t="s">
        <v>1269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55900</f>
        <v>55900.0</v>
      </c>
      <c r="L408" s="34" t="s">
        <v>48</v>
      </c>
      <c r="M408" s="33" t="n">
        <f>57800</f>
        <v>57800.0</v>
      </c>
      <c r="N408" s="34" t="s">
        <v>88</v>
      </c>
      <c r="O408" s="33" t="n">
        <f>55500</f>
        <v>55500.0</v>
      </c>
      <c r="P408" s="34" t="s">
        <v>48</v>
      </c>
      <c r="Q408" s="33" t="n">
        <f>56200</f>
        <v>56200.0</v>
      </c>
      <c r="R408" s="34" t="s">
        <v>50</v>
      </c>
      <c r="S408" s="35" t="n">
        <f>56819.05</f>
        <v>56819.05</v>
      </c>
      <c r="T408" s="32" t="n">
        <f>195221</f>
        <v>195221.0</v>
      </c>
      <c r="U408" s="32" t="n">
        <f>63876</f>
        <v>63876.0</v>
      </c>
      <c r="V408" s="32" t="n">
        <f>11091492245</f>
        <v>1.1091492245E10</v>
      </c>
      <c r="W408" s="32" t="n">
        <f>3635257945</f>
        <v>3.635257945E9</v>
      </c>
      <c r="X408" s="36" t="n">
        <f>21</f>
        <v>21.0</v>
      </c>
    </row>
    <row r="409">
      <c r="A409" s="27" t="s">
        <v>42</v>
      </c>
      <c r="B409" s="27" t="s">
        <v>1270</v>
      </c>
      <c r="C409" s="27" t="s">
        <v>1271</v>
      </c>
      <c r="D409" s="27" t="s">
        <v>1272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3400</f>
        <v>3400.0</v>
      </c>
      <c r="L409" s="34" t="s">
        <v>48</v>
      </c>
      <c r="M409" s="33" t="n">
        <f>4608</f>
        <v>4608.0</v>
      </c>
      <c r="N409" s="34" t="s">
        <v>50</v>
      </c>
      <c r="O409" s="33" t="n">
        <f>3365</f>
        <v>3365.0</v>
      </c>
      <c r="P409" s="34" t="s">
        <v>73</v>
      </c>
      <c r="Q409" s="33" t="n">
        <f>4485</f>
        <v>4485.0</v>
      </c>
      <c r="R409" s="34" t="s">
        <v>50</v>
      </c>
      <c r="S409" s="35" t="n">
        <f>3988.33</f>
        <v>3988.33</v>
      </c>
      <c r="T409" s="32" t="n">
        <f>333281</f>
        <v>333281.0</v>
      </c>
      <c r="U409" s="32" t="str">
        <f>"－"</f>
        <v>－</v>
      </c>
      <c r="V409" s="32" t="n">
        <f>1402558485</f>
        <v>1.402558485E9</v>
      </c>
      <c r="W409" s="32" t="str">
        <f>"－"</f>
        <v>－</v>
      </c>
      <c r="X409" s="36" t="n">
        <f>21</f>
        <v>21.0</v>
      </c>
    </row>
    <row r="410">
      <c r="A410" s="27" t="s">
        <v>42</v>
      </c>
      <c r="B410" s="27" t="s">
        <v>1273</v>
      </c>
      <c r="C410" s="27" t="s">
        <v>1274</v>
      </c>
      <c r="D410" s="27" t="s">
        <v>1275</v>
      </c>
      <c r="E410" s="28" t="s">
        <v>46</v>
      </c>
      <c r="F410" s="29" t="s">
        <v>46</v>
      </c>
      <c r="G410" s="30" t="s">
        <v>46</v>
      </c>
      <c r="H410" s="31"/>
      <c r="I410" s="31" t="s">
        <v>418</v>
      </c>
      <c r="J410" s="32" t="n">
        <v>1.0</v>
      </c>
      <c r="K410" s="33" t="n">
        <f>109700</f>
        <v>109700.0</v>
      </c>
      <c r="L410" s="34" t="s">
        <v>48</v>
      </c>
      <c r="M410" s="33" t="n">
        <f>113800</f>
        <v>113800.0</v>
      </c>
      <c r="N410" s="34" t="s">
        <v>84</v>
      </c>
      <c r="O410" s="33" t="n">
        <f>108500</f>
        <v>108500.0</v>
      </c>
      <c r="P410" s="34" t="s">
        <v>48</v>
      </c>
      <c r="Q410" s="33" t="n">
        <f>110000</f>
        <v>110000.0</v>
      </c>
      <c r="R410" s="34" t="s">
        <v>50</v>
      </c>
      <c r="S410" s="35" t="n">
        <f>111866.67</f>
        <v>111866.67</v>
      </c>
      <c r="T410" s="32" t="n">
        <f>15855</f>
        <v>15855.0</v>
      </c>
      <c r="U410" s="32" t="n">
        <f>2018</f>
        <v>2018.0</v>
      </c>
      <c r="V410" s="32" t="n">
        <f>1768769829</f>
        <v>1.768769829E9</v>
      </c>
      <c r="W410" s="32" t="n">
        <f>225463129</f>
        <v>2.25463129E8</v>
      </c>
      <c r="X410" s="36" t="n">
        <f>21</f>
        <v>21.0</v>
      </c>
    </row>
    <row r="411">
      <c r="A411" s="27" t="s">
        <v>42</v>
      </c>
      <c r="B411" s="27" t="s">
        <v>1276</v>
      </c>
      <c r="C411" s="27" t="s">
        <v>1277</v>
      </c>
      <c r="D411" s="27" t="s">
        <v>1278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114200</f>
        <v>114200.0</v>
      </c>
      <c r="L411" s="34" t="s">
        <v>48</v>
      </c>
      <c r="M411" s="33" t="n">
        <f>118300</f>
        <v>118300.0</v>
      </c>
      <c r="N411" s="34" t="s">
        <v>67</v>
      </c>
      <c r="O411" s="33" t="n">
        <f>111200</f>
        <v>111200.0</v>
      </c>
      <c r="P411" s="34" t="s">
        <v>50</v>
      </c>
      <c r="Q411" s="33" t="n">
        <f>112000</f>
        <v>112000.0</v>
      </c>
      <c r="R411" s="34" t="s">
        <v>50</v>
      </c>
      <c r="S411" s="35" t="n">
        <f>115380.95</f>
        <v>115380.95</v>
      </c>
      <c r="T411" s="32" t="n">
        <f>266651</f>
        <v>266651.0</v>
      </c>
      <c r="U411" s="32" t="n">
        <f>67144</f>
        <v>67144.0</v>
      </c>
      <c r="V411" s="32" t="n">
        <f>30641932932</f>
        <v>3.0641932932E10</v>
      </c>
      <c r="W411" s="32" t="n">
        <f>7664643132</f>
        <v>7.664643132E9</v>
      </c>
      <c r="X411" s="36" t="n">
        <f>21</f>
        <v>21.0</v>
      </c>
    </row>
    <row r="412">
      <c r="A412" s="27" t="s">
        <v>42</v>
      </c>
      <c r="B412" s="27" t="s">
        <v>1279</v>
      </c>
      <c r="C412" s="27" t="s">
        <v>1280</v>
      </c>
      <c r="D412" s="27" t="s">
        <v>1281</v>
      </c>
      <c r="E412" s="28" t="s">
        <v>46</v>
      </c>
      <c r="F412" s="29" t="s">
        <v>46</v>
      </c>
      <c r="G412" s="30" t="s">
        <v>46</v>
      </c>
      <c r="H412" s="31"/>
      <c r="I412" s="31" t="s">
        <v>418</v>
      </c>
      <c r="J412" s="32" t="n">
        <v>1.0</v>
      </c>
      <c r="K412" s="33" t="n">
        <f>69700</f>
        <v>69700.0</v>
      </c>
      <c r="L412" s="34" t="s">
        <v>48</v>
      </c>
      <c r="M412" s="33" t="n">
        <f>73000</f>
        <v>73000.0</v>
      </c>
      <c r="N412" s="34" t="s">
        <v>200</v>
      </c>
      <c r="O412" s="33" t="n">
        <f>69500</f>
        <v>69500.0</v>
      </c>
      <c r="P412" s="34" t="s">
        <v>73</v>
      </c>
      <c r="Q412" s="33" t="n">
        <f>70800</f>
        <v>70800.0</v>
      </c>
      <c r="R412" s="34" t="s">
        <v>50</v>
      </c>
      <c r="S412" s="35" t="n">
        <f>71428.57</f>
        <v>71428.57</v>
      </c>
      <c r="T412" s="32" t="n">
        <f>34985</f>
        <v>34985.0</v>
      </c>
      <c r="U412" s="32" t="n">
        <f>6455</f>
        <v>6455.0</v>
      </c>
      <c r="V412" s="32" t="n">
        <f>2494027266</f>
        <v>2.494027266E9</v>
      </c>
      <c r="W412" s="32" t="n">
        <f>459727966</f>
        <v>4.59727966E8</v>
      </c>
      <c r="X412" s="36" t="n">
        <f>21</f>
        <v>21.0</v>
      </c>
    </row>
    <row r="413">
      <c r="A413" s="27" t="s">
        <v>42</v>
      </c>
      <c r="B413" s="27" t="s">
        <v>1282</v>
      </c>
      <c r="C413" s="27" t="s">
        <v>1283</v>
      </c>
      <c r="D413" s="27" t="s">
        <v>1284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48250</f>
        <v>48250.0</v>
      </c>
      <c r="L413" s="34" t="s">
        <v>48</v>
      </c>
      <c r="M413" s="33" t="n">
        <f>49700</f>
        <v>49700.0</v>
      </c>
      <c r="N413" s="34" t="s">
        <v>143</v>
      </c>
      <c r="O413" s="33" t="n">
        <f>45650</f>
        <v>45650.0</v>
      </c>
      <c r="P413" s="34" t="s">
        <v>207</v>
      </c>
      <c r="Q413" s="33" t="n">
        <f>45950</f>
        <v>45950.0</v>
      </c>
      <c r="R413" s="34" t="s">
        <v>50</v>
      </c>
      <c r="S413" s="35" t="n">
        <f>48380.95</f>
        <v>48380.95</v>
      </c>
      <c r="T413" s="32" t="n">
        <f>150424</f>
        <v>150424.0</v>
      </c>
      <c r="U413" s="32" t="n">
        <f>26522</f>
        <v>26522.0</v>
      </c>
      <c r="V413" s="32" t="n">
        <f>7229122785</f>
        <v>7.229122785E9</v>
      </c>
      <c r="W413" s="32" t="n">
        <f>1275781835</f>
        <v>1.275781835E9</v>
      </c>
      <c r="X413" s="36" t="n">
        <f>21</f>
        <v>21.0</v>
      </c>
    </row>
    <row r="414">
      <c r="A414" s="27" t="s">
        <v>42</v>
      </c>
      <c r="B414" s="27" t="s">
        <v>1285</v>
      </c>
      <c r="C414" s="27" t="s">
        <v>1286</v>
      </c>
      <c r="D414" s="27" t="s">
        <v>1287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125700</f>
        <v>125700.0</v>
      </c>
      <c r="L414" s="34" t="s">
        <v>48</v>
      </c>
      <c r="M414" s="33" t="n">
        <f>130800</f>
        <v>130800.0</v>
      </c>
      <c r="N414" s="34" t="s">
        <v>49</v>
      </c>
      <c r="O414" s="33" t="n">
        <f>121300</f>
        <v>121300.0</v>
      </c>
      <c r="P414" s="34" t="s">
        <v>50</v>
      </c>
      <c r="Q414" s="33" t="n">
        <f>121400</f>
        <v>121400.0</v>
      </c>
      <c r="R414" s="34" t="s">
        <v>50</v>
      </c>
      <c r="S414" s="35" t="n">
        <f>126400</f>
        <v>126400.0</v>
      </c>
      <c r="T414" s="32" t="n">
        <f>94228</f>
        <v>94228.0</v>
      </c>
      <c r="U414" s="32" t="n">
        <f>21040</f>
        <v>21040.0</v>
      </c>
      <c r="V414" s="32" t="n">
        <f>11879487072</f>
        <v>1.1879487072E10</v>
      </c>
      <c r="W414" s="32" t="n">
        <f>2658595072</f>
        <v>2.658595072E9</v>
      </c>
      <c r="X414" s="36" t="n">
        <f>21</f>
        <v>21.0</v>
      </c>
    </row>
    <row r="415">
      <c r="A415" s="27" t="s">
        <v>42</v>
      </c>
      <c r="B415" s="27" t="s">
        <v>1288</v>
      </c>
      <c r="C415" s="27" t="s">
        <v>1289</v>
      </c>
      <c r="D415" s="27" t="s">
        <v>1290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161300</f>
        <v>161300.0</v>
      </c>
      <c r="L415" s="34" t="s">
        <v>48</v>
      </c>
      <c r="M415" s="33" t="n">
        <f>163600</f>
        <v>163600.0</v>
      </c>
      <c r="N415" s="34" t="s">
        <v>73</v>
      </c>
      <c r="O415" s="33" t="n">
        <f>154500</f>
        <v>154500.0</v>
      </c>
      <c r="P415" s="34" t="s">
        <v>50</v>
      </c>
      <c r="Q415" s="33" t="n">
        <f>154500</f>
        <v>154500.0</v>
      </c>
      <c r="R415" s="34" t="s">
        <v>50</v>
      </c>
      <c r="S415" s="35" t="n">
        <f>160095.24</f>
        <v>160095.24</v>
      </c>
      <c r="T415" s="32" t="n">
        <f>32476</f>
        <v>32476.0</v>
      </c>
      <c r="U415" s="32" t="n">
        <f>7863</f>
        <v>7863.0</v>
      </c>
      <c r="V415" s="32" t="n">
        <f>5204882389</f>
        <v>5.204882389E9</v>
      </c>
      <c r="W415" s="32" t="n">
        <f>1261342589</f>
        <v>1.261342589E9</v>
      </c>
      <c r="X415" s="36" t="n">
        <f>21</f>
        <v>21.0</v>
      </c>
    </row>
    <row r="416">
      <c r="A416" s="27" t="s">
        <v>42</v>
      </c>
      <c r="B416" s="27" t="s">
        <v>1291</v>
      </c>
      <c r="C416" s="27" t="s">
        <v>1292</v>
      </c>
      <c r="D416" s="27" t="s">
        <v>1293</v>
      </c>
      <c r="E416" s="28" t="s">
        <v>46</v>
      </c>
      <c r="F416" s="29" t="s">
        <v>46</v>
      </c>
      <c r="G416" s="30" t="s">
        <v>46</v>
      </c>
      <c r="H416" s="31"/>
      <c r="I416" s="31" t="s">
        <v>418</v>
      </c>
      <c r="J416" s="32" t="n">
        <v>1.0</v>
      </c>
      <c r="K416" s="33" t="n">
        <f>110000</f>
        <v>110000.0</v>
      </c>
      <c r="L416" s="34" t="s">
        <v>48</v>
      </c>
      <c r="M416" s="33" t="n">
        <f>112900</f>
        <v>112900.0</v>
      </c>
      <c r="N416" s="34" t="s">
        <v>143</v>
      </c>
      <c r="O416" s="33" t="n">
        <f>108700</f>
        <v>108700.0</v>
      </c>
      <c r="P416" s="34" t="s">
        <v>207</v>
      </c>
      <c r="Q416" s="33" t="n">
        <f>108900</f>
        <v>108900.0</v>
      </c>
      <c r="R416" s="34" t="s">
        <v>50</v>
      </c>
      <c r="S416" s="35" t="n">
        <f>110952.38</f>
        <v>110952.38</v>
      </c>
      <c r="T416" s="32" t="n">
        <f>20231</f>
        <v>20231.0</v>
      </c>
      <c r="U416" s="32" t="n">
        <f>2249</f>
        <v>2249.0</v>
      </c>
      <c r="V416" s="32" t="n">
        <f>2239770081</f>
        <v>2.239770081E9</v>
      </c>
      <c r="W416" s="32" t="n">
        <f>249792081</f>
        <v>2.49792081E8</v>
      </c>
      <c r="X416" s="36" t="n">
        <f>21</f>
        <v>21.0</v>
      </c>
    </row>
    <row r="417">
      <c r="A417" s="27" t="s">
        <v>42</v>
      </c>
      <c r="B417" s="27" t="s">
        <v>1294</v>
      </c>
      <c r="C417" s="27" t="s">
        <v>1295</v>
      </c>
      <c r="D417" s="27" t="s">
        <v>1296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272.3</f>
        <v>272.3</v>
      </c>
      <c r="L417" s="34" t="s">
        <v>48</v>
      </c>
      <c r="M417" s="33" t="n">
        <f>283.6</f>
        <v>283.6</v>
      </c>
      <c r="N417" s="34" t="s">
        <v>200</v>
      </c>
      <c r="O417" s="33" t="n">
        <f>263.1</f>
        <v>263.1</v>
      </c>
      <c r="P417" s="34" t="s">
        <v>48</v>
      </c>
      <c r="Q417" s="33" t="n">
        <f>271.9</f>
        <v>271.9</v>
      </c>
      <c r="R417" s="34" t="s">
        <v>50</v>
      </c>
      <c r="S417" s="35" t="n">
        <f>275.6</f>
        <v>275.6</v>
      </c>
      <c r="T417" s="32" t="n">
        <f>901810</f>
        <v>901810.0</v>
      </c>
      <c r="U417" s="32" t="n">
        <f>390</f>
        <v>390.0</v>
      </c>
      <c r="V417" s="32" t="n">
        <f>246905029</f>
        <v>2.46905029E8</v>
      </c>
      <c r="W417" s="32" t="n">
        <f>103725</f>
        <v>103725.0</v>
      </c>
      <c r="X417" s="36" t="n">
        <f>21</f>
        <v>21.0</v>
      </c>
    </row>
    <row r="418">
      <c r="A418" s="27" t="s">
        <v>42</v>
      </c>
      <c r="B418" s="27" t="s">
        <v>1297</v>
      </c>
      <c r="C418" s="27" t="s">
        <v>1298</v>
      </c>
      <c r="D418" s="27" t="s">
        <v>1299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87700</f>
        <v>87700.0</v>
      </c>
      <c r="L418" s="34" t="s">
        <v>48</v>
      </c>
      <c r="M418" s="33" t="n">
        <f>89500</f>
        <v>89500.0</v>
      </c>
      <c r="N418" s="34" t="s">
        <v>143</v>
      </c>
      <c r="O418" s="33" t="n">
        <f>86800</f>
        <v>86800.0</v>
      </c>
      <c r="P418" s="34" t="s">
        <v>73</v>
      </c>
      <c r="Q418" s="33" t="n">
        <f>87800</f>
        <v>87800.0</v>
      </c>
      <c r="R418" s="34" t="s">
        <v>50</v>
      </c>
      <c r="S418" s="35" t="n">
        <f>88328.57</f>
        <v>88328.57</v>
      </c>
      <c r="T418" s="32" t="n">
        <f>70196</f>
        <v>70196.0</v>
      </c>
      <c r="U418" s="32" t="n">
        <f>9638</f>
        <v>9638.0</v>
      </c>
      <c r="V418" s="32" t="n">
        <f>6198508158</f>
        <v>6.198508158E9</v>
      </c>
      <c r="W418" s="32" t="n">
        <f>851671658</f>
        <v>8.51671658E8</v>
      </c>
      <c r="X418" s="36" t="n">
        <f>21</f>
        <v>21.0</v>
      </c>
    </row>
    <row r="419">
      <c r="A419" s="27" t="s">
        <v>42</v>
      </c>
      <c r="B419" s="27" t="s">
        <v>1300</v>
      </c>
      <c r="C419" s="27" t="s">
        <v>1301</v>
      </c>
      <c r="D419" s="27" t="s">
        <v>1302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10.0</v>
      </c>
      <c r="K419" s="33" t="n">
        <f>719.4</f>
        <v>719.4</v>
      </c>
      <c r="L419" s="34" t="s">
        <v>48</v>
      </c>
      <c r="M419" s="33" t="n">
        <f>829.9</f>
        <v>829.9</v>
      </c>
      <c r="N419" s="34" t="s">
        <v>88</v>
      </c>
      <c r="O419" s="33" t="n">
        <f>690.8</f>
        <v>690.8</v>
      </c>
      <c r="P419" s="34" t="s">
        <v>48</v>
      </c>
      <c r="Q419" s="33" t="n">
        <f>749.3</f>
        <v>749.3</v>
      </c>
      <c r="R419" s="34" t="s">
        <v>50</v>
      </c>
      <c r="S419" s="35" t="n">
        <f>742.19</f>
        <v>742.19</v>
      </c>
      <c r="T419" s="32" t="n">
        <f>219390</f>
        <v>219390.0</v>
      </c>
      <c r="U419" s="32" t="str">
        <f>"－"</f>
        <v>－</v>
      </c>
      <c r="V419" s="32" t="n">
        <f>165577959</f>
        <v>1.65577959E8</v>
      </c>
      <c r="W419" s="32" t="str">
        <f>"－"</f>
        <v>－</v>
      </c>
      <c r="X419" s="36" t="n">
        <f>21</f>
        <v>21.0</v>
      </c>
    </row>
    <row r="420">
      <c r="A420" s="27" t="s">
        <v>42</v>
      </c>
      <c r="B420" s="27" t="s">
        <v>1303</v>
      </c>
      <c r="C420" s="27" t="s">
        <v>1304</v>
      </c>
      <c r="D420" s="27" t="s">
        <v>1305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2959</f>
        <v>2959.0</v>
      </c>
      <c r="L420" s="34" t="s">
        <v>48</v>
      </c>
      <c r="M420" s="33" t="n">
        <f>3018</f>
        <v>3018.0</v>
      </c>
      <c r="N420" s="34" t="s">
        <v>73</v>
      </c>
      <c r="O420" s="33" t="n">
        <f>2821</f>
        <v>2821.0</v>
      </c>
      <c r="P420" s="34" t="s">
        <v>72</v>
      </c>
      <c r="Q420" s="33" t="n">
        <f>2866</f>
        <v>2866.0</v>
      </c>
      <c r="R420" s="34" t="s">
        <v>50</v>
      </c>
      <c r="S420" s="35" t="n">
        <f>2930.86</f>
        <v>2930.86</v>
      </c>
      <c r="T420" s="32" t="n">
        <f>1148121</f>
        <v>1148121.0</v>
      </c>
      <c r="U420" s="32" t="n">
        <f>393712</f>
        <v>393712.0</v>
      </c>
      <c r="V420" s="32" t="n">
        <f>3386470469</f>
        <v>3.386470469E9</v>
      </c>
      <c r="W420" s="32" t="n">
        <f>1171643728</f>
        <v>1.171643728E9</v>
      </c>
      <c r="X420" s="36" t="n">
        <f>21</f>
        <v>21.0</v>
      </c>
    </row>
    <row r="421">
      <c r="A421" s="27" t="s">
        <v>42</v>
      </c>
      <c r="B421" s="27" t="s">
        <v>1306</v>
      </c>
      <c r="C421" s="27" t="s">
        <v>1307</v>
      </c>
      <c r="D421" s="27" t="s">
        <v>1308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1326</f>
        <v>1326.0</v>
      </c>
      <c r="L421" s="34" t="s">
        <v>48</v>
      </c>
      <c r="M421" s="33" t="n">
        <f>1446</f>
        <v>1446.0</v>
      </c>
      <c r="N421" s="34" t="s">
        <v>50</v>
      </c>
      <c r="O421" s="33" t="n">
        <f>1313</f>
        <v>1313.0</v>
      </c>
      <c r="P421" s="34" t="s">
        <v>73</v>
      </c>
      <c r="Q421" s="33" t="n">
        <f>1429</f>
        <v>1429.0</v>
      </c>
      <c r="R421" s="34" t="s">
        <v>50</v>
      </c>
      <c r="S421" s="35" t="n">
        <f>1385.14</f>
        <v>1385.14</v>
      </c>
      <c r="T421" s="32" t="n">
        <f>71690</f>
        <v>71690.0</v>
      </c>
      <c r="U421" s="32" t="n">
        <f>2</f>
        <v>2.0</v>
      </c>
      <c r="V421" s="32" t="n">
        <f>97798599</f>
        <v>9.7798599E7</v>
      </c>
      <c r="W421" s="32" t="n">
        <f>2862</f>
        <v>2862.0</v>
      </c>
      <c r="X421" s="36" t="n">
        <f>21</f>
        <v>21.0</v>
      </c>
    </row>
    <row r="422">
      <c r="A422" s="27" t="s">
        <v>42</v>
      </c>
      <c r="B422" s="27" t="s">
        <v>1309</v>
      </c>
      <c r="C422" s="27" t="s">
        <v>1310</v>
      </c>
      <c r="D422" s="27" t="s">
        <v>1311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10.0</v>
      </c>
      <c r="K422" s="33" t="n">
        <f>1110</f>
        <v>1110.0</v>
      </c>
      <c r="L422" s="34" t="s">
        <v>68</v>
      </c>
      <c r="M422" s="33" t="n">
        <f>1274.5</f>
        <v>1274.5</v>
      </c>
      <c r="N422" s="34" t="s">
        <v>143</v>
      </c>
      <c r="O422" s="33" t="n">
        <f>1110</f>
        <v>1110.0</v>
      </c>
      <c r="P422" s="34" t="s">
        <v>68</v>
      </c>
      <c r="Q422" s="33" t="n">
        <f>1146</f>
        <v>1146.0</v>
      </c>
      <c r="R422" s="34" t="s">
        <v>72</v>
      </c>
      <c r="S422" s="35" t="n">
        <f>1162.96</f>
        <v>1162.96</v>
      </c>
      <c r="T422" s="32" t="n">
        <f>97100</f>
        <v>97100.0</v>
      </c>
      <c r="U422" s="32" t="n">
        <f>87050</f>
        <v>87050.0</v>
      </c>
      <c r="V422" s="32" t="n">
        <f>111642797</f>
        <v>1.11642797E8</v>
      </c>
      <c r="W422" s="32" t="n">
        <f>99997817</f>
        <v>9.9997817E7</v>
      </c>
      <c r="X422" s="36" t="n">
        <f>13</f>
        <v>13.0</v>
      </c>
    </row>
    <row r="423">
      <c r="A423" s="27" t="s">
        <v>42</v>
      </c>
      <c r="B423" s="27" t="s">
        <v>1312</v>
      </c>
      <c r="C423" s="27" t="s">
        <v>1313</v>
      </c>
      <c r="D423" s="27" t="s">
        <v>1314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2567</f>
        <v>2567.0</v>
      </c>
      <c r="L423" s="34" t="s">
        <v>48</v>
      </c>
      <c r="M423" s="33" t="n">
        <f>2722</f>
        <v>2722.0</v>
      </c>
      <c r="N423" s="34" t="s">
        <v>184</v>
      </c>
      <c r="O423" s="33" t="n">
        <f>2520</f>
        <v>2520.0</v>
      </c>
      <c r="P423" s="34" t="s">
        <v>73</v>
      </c>
      <c r="Q423" s="33" t="n">
        <f>2613</f>
        <v>2613.0</v>
      </c>
      <c r="R423" s="34" t="s">
        <v>50</v>
      </c>
      <c r="S423" s="35" t="n">
        <f>2660</f>
        <v>2660.0</v>
      </c>
      <c r="T423" s="32" t="n">
        <f>46173</f>
        <v>46173.0</v>
      </c>
      <c r="U423" s="32" t="str">
        <f>"－"</f>
        <v>－</v>
      </c>
      <c r="V423" s="32" t="n">
        <f>123206673</f>
        <v>1.23206673E8</v>
      </c>
      <c r="W423" s="32" t="str">
        <f>"－"</f>
        <v>－</v>
      </c>
      <c r="X423" s="36" t="n">
        <f>21</f>
        <v>21.0</v>
      </c>
    </row>
    <row r="424">
      <c r="A424" s="27" t="s">
        <v>42</v>
      </c>
      <c r="B424" s="27" t="s">
        <v>1315</v>
      </c>
      <c r="C424" s="27" t="s">
        <v>1316</v>
      </c>
      <c r="D424" s="27" t="s">
        <v>1317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2336</f>
        <v>2336.0</v>
      </c>
      <c r="L424" s="34" t="s">
        <v>48</v>
      </c>
      <c r="M424" s="33" t="n">
        <f>2396</f>
        <v>2396.0</v>
      </c>
      <c r="N424" s="34" t="s">
        <v>282</v>
      </c>
      <c r="O424" s="33" t="n">
        <f>2313</f>
        <v>2313.0</v>
      </c>
      <c r="P424" s="34" t="s">
        <v>73</v>
      </c>
      <c r="Q424" s="33" t="n">
        <f>2368</f>
        <v>2368.0</v>
      </c>
      <c r="R424" s="34" t="s">
        <v>50</v>
      </c>
      <c r="S424" s="35" t="n">
        <f>2357.67</f>
        <v>2357.67</v>
      </c>
      <c r="T424" s="32" t="n">
        <f>217747</f>
        <v>217747.0</v>
      </c>
      <c r="U424" s="32" t="str">
        <f>"－"</f>
        <v>－</v>
      </c>
      <c r="V424" s="32" t="n">
        <f>512894409</f>
        <v>5.12894409E8</v>
      </c>
      <c r="W424" s="32" t="str">
        <f>"－"</f>
        <v>－</v>
      </c>
      <c r="X424" s="36" t="n">
        <f>21</f>
        <v>21.0</v>
      </c>
    </row>
    <row r="425">
      <c r="A425" s="27" t="s">
        <v>42</v>
      </c>
      <c r="B425" s="27" t="s">
        <v>1318</v>
      </c>
      <c r="C425" s="27" t="s">
        <v>1319</v>
      </c>
      <c r="D425" s="27" t="s">
        <v>1320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5037</f>
        <v>5037.0</v>
      </c>
      <c r="L425" s="34" t="s">
        <v>73</v>
      </c>
      <c r="M425" s="33" t="n">
        <f>5100</f>
        <v>5100.0</v>
      </c>
      <c r="N425" s="34" t="s">
        <v>68</v>
      </c>
      <c r="O425" s="33" t="n">
        <f>5031</f>
        <v>5031.0</v>
      </c>
      <c r="P425" s="34" t="s">
        <v>60</v>
      </c>
      <c r="Q425" s="33" t="n">
        <f>5099</f>
        <v>5099.0</v>
      </c>
      <c r="R425" s="34" t="s">
        <v>50</v>
      </c>
      <c r="S425" s="35" t="n">
        <f>5055.18</f>
        <v>5055.18</v>
      </c>
      <c r="T425" s="32" t="n">
        <f>3064</f>
        <v>3064.0</v>
      </c>
      <c r="U425" s="32" t="str">
        <f>"－"</f>
        <v>－</v>
      </c>
      <c r="V425" s="32" t="n">
        <f>15465938</f>
        <v>1.5465938E7</v>
      </c>
      <c r="W425" s="32" t="str">
        <f>"－"</f>
        <v>－</v>
      </c>
      <c r="X425" s="36" t="n">
        <f>11</f>
        <v>11.0</v>
      </c>
    </row>
    <row r="426">
      <c r="A426" s="27" t="s">
        <v>42</v>
      </c>
      <c r="B426" s="27" t="s">
        <v>1321</v>
      </c>
      <c r="C426" s="27" t="s">
        <v>1322</v>
      </c>
      <c r="D426" s="27" t="s">
        <v>1323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1193</f>
        <v>1193.0</v>
      </c>
      <c r="L426" s="34" t="s">
        <v>48</v>
      </c>
      <c r="M426" s="33" t="n">
        <f>1285</f>
        <v>1285.0</v>
      </c>
      <c r="N426" s="34" t="s">
        <v>72</v>
      </c>
      <c r="O426" s="33" t="n">
        <f>1160</f>
        <v>1160.0</v>
      </c>
      <c r="P426" s="34" t="s">
        <v>73</v>
      </c>
      <c r="Q426" s="33" t="n">
        <f>1284</f>
        <v>1284.0</v>
      </c>
      <c r="R426" s="34" t="s">
        <v>50</v>
      </c>
      <c r="S426" s="35" t="n">
        <f>1240.19</f>
        <v>1240.19</v>
      </c>
      <c r="T426" s="32" t="n">
        <f>64428</f>
        <v>64428.0</v>
      </c>
      <c r="U426" s="32" t="str">
        <f>"－"</f>
        <v>－</v>
      </c>
      <c r="V426" s="32" t="n">
        <f>79261426</f>
        <v>7.9261426E7</v>
      </c>
      <c r="W426" s="32" t="str">
        <f>"－"</f>
        <v>－</v>
      </c>
      <c r="X426" s="36" t="n">
        <f>21</f>
        <v>21.0</v>
      </c>
    </row>
    <row r="427">
      <c r="A427" s="27" t="s">
        <v>42</v>
      </c>
      <c r="B427" s="27" t="s">
        <v>1324</v>
      </c>
      <c r="C427" s="27" t="s">
        <v>1325</v>
      </c>
      <c r="D427" s="27" t="s">
        <v>1326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991</f>
        <v>991.0</v>
      </c>
      <c r="L427" s="34" t="s">
        <v>48</v>
      </c>
      <c r="M427" s="33" t="n">
        <f>1082</f>
        <v>1082.0</v>
      </c>
      <c r="N427" s="34" t="s">
        <v>184</v>
      </c>
      <c r="O427" s="33" t="n">
        <f>976</f>
        <v>976.0</v>
      </c>
      <c r="P427" s="34" t="s">
        <v>60</v>
      </c>
      <c r="Q427" s="33" t="n">
        <f>1050</f>
        <v>1050.0</v>
      </c>
      <c r="R427" s="34" t="s">
        <v>50</v>
      </c>
      <c r="S427" s="35" t="n">
        <f>1032.62</f>
        <v>1032.62</v>
      </c>
      <c r="T427" s="32" t="n">
        <f>928624</f>
        <v>928624.0</v>
      </c>
      <c r="U427" s="32" t="str">
        <f>"－"</f>
        <v>－</v>
      </c>
      <c r="V427" s="32" t="n">
        <f>947755094</f>
        <v>9.47755094E8</v>
      </c>
      <c r="W427" s="32" t="str">
        <f>"－"</f>
        <v>－</v>
      </c>
      <c r="X427" s="36" t="n">
        <f>21</f>
        <v>21.0</v>
      </c>
    </row>
    <row r="428">
      <c r="A428" s="27" t="s">
        <v>42</v>
      </c>
      <c r="B428" s="27" t="s">
        <v>1327</v>
      </c>
      <c r="C428" s="27" t="s">
        <v>1328</v>
      </c>
      <c r="D428" s="27" t="s">
        <v>1329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2218</f>
        <v>2218.0</v>
      </c>
      <c r="L428" s="34" t="s">
        <v>48</v>
      </c>
      <c r="M428" s="33" t="n">
        <f>2329</f>
        <v>2329.0</v>
      </c>
      <c r="N428" s="34" t="s">
        <v>220</v>
      </c>
      <c r="O428" s="33" t="n">
        <f>2218</f>
        <v>2218.0</v>
      </c>
      <c r="P428" s="34" t="s">
        <v>48</v>
      </c>
      <c r="Q428" s="33" t="n">
        <f>2244</f>
        <v>2244.0</v>
      </c>
      <c r="R428" s="34" t="s">
        <v>50</v>
      </c>
      <c r="S428" s="35" t="n">
        <f>2232.81</f>
        <v>2232.81</v>
      </c>
      <c r="T428" s="32" t="n">
        <f>941852</f>
        <v>941852.0</v>
      </c>
      <c r="U428" s="32" t="n">
        <f>684800</f>
        <v>684800.0</v>
      </c>
      <c r="V428" s="32" t="n">
        <f>2102151320</f>
        <v>2.10215132E9</v>
      </c>
      <c r="W428" s="32" t="n">
        <f>1529013192</f>
        <v>1.529013192E9</v>
      </c>
      <c r="X428" s="36" t="n">
        <f>21</f>
        <v>21.0</v>
      </c>
    </row>
    <row r="429">
      <c r="A429" s="27" t="s">
        <v>42</v>
      </c>
      <c r="B429" s="27" t="s">
        <v>1330</v>
      </c>
      <c r="C429" s="27" t="s">
        <v>1331</v>
      </c>
      <c r="D429" s="27" t="s">
        <v>1332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1984</f>
        <v>1984.0</v>
      </c>
      <c r="L429" s="34" t="s">
        <v>48</v>
      </c>
      <c r="M429" s="33" t="n">
        <f>1988</f>
        <v>1988.0</v>
      </c>
      <c r="N429" s="34" t="s">
        <v>200</v>
      </c>
      <c r="O429" s="33" t="n">
        <f>1971</f>
        <v>1971.0</v>
      </c>
      <c r="P429" s="34" t="s">
        <v>60</v>
      </c>
      <c r="Q429" s="33" t="n">
        <f>1974</f>
        <v>1974.0</v>
      </c>
      <c r="R429" s="34" t="s">
        <v>50</v>
      </c>
      <c r="S429" s="35" t="n">
        <f>1981.11</f>
        <v>1981.11</v>
      </c>
      <c r="T429" s="32" t="n">
        <f>27031</f>
        <v>27031.0</v>
      </c>
      <c r="U429" s="32" t="str">
        <f>"－"</f>
        <v>－</v>
      </c>
      <c r="V429" s="32" t="n">
        <f>53596052</f>
        <v>5.3596052E7</v>
      </c>
      <c r="W429" s="32" t="str">
        <f>"－"</f>
        <v>－</v>
      </c>
      <c r="X429" s="36" t="n">
        <f>18</f>
        <v>18.0</v>
      </c>
    </row>
    <row r="430">
      <c r="A430" s="27" t="s">
        <v>42</v>
      </c>
      <c r="B430" s="27" t="s">
        <v>1333</v>
      </c>
      <c r="C430" s="27" t="s">
        <v>1334</v>
      </c>
      <c r="D430" s="27" t="s">
        <v>1335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2348</f>
        <v>2348.0</v>
      </c>
      <c r="L430" s="34" t="s">
        <v>48</v>
      </c>
      <c r="M430" s="33" t="n">
        <f>2500</f>
        <v>2500.0</v>
      </c>
      <c r="N430" s="34" t="s">
        <v>207</v>
      </c>
      <c r="O430" s="33" t="n">
        <f>2315</f>
        <v>2315.0</v>
      </c>
      <c r="P430" s="34" t="s">
        <v>73</v>
      </c>
      <c r="Q430" s="33" t="n">
        <f>2455</f>
        <v>2455.0</v>
      </c>
      <c r="R430" s="34" t="s">
        <v>50</v>
      </c>
      <c r="S430" s="35" t="n">
        <f>2417.19</f>
        <v>2417.19</v>
      </c>
      <c r="T430" s="32" t="n">
        <f>96303</f>
        <v>96303.0</v>
      </c>
      <c r="U430" s="32" t="str">
        <f>"－"</f>
        <v>－</v>
      </c>
      <c r="V430" s="32" t="n">
        <f>231718990</f>
        <v>2.3171899E8</v>
      </c>
      <c r="W430" s="32" t="str">
        <f>"－"</f>
        <v>－</v>
      </c>
      <c r="X430" s="36" t="n">
        <f>21</f>
        <v>21.0</v>
      </c>
    </row>
    <row r="431">
      <c r="A431" s="27" t="s">
        <v>42</v>
      </c>
      <c r="B431" s="27" t="s">
        <v>1336</v>
      </c>
      <c r="C431" s="27" t="s">
        <v>1337</v>
      </c>
      <c r="D431" s="27" t="s">
        <v>1338</v>
      </c>
      <c r="E431" s="28" t="s">
        <v>46</v>
      </c>
      <c r="F431" s="29" t="s">
        <v>46</v>
      </c>
      <c r="G431" s="30" t="s">
        <v>46</v>
      </c>
      <c r="H431" s="31"/>
      <c r="I431" s="31" t="s">
        <v>418</v>
      </c>
      <c r="J431" s="32" t="n">
        <v>10.0</v>
      </c>
      <c r="K431" s="33" t="n">
        <f>223.3</f>
        <v>223.3</v>
      </c>
      <c r="L431" s="34" t="s">
        <v>48</v>
      </c>
      <c r="M431" s="33" t="n">
        <f>262.6</f>
        <v>262.6</v>
      </c>
      <c r="N431" s="34" t="s">
        <v>50</v>
      </c>
      <c r="O431" s="33" t="n">
        <f>219.7</f>
        <v>219.7</v>
      </c>
      <c r="P431" s="34" t="s">
        <v>73</v>
      </c>
      <c r="Q431" s="33" t="n">
        <f>258.7</f>
        <v>258.7</v>
      </c>
      <c r="R431" s="34" t="s">
        <v>50</v>
      </c>
      <c r="S431" s="35" t="n">
        <f>241.55</f>
        <v>241.55</v>
      </c>
      <c r="T431" s="32" t="n">
        <f>1871810</f>
        <v>1871810.0</v>
      </c>
      <c r="U431" s="32" t="str">
        <f>"－"</f>
        <v>－</v>
      </c>
      <c r="V431" s="32" t="n">
        <f>459595772</f>
        <v>4.59595772E8</v>
      </c>
      <c r="W431" s="32" t="str">
        <f>"－"</f>
        <v>－</v>
      </c>
      <c r="X431" s="36" t="n">
        <f>21</f>
        <v>21.0</v>
      </c>
    </row>
    <row r="432">
      <c r="A432" s="27" t="s">
        <v>42</v>
      </c>
      <c r="B432" s="27" t="s">
        <v>1339</v>
      </c>
      <c r="C432" s="27" t="s">
        <v>1340</v>
      </c>
      <c r="D432" s="27" t="s">
        <v>1341</v>
      </c>
      <c r="E432" s="28" t="s">
        <v>46</v>
      </c>
      <c r="F432" s="29" t="s">
        <v>46</v>
      </c>
      <c r="G432" s="30" t="s">
        <v>46</v>
      </c>
      <c r="H432" s="31"/>
      <c r="I432" s="31" t="s">
        <v>418</v>
      </c>
      <c r="J432" s="32" t="n">
        <v>10.0</v>
      </c>
      <c r="K432" s="33" t="n">
        <f>543</f>
        <v>543.0</v>
      </c>
      <c r="L432" s="34" t="s">
        <v>48</v>
      </c>
      <c r="M432" s="33" t="n">
        <f>575.9</f>
        <v>575.9</v>
      </c>
      <c r="N432" s="34" t="s">
        <v>143</v>
      </c>
      <c r="O432" s="33" t="n">
        <f>543</f>
        <v>543.0</v>
      </c>
      <c r="P432" s="34" t="s">
        <v>48</v>
      </c>
      <c r="Q432" s="33" t="n">
        <f>547</f>
        <v>547.0</v>
      </c>
      <c r="R432" s="34" t="s">
        <v>207</v>
      </c>
      <c r="S432" s="35" t="n">
        <f>563.29</f>
        <v>563.29</v>
      </c>
      <c r="T432" s="32" t="n">
        <f>18050</f>
        <v>18050.0</v>
      </c>
      <c r="U432" s="32" t="str">
        <f>"－"</f>
        <v>－</v>
      </c>
      <c r="V432" s="32" t="n">
        <f>10117799</f>
        <v>1.0117799E7</v>
      </c>
      <c r="W432" s="32" t="str">
        <f>"－"</f>
        <v>－</v>
      </c>
      <c r="X432" s="36" t="n">
        <f>19</f>
        <v>19.0</v>
      </c>
    </row>
    <row r="433">
      <c r="A433" s="27" t="s">
        <v>42</v>
      </c>
      <c r="B433" s="27" t="s">
        <v>1342</v>
      </c>
      <c r="C433" s="27" t="s">
        <v>1343</v>
      </c>
      <c r="D433" s="27" t="s">
        <v>1344</v>
      </c>
      <c r="E433" s="28" t="s">
        <v>46</v>
      </c>
      <c r="F433" s="29" t="s">
        <v>46</v>
      </c>
      <c r="G433" s="30" t="s">
        <v>46</v>
      </c>
      <c r="H433" s="31"/>
      <c r="I433" s="31" t="s">
        <v>418</v>
      </c>
      <c r="J433" s="32" t="n">
        <v>10.0</v>
      </c>
      <c r="K433" s="33" t="n">
        <f>830.6</f>
        <v>830.6</v>
      </c>
      <c r="L433" s="34" t="s">
        <v>48</v>
      </c>
      <c r="M433" s="33" t="n">
        <f>913</f>
        <v>913.0</v>
      </c>
      <c r="N433" s="34" t="s">
        <v>200</v>
      </c>
      <c r="O433" s="33" t="n">
        <f>806</f>
        <v>806.0</v>
      </c>
      <c r="P433" s="34" t="s">
        <v>72</v>
      </c>
      <c r="Q433" s="33" t="n">
        <f>872.9</f>
        <v>872.9</v>
      </c>
      <c r="R433" s="34" t="s">
        <v>50</v>
      </c>
      <c r="S433" s="35" t="n">
        <f>873.5</f>
        <v>873.5</v>
      </c>
      <c r="T433" s="32" t="n">
        <f>1578980</f>
        <v>1578980.0</v>
      </c>
      <c r="U433" s="32" t="n">
        <f>755910</f>
        <v>755910.0</v>
      </c>
      <c r="V433" s="32" t="n">
        <f>1353082790</f>
        <v>1.35308279E9</v>
      </c>
      <c r="W433" s="32" t="n">
        <f>636316348</f>
        <v>6.36316348E8</v>
      </c>
      <c r="X433" s="36" t="n">
        <f>21</f>
        <v>21.0</v>
      </c>
    </row>
    <row r="434">
      <c r="A434" s="27" t="s">
        <v>42</v>
      </c>
      <c r="B434" s="27" t="s">
        <v>1345</v>
      </c>
      <c r="C434" s="27" t="s">
        <v>1346</v>
      </c>
      <c r="D434" s="27" t="s">
        <v>1347</v>
      </c>
      <c r="E434" s="28" t="s">
        <v>46</v>
      </c>
      <c r="F434" s="29" t="s">
        <v>46</v>
      </c>
      <c r="G434" s="30" t="s">
        <v>46</v>
      </c>
      <c r="H434" s="31"/>
      <c r="I434" s="31" t="s">
        <v>418</v>
      </c>
      <c r="J434" s="32" t="n">
        <v>10.0</v>
      </c>
      <c r="K434" s="33" t="n">
        <f>537.5</f>
        <v>537.5</v>
      </c>
      <c r="L434" s="34" t="s">
        <v>48</v>
      </c>
      <c r="M434" s="33" t="n">
        <f>537.5</f>
        <v>537.5</v>
      </c>
      <c r="N434" s="34" t="s">
        <v>48</v>
      </c>
      <c r="O434" s="33" t="n">
        <f>511</f>
        <v>511.0</v>
      </c>
      <c r="P434" s="34" t="s">
        <v>50</v>
      </c>
      <c r="Q434" s="33" t="n">
        <f>511</f>
        <v>511.0</v>
      </c>
      <c r="R434" s="34" t="s">
        <v>50</v>
      </c>
      <c r="S434" s="35" t="n">
        <f>522.5</f>
        <v>522.5</v>
      </c>
      <c r="T434" s="32" t="n">
        <f>2370</f>
        <v>2370.0</v>
      </c>
      <c r="U434" s="32" t="str">
        <f>"－"</f>
        <v>－</v>
      </c>
      <c r="V434" s="32" t="n">
        <f>1239629</f>
        <v>1239629.0</v>
      </c>
      <c r="W434" s="32" t="str">
        <f>"－"</f>
        <v>－</v>
      </c>
      <c r="X434" s="36" t="n">
        <f>17</f>
        <v>17.0</v>
      </c>
    </row>
    <row r="435">
      <c r="A435" s="27" t="s">
        <v>42</v>
      </c>
      <c r="B435" s="27" t="s">
        <v>1348</v>
      </c>
      <c r="C435" s="27" t="s">
        <v>1349</v>
      </c>
      <c r="D435" s="27" t="s">
        <v>1350</v>
      </c>
      <c r="E435" s="28" t="s">
        <v>46</v>
      </c>
      <c r="F435" s="29" t="s">
        <v>46</v>
      </c>
      <c r="G435" s="30" t="s">
        <v>46</v>
      </c>
      <c r="H435" s="31"/>
      <c r="I435" s="31" t="s">
        <v>418</v>
      </c>
      <c r="J435" s="32" t="n">
        <v>1.0</v>
      </c>
      <c r="K435" s="33" t="n">
        <f>2147</f>
        <v>2147.0</v>
      </c>
      <c r="L435" s="34" t="s">
        <v>48</v>
      </c>
      <c r="M435" s="33" t="n">
        <f>2154</f>
        <v>2154.0</v>
      </c>
      <c r="N435" s="34" t="s">
        <v>200</v>
      </c>
      <c r="O435" s="33" t="n">
        <f>2003</f>
        <v>2003.0</v>
      </c>
      <c r="P435" s="34" t="s">
        <v>72</v>
      </c>
      <c r="Q435" s="33" t="n">
        <f>2055</f>
        <v>2055.0</v>
      </c>
      <c r="R435" s="34" t="s">
        <v>50</v>
      </c>
      <c r="S435" s="35" t="n">
        <f>2087.1</f>
        <v>2087.1</v>
      </c>
      <c r="T435" s="32" t="n">
        <f>2760113</f>
        <v>2760113.0</v>
      </c>
      <c r="U435" s="32" t="n">
        <f>1659000</f>
        <v>1659000.0</v>
      </c>
      <c r="V435" s="32" t="n">
        <f>5750733439</f>
        <v>5.750733439E9</v>
      </c>
      <c r="W435" s="32" t="n">
        <f>3453937808</f>
        <v>3.453937808E9</v>
      </c>
      <c r="X435" s="36" t="n">
        <f>21</f>
        <v>21.0</v>
      </c>
    </row>
    <row r="436">
      <c r="A436" s="27" t="s">
        <v>42</v>
      </c>
      <c r="B436" s="27" t="s">
        <v>1351</v>
      </c>
      <c r="C436" s="27" t="s">
        <v>1352</v>
      </c>
      <c r="D436" s="27" t="s">
        <v>1353</v>
      </c>
      <c r="E436" s="28" t="s">
        <v>46</v>
      </c>
      <c r="F436" s="29" t="s">
        <v>46</v>
      </c>
      <c r="G436" s="30" t="s">
        <v>46</v>
      </c>
      <c r="H436" s="31"/>
      <c r="I436" s="31" t="s">
        <v>418</v>
      </c>
      <c r="J436" s="32" t="n">
        <v>1.0</v>
      </c>
      <c r="K436" s="33" t="n">
        <f>97100</f>
        <v>97100.0</v>
      </c>
      <c r="L436" s="34" t="s">
        <v>48</v>
      </c>
      <c r="M436" s="33" t="n">
        <f>99900</f>
        <v>99900.0</v>
      </c>
      <c r="N436" s="34" t="s">
        <v>144</v>
      </c>
      <c r="O436" s="33" t="n">
        <f>96900</f>
        <v>96900.0</v>
      </c>
      <c r="P436" s="34" t="s">
        <v>48</v>
      </c>
      <c r="Q436" s="33" t="n">
        <f>99400</f>
        <v>99400.0</v>
      </c>
      <c r="R436" s="34" t="s">
        <v>50</v>
      </c>
      <c r="S436" s="35" t="n">
        <f>98700</f>
        <v>98700.0</v>
      </c>
      <c r="T436" s="32" t="n">
        <f>31403</f>
        <v>31403.0</v>
      </c>
      <c r="U436" s="32" t="n">
        <f>5945</f>
        <v>5945.0</v>
      </c>
      <c r="V436" s="32" t="n">
        <f>3093103510</f>
        <v>3.09310351E9</v>
      </c>
      <c r="W436" s="32" t="n">
        <f>585183010</f>
        <v>5.8518301E8</v>
      </c>
      <c r="X436" s="36" t="n">
        <f>21</f>
        <v>21.0</v>
      </c>
    </row>
    <row r="437">
      <c r="A437" s="27" t="s">
        <v>42</v>
      </c>
      <c r="B437" s="27" t="s">
        <v>1354</v>
      </c>
      <c r="C437" s="27" t="s">
        <v>1355</v>
      </c>
      <c r="D437" s="27" t="s">
        <v>1356</v>
      </c>
      <c r="E437" s="28" t="s">
        <v>46</v>
      </c>
      <c r="F437" s="29" t="s">
        <v>46</v>
      </c>
      <c r="G437" s="30" t="s">
        <v>46</v>
      </c>
      <c r="H437" s="31"/>
      <c r="I437" s="31" t="s">
        <v>418</v>
      </c>
      <c r="J437" s="32" t="n">
        <v>1.0</v>
      </c>
      <c r="K437" s="33" t="n">
        <f>1056</f>
        <v>1056.0</v>
      </c>
      <c r="L437" s="34" t="s">
        <v>48</v>
      </c>
      <c r="M437" s="33" t="n">
        <f>1277</f>
        <v>1277.0</v>
      </c>
      <c r="N437" s="34" t="s">
        <v>50</v>
      </c>
      <c r="O437" s="33" t="n">
        <f>1032</f>
        <v>1032.0</v>
      </c>
      <c r="P437" s="34" t="s">
        <v>68</v>
      </c>
      <c r="Q437" s="33" t="n">
        <f>1275</f>
        <v>1275.0</v>
      </c>
      <c r="R437" s="34" t="s">
        <v>50</v>
      </c>
      <c r="S437" s="35" t="n">
        <f>1175.71</f>
        <v>1175.71</v>
      </c>
      <c r="T437" s="32" t="n">
        <f>640498</f>
        <v>640498.0</v>
      </c>
      <c r="U437" s="32" t="str">
        <f>"－"</f>
        <v>－</v>
      </c>
      <c r="V437" s="32" t="n">
        <f>735041479</f>
        <v>7.35041479E8</v>
      </c>
      <c r="W437" s="32" t="str">
        <f>"－"</f>
        <v>－</v>
      </c>
      <c r="X437" s="36" t="n">
        <f>21</f>
        <v>21.0</v>
      </c>
    </row>
    <row r="438">
      <c r="A438" s="27" t="s">
        <v>42</v>
      </c>
      <c r="B438" s="27" t="s">
        <v>1357</v>
      </c>
      <c r="C438" s="27" t="s">
        <v>1358</v>
      </c>
      <c r="D438" s="27" t="s">
        <v>1359</v>
      </c>
      <c r="E438" s="28" t="s">
        <v>46</v>
      </c>
      <c r="F438" s="29" t="s">
        <v>46</v>
      </c>
      <c r="G438" s="30" t="s">
        <v>46</v>
      </c>
      <c r="H438" s="31"/>
      <c r="I438" s="31" t="s">
        <v>418</v>
      </c>
      <c r="J438" s="32" t="n">
        <v>10.0</v>
      </c>
      <c r="K438" s="33" t="n">
        <f>214.5</f>
        <v>214.5</v>
      </c>
      <c r="L438" s="34" t="s">
        <v>48</v>
      </c>
      <c r="M438" s="33" t="n">
        <f>282.6</f>
        <v>282.6</v>
      </c>
      <c r="N438" s="34" t="s">
        <v>72</v>
      </c>
      <c r="O438" s="33" t="n">
        <f>214.1</f>
        <v>214.1</v>
      </c>
      <c r="P438" s="34" t="s">
        <v>48</v>
      </c>
      <c r="Q438" s="33" t="n">
        <f>275.5</f>
        <v>275.5</v>
      </c>
      <c r="R438" s="34" t="s">
        <v>50</v>
      </c>
      <c r="S438" s="35" t="n">
        <f>251.65</f>
        <v>251.65</v>
      </c>
      <c r="T438" s="32" t="n">
        <f>13226550</f>
        <v>1.322655E7</v>
      </c>
      <c r="U438" s="32" t="n">
        <f>7500</f>
        <v>7500.0</v>
      </c>
      <c r="V438" s="32" t="n">
        <f>3401936321</f>
        <v>3.401936321E9</v>
      </c>
      <c r="W438" s="32" t="n">
        <f>1992933</f>
        <v>1992933.0</v>
      </c>
      <c r="X438" s="36" t="n">
        <f>21</f>
        <v>21.0</v>
      </c>
    </row>
    <row r="439">
      <c r="A439" s="27" t="s">
        <v>42</v>
      </c>
      <c r="B439" s="27" t="s">
        <v>1360</v>
      </c>
      <c r="C439" s="27" t="s">
        <v>1361</v>
      </c>
      <c r="D439" s="27" t="s">
        <v>1362</v>
      </c>
      <c r="E439" s="28" t="s">
        <v>46</v>
      </c>
      <c r="F439" s="29" t="s">
        <v>46</v>
      </c>
      <c r="G439" s="30" t="s">
        <v>46</v>
      </c>
      <c r="H439" s="31"/>
      <c r="I439" s="31" t="s">
        <v>418</v>
      </c>
      <c r="J439" s="32" t="n">
        <v>1.0</v>
      </c>
      <c r="K439" s="33" t="n">
        <f>2888</f>
        <v>2888.0</v>
      </c>
      <c r="L439" s="34" t="s">
        <v>48</v>
      </c>
      <c r="M439" s="33" t="n">
        <f>4130</f>
        <v>4130.0</v>
      </c>
      <c r="N439" s="34" t="s">
        <v>207</v>
      </c>
      <c r="O439" s="33" t="n">
        <f>2851</f>
        <v>2851.0</v>
      </c>
      <c r="P439" s="34" t="s">
        <v>73</v>
      </c>
      <c r="Q439" s="33" t="n">
        <f>4051</f>
        <v>4051.0</v>
      </c>
      <c r="R439" s="34" t="s">
        <v>50</v>
      </c>
      <c r="S439" s="35" t="n">
        <f>3397.14</f>
        <v>3397.14</v>
      </c>
      <c r="T439" s="32" t="n">
        <f>270238</f>
        <v>270238.0</v>
      </c>
      <c r="U439" s="32" t="n">
        <f>52</f>
        <v>52.0</v>
      </c>
      <c r="V439" s="32" t="n">
        <f>981814415</f>
        <v>9.81814415E8</v>
      </c>
      <c r="W439" s="32" t="n">
        <f>204848</f>
        <v>204848.0</v>
      </c>
      <c r="X439" s="36" t="n">
        <f>21</f>
        <v>21.0</v>
      </c>
    </row>
    <row r="440">
      <c r="A440" s="27" t="s">
        <v>42</v>
      </c>
      <c r="B440" s="27" t="s">
        <v>1363</v>
      </c>
      <c r="C440" s="27" t="s">
        <v>1364</v>
      </c>
      <c r="D440" s="27" t="s">
        <v>1365</v>
      </c>
      <c r="E440" s="28" t="s">
        <v>46</v>
      </c>
      <c r="F440" s="29" t="s">
        <v>46</v>
      </c>
      <c r="G440" s="30" t="s">
        <v>46</v>
      </c>
      <c r="H440" s="31"/>
      <c r="I440" s="31" t="s">
        <v>418</v>
      </c>
      <c r="J440" s="32" t="n">
        <v>1.0</v>
      </c>
      <c r="K440" s="33" t="n">
        <f>2766</f>
        <v>2766.0</v>
      </c>
      <c r="L440" s="34" t="s">
        <v>48</v>
      </c>
      <c r="M440" s="33" t="n">
        <f>3590</f>
        <v>3590.0</v>
      </c>
      <c r="N440" s="34" t="s">
        <v>72</v>
      </c>
      <c r="O440" s="33" t="n">
        <f>2645</f>
        <v>2645.0</v>
      </c>
      <c r="P440" s="34" t="s">
        <v>68</v>
      </c>
      <c r="Q440" s="33" t="n">
        <f>3479</f>
        <v>3479.0</v>
      </c>
      <c r="R440" s="34" t="s">
        <v>50</v>
      </c>
      <c r="S440" s="35" t="n">
        <f>3038.86</f>
        <v>3038.86</v>
      </c>
      <c r="T440" s="32" t="n">
        <f>169474</f>
        <v>169474.0</v>
      </c>
      <c r="U440" s="32" t="n">
        <f>271</f>
        <v>271.0</v>
      </c>
      <c r="V440" s="32" t="n">
        <f>526346524</f>
        <v>5.26346524E8</v>
      </c>
      <c r="W440" s="32" t="n">
        <f>831980</f>
        <v>831980.0</v>
      </c>
      <c r="X440" s="36" t="n">
        <f>21</f>
        <v>21.0</v>
      </c>
    </row>
    <row r="441">
      <c r="A441" s="27" t="s">
        <v>42</v>
      </c>
      <c r="B441" s="27" t="s">
        <v>1366</v>
      </c>
      <c r="C441" s="27" t="s">
        <v>1367</v>
      </c>
      <c r="D441" s="27" t="s">
        <v>1368</v>
      </c>
      <c r="E441" s="28" t="s">
        <v>46</v>
      </c>
      <c r="F441" s="29" t="s">
        <v>46</v>
      </c>
      <c r="G441" s="30" t="s">
        <v>46</v>
      </c>
      <c r="H441" s="31"/>
      <c r="I441" s="31" t="s">
        <v>418</v>
      </c>
      <c r="J441" s="32" t="n">
        <v>10.0</v>
      </c>
      <c r="K441" s="33" t="n">
        <f>364.4</f>
        <v>364.4</v>
      </c>
      <c r="L441" s="34" t="s">
        <v>48</v>
      </c>
      <c r="M441" s="33" t="n">
        <f>376.4</f>
        <v>376.4</v>
      </c>
      <c r="N441" s="34" t="s">
        <v>200</v>
      </c>
      <c r="O441" s="33" t="n">
        <f>352</f>
        <v>352.0</v>
      </c>
      <c r="P441" s="34" t="s">
        <v>50</v>
      </c>
      <c r="Q441" s="33" t="n">
        <f>352.6</f>
        <v>352.6</v>
      </c>
      <c r="R441" s="34" t="s">
        <v>50</v>
      </c>
      <c r="S441" s="35" t="n">
        <f>365.25</f>
        <v>365.25</v>
      </c>
      <c r="T441" s="32" t="n">
        <f>6492850</f>
        <v>6492850.0</v>
      </c>
      <c r="U441" s="32" t="n">
        <f>70</f>
        <v>70.0</v>
      </c>
      <c r="V441" s="32" t="n">
        <f>2372197953</f>
        <v>2.372197953E9</v>
      </c>
      <c r="W441" s="32" t="n">
        <f>25342</f>
        <v>25342.0</v>
      </c>
      <c r="X441" s="36" t="n">
        <f>21</f>
        <v>21.0</v>
      </c>
    </row>
    <row r="442">
      <c r="A442" s="27" t="s">
        <v>42</v>
      </c>
      <c r="B442" s="27" t="s">
        <v>1369</v>
      </c>
      <c r="C442" s="27" t="s">
        <v>1370</v>
      </c>
      <c r="D442" s="27" t="s">
        <v>1371</v>
      </c>
      <c r="E442" s="28" t="s">
        <v>46</v>
      </c>
      <c r="F442" s="29" t="s">
        <v>46</v>
      </c>
      <c r="G442" s="30" t="s">
        <v>46</v>
      </c>
      <c r="H442" s="31"/>
      <c r="I442" s="31" t="s">
        <v>418</v>
      </c>
      <c r="J442" s="32" t="n">
        <v>10.0</v>
      </c>
      <c r="K442" s="33" t="n">
        <f>402.3</f>
        <v>402.3</v>
      </c>
      <c r="L442" s="34" t="s">
        <v>48</v>
      </c>
      <c r="M442" s="33" t="n">
        <f>413.6</f>
        <v>413.6</v>
      </c>
      <c r="N442" s="34" t="s">
        <v>88</v>
      </c>
      <c r="O442" s="33" t="n">
        <f>389.3</f>
        <v>389.3</v>
      </c>
      <c r="P442" s="34" t="s">
        <v>73</v>
      </c>
      <c r="Q442" s="33" t="n">
        <f>392.2</f>
        <v>392.2</v>
      </c>
      <c r="R442" s="34" t="s">
        <v>50</v>
      </c>
      <c r="S442" s="35" t="n">
        <f>402.2</f>
        <v>402.2</v>
      </c>
      <c r="T442" s="32" t="n">
        <f>10940130</f>
        <v>1.094013E7</v>
      </c>
      <c r="U442" s="32" t="n">
        <f>3241160</f>
        <v>3241160.0</v>
      </c>
      <c r="V442" s="32" t="n">
        <f>4402842849</f>
        <v>4.402842849E9</v>
      </c>
      <c r="W442" s="32" t="n">
        <f>1309581340</f>
        <v>1.30958134E9</v>
      </c>
      <c r="X442" s="36" t="n">
        <f>21</f>
        <v>21.0</v>
      </c>
    </row>
    <row r="443">
      <c r="A443" s="27" t="s">
        <v>42</v>
      </c>
      <c r="B443" s="27" t="s">
        <v>1372</v>
      </c>
      <c r="C443" s="27" t="s">
        <v>1373</v>
      </c>
      <c r="D443" s="27" t="s">
        <v>1374</v>
      </c>
      <c r="E443" s="28" t="s">
        <v>46</v>
      </c>
      <c r="F443" s="29" t="s">
        <v>46</v>
      </c>
      <c r="G443" s="30" t="s">
        <v>46</v>
      </c>
      <c r="H443" s="31"/>
      <c r="I443" s="31" t="s">
        <v>418</v>
      </c>
      <c r="J443" s="32" t="n">
        <v>1.0</v>
      </c>
      <c r="K443" s="33" t="n">
        <f>1101</f>
        <v>1101.0</v>
      </c>
      <c r="L443" s="34" t="s">
        <v>48</v>
      </c>
      <c r="M443" s="33" t="n">
        <f>1163</f>
        <v>1163.0</v>
      </c>
      <c r="N443" s="34" t="s">
        <v>80</v>
      </c>
      <c r="O443" s="33" t="n">
        <f>1086</f>
        <v>1086.0</v>
      </c>
      <c r="P443" s="34" t="s">
        <v>73</v>
      </c>
      <c r="Q443" s="33" t="n">
        <f>1144</f>
        <v>1144.0</v>
      </c>
      <c r="R443" s="34" t="s">
        <v>50</v>
      </c>
      <c r="S443" s="35" t="n">
        <f>1127.86</f>
        <v>1127.86</v>
      </c>
      <c r="T443" s="32" t="n">
        <f>469116</f>
        <v>469116.0</v>
      </c>
      <c r="U443" s="32" t="str">
        <f>"－"</f>
        <v>－</v>
      </c>
      <c r="V443" s="32" t="n">
        <f>527039468</f>
        <v>5.27039468E8</v>
      </c>
      <c r="W443" s="32" t="str">
        <f>"－"</f>
        <v>－</v>
      </c>
      <c r="X443" s="36" t="n">
        <f>21</f>
        <v>21.0</v>
      </c>
    </row>
    <row r="444">
      <c r="A444" s="27" t="s">
        <v>42</v>
      </c>
      <c r="B444" s="27" t="s">
        <v>1375</v>
      </c>
      <c r="C444" s="27" t="s">
        <v>1376</v>
      </c>
      <c r="D444" s="27" t="s">
        <v>1377</v>
      </c>
      <c r="E444" s="28" t="s">
        <v>46</v>
      </c>
      <c r="F444" s="29" t="s">
        <v>46</v>
      </c>
      <c r="G444" s="30" t="s">
        <v>46</v>
      </c>
      <c r="H444" s="31"/>
      <c r="I444" s="31" t="s">
        <v>47</v>
      </c>
      <c r="J444" s="32" t="n">
        <v>1.0</v>
      </c>
      <c r="K444" s="33" t="n">
        <f>2401</f>
        <v>2401.0</v>
      </c>
      <c r="L444" s="34" t="s">
        <v>48</v>
      </c>
      <c r="M444" s="33" t="n">
        <f>2445</f>
        <v>2445.0</v>
      </c>
      <c r="N444" s="34" t="s">
        <v>73</v>
      </c>
      <c r="O444" s="33" t="n">
        <f>2326</f>
        <v>2326.0</v>
      </c>
      <c r="P444" s="34" t="s">
        <v>72</v>
      </c>
      <c r="Q444" s="33" t="n">
        <f>2340</f>
        <v>2340.0</v>
      </c>
      <c r="R444" s="34" t="s">
        <v>50</v>
      </c>
      <c r="S444" s="35" t="n">
        <f>2383.9</f>
        <v>2383.9</v>
      </c>
      <c r="T444" s="32" t="n">
        <f>2844192</f>
        <v>2844192.0</v>
      </c>
      <c r="U444" s="32" t="n">
        <f>129267</f>
        <v>129267.0</v>
      </c>
      <c r="V444" s="32" t="n">
        <f>6774923983</f>
        <v>6.774923983E9</v>
      </c>
      <c r="W444" s="32" t="n">
        <f>305920705</f>
        <v>3.05920705E8</v>
      </c>
      <c r="X444" s="36" t="n">
        <f>21</f>
        <v>21.0</v>
      </c>
    </row>
    <row r="445">
      <c r="A445" s="27" t="s">
        <v>42</v>
      </c>
      <c r="B445" s="27" t="s">
        <v>1378</v>
      </c>
      <c r="C445" s="27" t="s">
        <v>1379</v>
      </c>
      <c r="D445" s="27" t="s">
        <v>1380</v>
      </c>
      <c r="E445" s="28" t="s">
        <v>46</v>
      </c>
      <c r="F445" s="29" t="s">
        <v>46</v>
      </c>
      <c r="G445" s="30" t="s">
        <v>46</v>
      </c>
      <c r="H445" s="31"/>
      <c r="I445" s="31" t="s">
        <v>418</v>
      </c>
      <c r="J445" s="32" t="n">
        <v>1.0</v>
      </c>
      <c r="K445" s="33" t="n">
        <f>1936</f>
        <v>1936.0</v>
      </c>
      <c r="L445" s="34" t="s">
        <v>48</v>
      </c>
      <c r="M445" s="33" t="n">
        <f>2050</f>
        <v>2050.0</v>
      </c>
      <c r="N445" s="34" t="s">
        <v>207</v>
      </c>
      <c r="O445" s="33" t="n">
        <f>1932</f>
        <v>1932.0</v>
      </c>
      <c r="P445" s="34" t="s">
        <v>48</v>
      </c>
      <c r="Q445" s="33" t="n">
        <f>1937</f>
        <v>1937.0</v>
      </c>
      <c r="R445" s="34" t="s">
        <v>50</v>
      </c>
      <c r="S445" s="35" t="n">
        <f>1976</f>
        <v>1976.0</v>
      </c>
      <c r="T445" s="32" t="n">
        <f>961480</f>
        <v>961480.0</v>
      </c>
      <c r="U445" s="32" t="n">
        <f>640302</f>
        <v>640302.0</v>
      </c>
      <c r="V445" s="32" t="n">
        <f>1904852751</f>
        <v>1.904852751E9</v>
      </c>
      <c r="W445" s="32" t="n">
        <f>1272194419</f>
        <v>1.272194419E9</v>
      </c>
      <c r="X445" s="36" t="n">
        <f>21</f>
        <v>21.0</v>
      </c>
    </row>
    <row r="446">
      <c r="A446" s="27" t="s">
        <v>42</v>
      </c>
      <c r="B446" s="27" t="s">
        <v>1381</v>
      </c>
      <c r="C446" s="27" t="s">
        <v>1382</v>
      </c>
      <c r="D446" s="27" t="s">
        <v>1383</v>
      </c>
      <c r="E446" s="28" t="s">
        <v>46</v>
      </c>
      <c r="F446" s="29" t="s">
        <v>46</v>
      </c>
      <c r="G446" s="30" t="s">
        <v>46</v>
      </c>
      <c r="H446" s="31"/>
      <c r="I446" s="31" t="s">
        <v>418</v>
      </c>
      <c r="J446" s="32" t="n">
        <v>10.0</v>
      </c>
      <c r="K446" s="33" t="n">
        <f>296.2</f>
        <v>296.2</v>
      </c>
      <c r="L446" s="34" t="s">
        <v>48</v>
      </c>
      <c r="M446" s="33" t="n">
        <f>308.6</f>
        <v>308.6</v>
      </c>
      <c r="N446" s="34" t="s">
        <v>88</v>
      </c>
      <c r="O446" s="33" t="n">
        <f>288</f>
        <v>288.0</v>
      </c>
      <c r="P446" s="34" t="s">
        <v>73</v>
      </c>
      <c r="Q446" s="33" t="n">
        <f>292.8</f>
        <v>292.8</v>
      </c>
      <c r="R446" s="34" t="s">
        <v>50</v>
      </c>
      <c r="S446" s="35" t="n">
        <f>299.72</f>
        <v>299.72</v>
      </c>
      <c r="T446" s="32" t="n">
        <f>2259390</f>
        <v>2259390.0</v>
      </c>
      <c r="U446" s="32" t="n">
        <f>33150</f>
        <v>33150.0</v>
      </c>
      <c r="V446" s="32" t="n">
        <f>677505523</f>
        <v>6.77505523E8</v>
      </c>
      <c r="W446" s="32" t="n">
        <f>9990084</f>
        <v>9990084.0</v>
      </c>
      <c r="X446" s="36" t="n">
        <f>21</f>
        <v>21.0</v>
      </c>
    </row>
    <row r="447">
      <c r="A447" s="27" t="s">
        <v>42</v>
      </c>
      <c r="B447" s="27" t="s">
        <v>1384</v>
      </c>
      <c r="C447" s="27" t="s">
        <v>1385</v>
      </c>
      <c r="D447" s="27" t="s">
        <v>1386</v>
      </c>
      <c r="E447" s="28" t="s">
        <v>46</v>
      </c>
      <c r="F447" s="29" t="s">
        <v>46</v>
      </c>
      <c r="G447" s="30" t="s">
        <v>46</v>
      </c>
      <c r="H447" s="31"/>
      <c r="I447" s="31" t="s">
        <v>418</v>
      </c>
      <c r="J447" s="32" t="n">
        <v>10.0</v>
      </c>
      <c r="K447" s="33" t="n">
        <f>285.6</f>
        <v>285.6</v>
      </c>
      <c r="L447" s="34" t="s">
        <v>48</v>
      </c>
      <c r="M447" s="33" t="n">
        <f>297.7</f>
        <v>297.7</v>
      </c>
      <c r="N447" s="34" t="s">
        <v>200</v>
      </c>
      <c r="O447" s="33" t="n">
        <f>273.8</f>
        <v>273.8</v>
      </c>
      <c r="P447" s="34" t="s">
        <v>50</v>
      </c>
      <c r="Q447" s="33" t="n">
        <f>277.9</f>
        <v>277.9</v>
      </c>
      <c r="R447" s="34" t="s">
        <v>50</v>
      </c>
      <c r="S447" s="35" t="n">
        <f>287.86</f>
        <v>287.86</v>
      </c>
      <c r="T447" s="32" t="n">
        <f>1051950</f>
        <v>1051950.0</v>
      </c>
      <c r="U447" s="32" t="str">
        <f>"－"</f>
        <v>－</v>
      </c>
      <c r="V447" s="32" t="n">
        <f>303367287</f>
        <v>3.03367287E8</v>
      </c>
      <c r="W447" s="32" t="str">
        <f>"－"</f>
        <v>－</v>
      </c>
      <c r="X447" s="36" t="n">
        <f>21</f>
        <v>21.0</v>
      </c>
    </row>
    <row r="448">
      <c r="A448" s="27" t="s">
        <v>42</v>
      </c>
      <c r="B448" s="27" t="s">
        <v>1387</v>
      </c>
      <c r="C448" s="27" t="s">
        <v>1388</v>
      </c>
      <c r="D448" s="27" t="s">
        <v>1389</v>
      </c>
      <c r="E448" s="28" t="s">
        <v>46</v>
      </c>
      <c r="F448" s="29" t="s">
        <v>46</v>
      </c>
      <c r="G448" s="30" t="s">
        <v>46</v>
      </c>
      <c r="H448" s="31"/>
      <c r="I448" s="31" t="s">
        <v>418</v>
      </c>
      <c r="J448" s="32" t="n">
        <v>10.0</v>
      </c>
      <c r="K448" s="33" t="n">
        <f>704.4</f>
        <v>704.4</v>
      </c>
      <c r="L448" s="34" t="s">
        <v>48</v>
      </c>
      <c r="M448" s="33" t="n">
        <f>779.4</f>
        <v>779.4</v>
      </c>
      <c r="N448" s="34" t="s">
        <v>50</v>
      </c>
      <c r="O448" s="33" t="n">
        <f>701.8</f>
        <v>701.8</v>
      </c>
      <c r="P448" s="34" t="s">
        <v>73</v>
      </c>
      <c r="Q448" s="33" t="n">
        <f>774.3</f>
        <v>774.3</v>
      </c>
      <c r="R448" s="34" t="s">
        <v>50</v>
      </c>
      <c r="S448" s="35" t="n">
        <f>745.2</f>
        <v>745.2</v>
      </c>
      <c r="T448" s="32" t="n">
        <f>2222630</f>
        <v>2222630.0</v>
      </c>
      <c r="U448" s="32" t="n">
        <f>1414000</f>
        <v>1414000.0</v>
      </c>
      <c r="V448" s="32" t="n">
        <f>1605118243</f>
        <v>1.605118243E9</v>
      </c>
      <c r="W448" s="32" t="n">
        <f>1003050594</f>
        <v>1.003050594E9</v>
      </c>
      <c r="X448" s="36" t="n">
        <f>21</f>
        <v>21.0</v>
      </c>
    </row>
    <row r="449">
      <c r="A449" s="27" t="s">
        <v>42</v>
      </c>
      <c r="B449" s="27" t="s">
        <v>1390</v>
      </c>
      <c r="C449" s="27" t="s">
        <v>1391</v>
      </c>
      <c r="D449" s="27" t="s">
        <v>1392</v>
      </c>
      <c r="E449" s="28" t="s">
        <v>46</v>
      </c>
      <c r="F449" s="29" t="s">
        <v>46</v>
      </c>
      <c r="G449" s="30" t="s">
        <v>46</v>
      </c>
      <c r="H449" s="31"/>
      <c r="I449" s="31" t="s">
        <v>418</v>
      </c>
      <c r="J449" s="32" t="n">
        <v>10.0</v>
      </c>
      <c r="K449" s="33" t="n">
        <f>680.2</f>
        <v>680.2</v>
      </c>
      <c r="L449" s="34" t="s">
        <v>48</v>
      </c>
      <c r="M449" s="33" t="n">
        <f>759.5</f>
        <v>759.5</v>
      </c>
      <c r="N449" s="34" t="s">
        <v>49</v>
      </c>
      <c r="O449" s="33" t="n">
        <f>675.7</f>
        <v>675.7</v>
      </c>
      <c r="P449" s="34" t="s">
        <v>73</v>
      </c>
      <c r="Q449" s="33" t="n">
        <f>736.2</f>
        <v>736.2</v>
      </c>
      <c r="R449" s="34" t="s">
        <v>50</v>
      </c>
      <c r="S449" s="35" t="n">
        <f>716.53</f>
        <v>716.53</v>
      </c>
      <c r="T449" s="32" t="n">
        <f>6169610</f>
        <v>6169610.0</v>
      </c>
      <c r="U449" s="32" t="n">
        <f>4312100</f>
        <v>4312100.0</v>
      </c>
      <c r="V449" s="32" t="n">
        <f>4475569688</f>
        <v>4.475569688E9</v>
      </c>
      <c r="W449" s="32" t="n">
        <f>3118228615</f>
        <v>3.118228615E9</v>
      </c>
      <c r="X449" s="36" t="n">
        <f>19</f>
        <v>19.0</v>
      </c>
    </row>
    <row r="450">
      <c r="A450" s="27" t="s">
        <v>42</v>
      </c>
      <c r="B450" s="27" t="s">
        <v>1393</v>
      </c>
      <c r="C450" s="27" t="s">
        <v>1394</v>
      </c>
      <c r="D450" s="27" t="s">
        <v>1395</v>
      </c>
      <c r="E450" s="28" t="s">
        <v>46</v>
      </c>
      <c r="F450" s="29" t="s">
        <v>46</v>
      </c>
      <c r="G450" s="30" t="s">
        <v>46</v>
      </c>
      <c r="H450" s="31"/>
      <c r="I450" s="31" t="s">
        <v>418</v>
      </c>
      <c r="J450" s="32" t="n">
        <v>10.0</v>
      </c>
      <c r="K450" s="33" t="n">
        <f>276.5</f>
        <v>276.5</v>
      </c>
      <c r="L450" s="34" t="s">
        <v>48</v>
      </c>
      <c r="M450" s="33" t="n">
        <f>283.9</f>
        <v>283.9</v>
      </c>
      <c r="N450" s="34" t="s">
        <v>242</v>
      </c>
      <c r="O450" s="33" t="n">
        <f>275.1</f>
        <v>275.1</v>
      </c>
      <c r="P450" s="34" t="s">
        <v>73</v>
      </c>
      <c r="Q450" s="33" t="n">
        <f>281.8</f>
        <v>281.8</v>
      </c>
      <c r="R450" s="34" t="s">
        <v>50</v>
      </c>
      <c r="S450" s="35" t="n">
        <f>280.24</f>
        <v>280.24</v>
      </c>
      <c r="T450" s="32" t="n">
        <f>180700</f>
        <v>180700.0</v>
      </c>
      <c r="U450" s="32" t="n">
        <f>10</f>
        <v>10.0</v>
      </c>
      <c r="V450" s="32" t="n">
        <f>50614295</f>
        <v>5.0614295E7</v>
      </c>
      <c r="W450" s="32" t="n">
        <f>2991</f>
        <v>2991.0</v>
      </c>
      <c r="X450" s="36" t="n">
        <f>21</f>
        <v>21.0</v>
      </c>
    </row>
    <row r="451">
      <c r="A451" s="27" t="s">
        <v>42</v>
      </c>
      <c r="B451" s="27" t="s">
        <v>1396</v>
      </c>
      <c r="C451" s="27" t="s">
        <v>1397</v>
      </c>
      <c r="D451" s="27" t="s">
        <v>1398</v>
      </c>
      <c r="E451" s="28" t="s">
        <v>46</v>
      </c>
      <c r="F451" s="29" t="s">
        <v>46</v>
      </c>
      <c r="G451" s="30" t="s">
        <v>46</v>
      </c>
      <c r="H451" s="31"/>
      <c r="I451" s="31" t="s">
        <v>418</v>
      </c>
      <c r="J451" s="32" t="n">
        <v>10.0</v>
      </c>
      <c r="K451" s="33" t="n">
        <f>790.4</f>
        <v>790.4</v>
      </c>
      <c r="L451" s="34" t="s">
        <v>48</v>
      </c>
      <c r="M451" s="33" t="n">
        <f>815</f>
        <v>815.0</v>
      </c>
      <c r="N451" s="34" t="s">
        <v>88</v>
      </c>
      <c r="O451" s="33" t="n">
        <f>786.1</f>
        <v>786.1</v>
      </c>
      <c r="P451" s="34" t="s">
        <v>48</v>
      </c>
      <c r="Q451" s="33" t="n">
        <f>807.2</f>
        <v>807.2</v>
      </c>
      <c r="R451" s="34" t="s">
        <v>50</v>
      </c>
      <c r="S451" s="35" t="n">
        <f>802.34</f>
        <v>802.34</v>
      </c>
      <c r="T451" s="32" t="n">
        <f>2867550</f>
        <v>2867550.0</v>
      </c>
      <c r="U451" s="32" t="n">
        <f>10</f>
        <v>10.0</v>
      </c>
      <c r="V451" s="32" t="n">
        <f>2303589968</f>
        <v>2.303589968E9</v>
      </c>
      <c r="W451" s="32" t="n">
        <f>8015</f>
        <v>8015.0</v>
      </c>
      <c r="X451" s="36" t="n">
        <f>21</f>
        <v>21.0</v>
      </c>
    </row>
    <row r="452">
      <c r="A452" s="27" t="s">
        <v>42</v>
      </c>
      <c r="B452" s="27" t="s">
        <v>1399</v>
      </c>
      <c r="C452" s="27" t="s">
        <v>1400</v>
      </c>
      <c r="D452" s="27" t="s">
        <v>1401</v>
      </c>
      <c r="E452" s="28" t="s">
        <v>46</v>
      </c>
      <c r="F452" s="29" t="s">
        <v>46</v>
      </c>
      <c r="G452" s="30" t="s">
        <v>46</v>
      </c>
      <c r="H452" s="31"/>
      <c r="I452" s="31" t="s">
        <v>418</v>
      </c>
      <c r="J452" s="32" t="n">
        <v>10.0</v>
      </c>
      <c r="K452" s="33" t="n">
        <f>800.7</f>
        <v>800.7</v>
      </c>
      <c r="L452" s="34" t="s">
        <v>48</v>
      </c>
      <c r="M452" s="33" t="n">
        <f>812.9</f>
        <v>812.9</v>
      </c>
      <c r="N452" s="34" t="s">
        <v>88</v>
      </c>
      <c r="O452" s="33" t="n">
        <f>797.5</f>
        <v>797.5</v>
      </c>
      <c r="P452" s="34" t="s">
        <v>207</v>
      </c>
      <c r="Q452" s="33" t="n">
        <f>801.9</f>
        <v>801.9</v>
      </c>
      <c r="R452" s="34" t="s">
        <v>50</v>
      </c>
      <c r="S452" s="35" t="n">
        <f>804.63</f>
        <v>804.63</v>
      </c>
      <c r="T452" s="32" t="n">
        <f>2577150</f>
        <v>2577150.0</v>
      </c>
      <c r="U452" s="32" t="n">
        <f>510</f>
        <v>510.0</v>
      </c>
      <c r="V452" s="32" t="n">
        <f>2069254125</f>
        <v>2.069254125E9</v>
      </c>
      <c r="W452" s="32" t="n">
        <f>408918</f>
        <v>408918.0</v>
      </c>
      <c r="X452" s="36" t="n">
        <f>21</f>
        <v>21.0</v>
      </c>
    </row>
    <row r="453">
      <c r="A453" s="27" t="s">
        <v>42</v>
      </c>
      <c r="B453" s="27" t="s">
        <v>1402</v>
      </c>
      <c r="C453" s="27" t="s">
        <v>1403</v>
      </c>
      <c r="D453" s="27" t="s">
        <v>1404</v>
      </c>
      <c r="E453" s="28" t="s">
        <v>46</v>
      </c>
      <c r="F453" s="29" t="s">
        <v>46</v>
      </c>
      <c r="G453" s="30" t="s">
        <v>46</v>
      </c>
      <c r="H453" s="31"/>
      <c r="I453" s="31" t="s">
        <v>418</v>
      </c>
      <c r="J453" s="32" t="n">
        <v>1.0</v>
      </c>
      <c r="K453" s="33" t="n">
        <f>10830</f>
        <v>10830.0</v>
      </c>
      <c r="L453" s="34" t="s">
        <v>48</v>
      </c>
      <c r="M453" s="33" t="n">
        <f>11385</f>
        <v>11385.0</v>
      </c>
      <c r="N453" s="34" t="s">
        <v>88</v>
      </c>
      <c r="O453" s="33" t="n">
        <f>10565</f>
        <v>10565.0</v>
      </c>
      <c r="P453" s="34" t="s">
        <v>67</v>
      </c>
      <c r="Q453" s="33" t="n">
        <f>10865</f>
        <v>10865.0</v>
      </c>
      <c r="R453" s="34" t="s">
        <v>50</v>
      </c>
      <c r="S453" s="35" t="n">
        <f>10944.29</f>
        <v>10944.29</v>
      </c>
      <c r="T453" s="32" t="n">
        <f>3472</f>
        <v>3472.0</v>
      </c>
      <c r="U453" s="32" t="str">
        <f>"－"</f>
        <v>－</v>
      </c>
      <c r="V453" s="32" t="n">
        <f>38036180</f>
        <v>3.803618E7</v>
      </c>
      <c r="W453" s="32" t="str">
        <f>"－"</f>
        <v>－</v>
      </c>
      <c r="X453" s="36" t="n">
        <f>21</f>
        <v>21.0</v>
      </c>
    </row>
    <row r="454">
      <c r="A454" s="27" t="s">
        <v>42</v>
      </c>
      <c r="B454" s="27" t="s">
        <v>1405</v>
      </c>
      <c r="C454" s="27" t="s">
        <v>1406</v>
      </c>
      <c r="D454" s="27" t="s">
        <v>1407</v>
      </c>
      <c r="E454" s="28" t="s">
        <v>46</v>
      </c>
      <c r="F454" s="29" t="s">
        <v>46</v>
      </c>
      <c r="G454" s="30" t="s">
        <v>46</v>
      </c>
      <c r="H454" s="31"/>
      <c r="I454" s="31" t="s">
        <v>418</v>
      </c>
      <c r="J454" s="32" t="n">
        <v>1.0</v>
      </c>
      <c r="K454" s="33" t="n">
        <f>2380</f>
        <v>2380.0</v>
      </c>
      <c r="L454" s="34" t="s">
        <v>48</v>
      </c>
      <c r="M454" s="33" t="n">
        <f>2467</f>
        <v>2467.0</v>
      </c>
      <c r="N454" s="34" t="s">
        <v>200</v>
      </c>
      <c r="O454" s="33" t="n">
        <f>2276</f>
        <v>2276.0</v>
      </c>
      <c r="P454" s="34" t="s">
        <v>72</v>
      </c>
      <c r="Q454" s="33" t="n">
        <f>2324</f>
        <v>2324.0</v>
      </c>
      <c r="R454" s="34" t="s">
        <v>50</v>
      </c>
      <c r="S454" s="35" t="n">
        <f>2376.43</f>
        <v>2376.43</v>
      </c>
      <c r="T454" s="32" t="n">
        <f>166800</f>
        <v>166800.0</v>
      </c>
      <c r="U454" s="32" t="n">
        <f>65000</f>
        <v>65000.0</v>
      </c>
      <c r="V454" s="32" t="n">
        <f>397096262</f>
        <v>3.97096262E8</v>
      </c>
      <c r="W454" s="32" t="n">
        <f>154596900</f>
        <v>1.545969E8</v>
      </c>
      <c r="X454" s="36" t="n">
        <f>21</f>
        <v>21.0</v>
      </c>
    </row>
    <row r="455">
      <c r="A455" s="27" t="s">
        <v>42</v>
      </c>
      <c r="B455" s="27" t="s">
        <v>1408</v>
      </c>
      <c r="C455" s="27" t="s">
        <v>1409</v>
      </c>
      <c r="D455" s="27" t="s">
        <v>1410</v>
      </c>
      <c r="E455" s="28" t="s">
        <v>46</v>
      </c>
      <c r="F455" s="29" t="s">
        <v>46</v>
      </c>
      <c r="G455" s="30" t="s">
        <v>46</v>
      </c>
      <c r="H455" s="31"/>
      <c r="I455" s="31" t="s">
        <v>418</v>
      </c>
      <c r="J455" s="32" t="n">
        <v>1.0</v>
      </c>
      <c r="K455" s="33" t="n">
        <f>1253</f>
        <v>1253.0</v>
      </c>
      <c r="L455" s="34" t="s">
        <v>48</v>
      </c>
      <c r="M455" s="33" t="n">
        <f>1294</f>
        <v>1294.0</v>
      </c>
      <c r="N455" s="34" t="s">
        <v>200</v>
      </c>
      <c r="O455" s="33" t="n">
        <f>1187</f>
        <v>1187.0</v>
      </c>
      <c r="P455" s="34" t="s">
        <v>72</v>
      </c>
      <c r="Q455" s="33" t="n">
        <f>1226</f>
        <v>1226.0</v>
      </c>
      <c r="R455" s="34" t="s">
        <v>50</v>
      </c>
      <c r="S455" s="35" t="n">
        <f>1238.43</f>
        <v>1238.43</v>
      </c>
      <c r="T455" s="32" t="n">
        <f>754146</f>
        <v>754146.0</v>
      </c>
      <c r="U455" s="32" t="n">
        <f>90919</f>
        <v>90919.0</v>
      </c>
      <c r="V455" s="32" t="n">
        <f>931044554</f>
        <v>9.31044554E8</v>
      </c>
      <c r="W455" s="32" t="n">
        <f>110196635</f>
        <v>1.10196635E8</v>
      </c>
      <c r="X455" s="36" t="n">
        <f>21</f>
        <v>21.0</v>
      </c>
    </row>
    <row r="456">
      <c r="A456" s="27" t="s">
        <v>42</v>
      </c>
      <c r="B456" s="27" t="s">
        <v>1411</v>
      </c>
      <c r="C456" s="27" t="s">
        <v>1412</v>
      </c>
      <c r="D456" s="27" t="s">
        <v>1413</v>
      </c>
      <c r="E456" s="28" t="s">
        <v>46</v>
      </c>
      <c r="F456" s="29" t="s">
        <v>46</v>
      </c>
      <c r="G456" s="30" t="s">
        <v>46</v>
      </c>
      <c r="H456" s="31"/>
      <c r="I456" s="31" t="s">
        <v>418</v>
      </c>
      <c r="J456" s="32" t="n">
        <v>1.0</v>
      </c>
      <c r="K456" s="33" t="n">
        <f>1178</f>
        <v>1178.0</v>
      </c>
      <c r="L456" s="34" t="s">
        <v>48</v>
      </c>
      <c r="M456" s="33" t="n">
        <f>1250</f>
        <v>1250.0</v>
      </c>
      <c r="N456" s="34" t="s">
        <v>200</v>
      </c>
      <c r="O456" s="33" t="n">
        <f>1115</f>
        <v>1115.0</v>
      </c>
      <c r="P456" s="34" t="s">
        <v>50</v>
      </c>
      <c r="Q456" s="33" t="n">
        <f>1120</f>
        <v>1120.0</v>
      </c>
      <c r="R456" s="34" t="s">
        <v>50</v>
      </c>
      <c r="S456" s="35" t="n">
        <f>1198.48</f>
        <v>1198.48</v>
      </c>
      <c r="T456" s="32" t="n">
        <f>1361206</f>
        <v>1361206.0</v>
      </c>
      <c r="U456" s="32" t="n">
        <f>8547</f>
        <v>8547.0</v>
      </c>
      <c r="V456" s="32" t="n">
        <f>1628247943</f>
        <v>1.628247943E9</v>
      </c>
      <c r="W456" s="32" t="n">
        <f>10132128</f>
        <v>1.0132128E7</v>
      </c>
      <c r="X456" s="36" t="n">
        <f>21</f>
        <v>21.0</v>
      </c>
    </row>
    <row r="457">
      <c r="A457" s="27" t="s">
        <v>42</v>
      </c>
      <c r="B457" s="27" t="s">
        <v>1414</v>
      </c>
      <c r="C457" s="27" t="s">
        <v>1415</v>
      </c>
      <c r="D457" s="27" t="s">
        <v>1416</v>
      </c>
      <c r="E457" s="28" t="s">
        <v>46</v>
      </c>
      <c r="F457" s="29" t="s">
        <v>46</v>
      </c>
      <c r="G457" s="30" t="s">
        <v>46</v>
      </c>
      <c r="H457" s="31"/>
      <c r="I457" s="31" t="s">
        <v>418</v>
      </c>
      <c r="J457" s="32" t="n">
        <v>10.0</v>
      </c>
      <c r="K457" s="33" t="n">
        <f>288.1</f>
        <v>288.1</v>
      </c>
      <c r="L457" s="34" t="s">
        <v>48</v>
      </c>
      <c r="M457" s="33" t="n">
        <f>292.5</f>
        <v>292.5</v>
      </c>
      <c r="N457" s="34" t="s">
        <v>84</v>
      </c>
      <c r="O457" s="33" t="n">
        <f>287.6</f>
        <v>287.6</v>
      </c>
      <c r="P457" s="34" t="s">
        <v>73</v>
      </c>
      <c r="Q457" s="33" t="n">
        <f>288.3</f>
        <v>288.3</v>
      </c>
      <c r="R457" s="34" t="s">
        <v>50</v>
      </c>
      <c r="S457" s="35" t="n">
        <f>290.04</f>
        <v>290.04</v>
      </c>
      <c r="T457" s="32" t="n">
        <f>8970</f>
        <v>8970.0</v>
      </c>
      <c r="U457" s="32" t="str">
        <f>"－"</f>
        <v>－</v>
      </c>
      <c r="V457" s="32" t="n">
        <f>2597237</f>
        <v>2597237.0</v>
      </c>
      <c r="W457" s="32" t="str">
        <f>"－"</f>
        <v>－</v>
      </c>
      <c r="X457" s="36" t="n">
        <f>19</f>
        <v>19.0</v>
      </c>
    </row>
    <row r="458">
      <c r="A458" s="27" t="s">
        <v>42</v>
      </c>
      <c r="B458" s="27" t="s">
        <v>1417</v>
      </c>
      <c r="C458" s="27" t="s">
        <v>1418</v>
      </c>
      <c r="D458" s="27" t="s">
        <v>1419</v>
      </c>
      <c r="E458" s="28" t="s">
        <v>46</v>
      </c>
      <c r="F458" s="29" t="s">
        <v>46</v>
      </c>
      <c r="G458" s="30" t="s">
        <v>46</v>
      </c>
      <c r="H458" s="31"/>
      <c r="I458" s="31" t="s">
        <v>418</v>
      </c>
      <c r="J458" s="32" t="n">
        <v>10.0</v>
      </c>
      <c r="K458" s="33" t="n">
        <f>290</f>
        <v>290.0</v>
      </c>
      <c r="L458" s="34" t="s">
        <v>48</v>
      </c>
      <c r="M458" s="33" t="n">
        <f>294.8</f>
        <v>294.8</v>
      </c>
      <c r="N458" s="34" t="s">
        <v>282</v>
      </c>
      <c r="O458" s="33" t="n">
        <f>288.5</f>
        <v>288.5</v>
      </c>
      <c r="P458" s="34" t="s">
        <v>48</v>
      </c>
      <c r="Q458" s="33" t="n">
        <f>292.4</f>
        <v>292.4</v>
      </c>
      <c r="R458" s="34" t="s">
        <v>50</v>
      </c>
      <c r="S458" s="35" t="n">
        <f>291.8</f>
        <v>291.8</v>
      </c>
      <c r="T458" s="32" t="n">
        <f>101650</f>
        <v>101650.0</v>
      </c>
      <c r="U458" s="32" t="str">
        <f>"－"</f>
        <v>－</v>
      </c>
      <c r="V458" s="32" t="n">
        <f>29665182</f>
        <v>2.9665182E7</v>
      </c>
      <c r="W458" s="32" t="str">
        <f>"－"</f>
        <v>－</v>
      </c>
      <c r="X458" s="36" t="n">
        <f>21</f>
        <v>21.0</v>
      </c>
    </row>
    <row r="459">
      <c r="A459" s="27" t="s">
        <v>42</v>
      </c>
      <c r="B459" s="27" t="s">
        <v>1420</v>
      </c>
      <c r="C459" s="27" t="s">
        <v>1421</v>
      </c>
      <c r="D459" s="27" t="s">
        <v>1422</v>
      </c>
      <c r="E459" s="28" t="s">
        <v>46</v>
      </c>
      <c r="F459" s="29" t="s">
        <v>46</v>
      </c>
      <c r="G459" s="30" t="s">
        <v>46</v>
      </c>
      <c r="H459" s="31"/>
      <c r="I459" s="31" t="s">
        <v>418</v>
      </c>
      <c r="J459" s="32" t="n">
        <v>1.0</v>
      </c>
      <c r="K459" s="33" t="n">
        <f>1075</f>
        <v>1075.0</v>
      </c>
      <c r="L459" s="34" t="s">
        <v>48</v>
      </c>
      <c r="M459" s="33" t="n">
        <f>1223</f>
        <v>1223.0</v>
      </c>
      <c r="N459" s="34" t="s">
        <v>72</v>
      </c>
      <c r="O459" s="33" t="n">
        <f>1058</f>
        <v>1058.0</v>
      </c>
      <c r="P459" s="34" t="s">
        <v>73</v>
      </c>
      <c r="Q459" s="33" t="n">
        <f>1187</f>
        <v>1187.0</v>
      </c>
      <c r="R459" s="34" t="s">
        <v>50</v>
      </c>
      <c r="S459" s="35" t="n">
        <f>1154.05</f>
        <v>1154.05</v>
      </c>
      <c r="T459" s="32" t="n">
        <f>1023677</f>
        <v>1023677.0</v>
      </c>
      <c r="U459" s="32" t="n">
        <f>15</f>
        <v>15.0</v>
      </c>
      <c r="V459" s="32" t="n">
        <f>1208333327</f>
        <v>1.208333327E9</v>
      </c>
      <c r="W459" s="32" t="n">
        <f>17415</f>
        <v>17415.0</v>
      </c>
      <c r="X459" s="36" t="n">
        <f>21</f>
        <v>21.0</v>
      </c>
    </row>
    <row r="460">
      <c r="A460" s="27" t="s">
        <v>42</v>
      </c>
      <c r="B460" s="27" t="s">
        <v>1423</v>
      </c>
      <c r="C460" s="27" t="s">
        <v>1424</v>
      </c>
      <c r="D460" s="27" t="s">
        <v>1425</v>
      </c>
      <c r="E460" s="28" t="s">
        <v>46</v>
      </c>
      <c r="F460" s="29" t="s">
        <v>46</v>
      </c>
      <c r="G460" s="30" t="s">
        <v>46</v>
      </c>
      <c r="H460" s="31"/>
      <c r="I460" s="31" t="s">
        <v>418</v>
      </c>
      <c r="J460" s="32" t="n">
        <v>1.0</v>
      </c>
      <c r="K460" s="33" t="n">
        <f>1983</f>
        <v>1983.0</v>
      </c>
      <c r="L460" s="34" t="s">
        <v>48</v>
      </c>
      <c r="M460" s="33" t="n">
        <f>2150</f>
        <v>2150.0</v>
      </c>
      <c r="N460" s="34" t="s">
        <v>73</v>
      </c>
      <c r="O460" s="33" t="n">
        <f>1960</f>
        <v>1960.0</v>
      </c>
      <c r="P460" s="34" t="s">
        <v>73</v>
      </c>
      <c r="Q460" s="33" t="n">
        <f>2061</f>
        <v>2061.0</v>
      </c>
      <c r="R460" s="34" t="s">
        <v>50</v>
      </c>
      <c r="S460" s="35" t="n">
        <f>2078.19</f>
        <v>2078.19</v>
      </c>
      <c r="T460" s="32" t="n">
        <f>115791</f>
        <v>115791.0</v>
      </c>
      <c r="U460" s="32" t="str">
        <f>"－"</f>
        <v>－</v>
      </c>
      <c r="V460" s="32" t="n">
        <f>239954748</f>
        <v>2.39954748E8</v>
      </c>
      <c r="W460" s="32" t="str">
        <f>"－"</f>
        <v>－</v>
      </c>
      <c r="X460" s="36" t="n">
        <f>21</f>
        <v>21.0</v>
      </c>
    </row>
    <row r="461">
      <c r="A461" s="27" t="s">
        <v>42</v>
      </c>
      <c r="B461" s="27" t="s">
        <v>1426</v>
      </c>
      <c r="C461" s="27" t="s">
        <v>1427</v>
      </c>
      <c r="D461" s="27" t="s">
        <v>1428</v>
      </c>
      <c r="E461" s="28" t="s">
        <v>46</v>
      </c>
      <c r="F461" s="29" t="s">
        <v>46</v>
      </c>
      <c r="G461" s="30" t="s">
        <v>46</v>
      </c>
      <c r="H461" s="31"/>
      <c r="I461" s="31" t="s">
        <v>418</v>
      </c>
      <c r="J461" s="32" t="n">
        <v>1.0</v>
      </c>
      <c r="K461" s="33" t="n">
        <f>1900</f>
        <v>1900.0</v>
      </c>
      <c r="L461" s="34" t="s">
        <v>48</v>
      </c>
      <c r="M461" s="33" t="n">
        <f>2071</f>
        <v>2071.0</v>
      </c>
      <c r="N461" s="34" t="s">
        <v>67</v>
      </c>
      <c r="O461" s="33" t="n">
        <f>1877</f>
        <v>1877.0</v>
      </c>
      <c r="P461" s="34" t="s">
        <v>73</v>
      </c>
      <c r="Q461" s="33" t="n">
        <f>1985</f>
        <v>1985.0</v>
      </c>
      <c r="R461" s="34" t="s">
        <v>50</v>
      </c>
      <c r="S461" s="35" t="n">
        <f>1987.24</f>
        <v>1987.24</v>
      </c>
      <c r="T461" s="32" t="n">
        <f>23586</f>
        <v>23586.0</v>
      </c>
      <c r="U461" s="32" t="str">
        <f>"－"</f>
        <v>－</v>
      </c>
      <c r="V461" s="32" t="n">
        <f>46364462</f>
        <v>4.6364462E7</v>
      </c>
      <c r="W461" s="32" t="str">
        <f>"－"</f>
        <v>－</v>
      </c>
      <c r="X461" s="36" t="n">
        <f>21</f>
        <v>21.0</v>
      </c>
    </row>
    <row r="462">
      <c r="A462" s="27" t="s">
        <v>42</v>
      </c>
      <c r="B462" s="27" t="s">
        <v>1429</v>
      </c>
      <c r="C462" s="27" t="s">
        <v>1430</v>
      </c>
      <c r="D462" s="27" t="s">
        <v>1431</v>
      </c>
      <c r="E462" s="28" t="s">
        <v>46</v>
      </c>
      <c r="F462" s="29" t="s">
        <v>46</v>
      </c>
      <c r="G462" s="30" t="s">
        <v>46</v>
      </c>
      <c r="H462" s="31"/>
      <c r="I462" s="31" t="s">
        <v>418</v>
      </c>
      <c r="J462" s="32" t="n">
        <v>10.0</v>
      </c>
      <c r="K462" s="33" t="n">
        <f>779.3</f>
        <v>779.3</v>
      </c>
      <c r="L462" s="34" t="s">
        <v>48</v>
      </c>
      <c r="M462" s="33" t="n">
        <f>780.3</f>
        <v>780.3</v>
      </c>
      <c r="N462" s="34" t="s">
        <v>200</v>
      </c>
      <c r="O462" s="33" t="n">
        <f>767.3</f>
        <v>767.3</v>
      </c>
      <c r="P462" s="34" t="s">
        <v>50</v>
      </c>
      <c r="Q462" s="33" t="n">
        <f>768</f>
        <v>768.0</v>
      </c>
      <c r="R462" s="34" t="s">
        <v>50</v>
      </c>
      <c r="S462" s="35" t="n">
        <f>774.98</f>
        <v>774.98</v>
      </c>
      <c r="T462" s="32" t="n">
        <f>2412900</f>
        <v>2412900.0</v>
      </c>
      <c r="U462" s="32" t="n">
        <f>2006690</f>
        <v>2006690.0</v>
      </c>
      <c r="V462" s="32" t="n">
        <f>1876702948</f>
        <v>1.876702948E9</v>
      </c>
      <c r="W462" s="32" t="n">
        <f>1562233577</f>
        <v>1.562233577E9</v>
      </c>
      <c r="X462" s="36" t="n">
        <f>21</f>
        <v>21.0</v>
      </c>
    </row>
    <row r="463">
      <c r="A463" s="27" t="s">
        <v>42</v>
      </c>
      <c r="B463" s="27" t="s">
        <v>1432</v>
      </c>
      <c r="C463" s="27" t="s">
        <v>1433</v>
      </c>
      <c r="D463" s="27" t="s">
        <v>1434</v>
      </c>
      <c r="E463" s="28" t="s">
        <v>46</v>
      </c>
      <c r="F463" s="29" t="s">
        <v>46</v>
      </c>
      <c r="G463" s="30" t="s">
        <v>46</v>
      </c>
      <c r="H463" s="31"/>
      <c r="I463" s="31" t="s">
        <v>418</v>
      </c>
      <c r="J463" s="32" t="n">
        <v>1.0</v>
      </c>
      <c r="K463" s="33" t="n">
        <f>943</f>
        <v>943.0</v>
      </c>
      <c r="L463" s="34" t="s">
        <v>48</v>
      </c>
      <c r="M463" s="33" t="n">
        <f>961</f>
        <v>961.0</v>
      </c>
      <c r="N463" s="34" t="s">
        <v>84</v>
      </c>
      <c r="O463" s="33" t="n">
        <f>932</f>
        <v>932.0</v>
      </c>
      <c r="P463" s="34" t="s">
        <v>220</v>
      </c>
      <c r="Q463" s="33" t="n">
        <f>945</f>
        <v>945.0</v>
      </c>
      <c r="R463" s="34" t="s">
        <v>207</v>
      </c>
      <c r="S463" s="35" t="n">
        <f>945.42</f>
        <v>945.42</v>
      </c>
      <c r="T463" s="32" t="n">
        <f>1327</f>
        <v>1327.0</v>
      </c>
      <c r="U463" s="32" t="str">
        <f>"－"</f>
        <v>－</v>
      </c>
      <c r="V463" s="32" t="n">
        <f>1249674</f>
        <v>1249674.0</v>
      </c>
      <c r="W463" s="32" t="str">
        <f>"－"</f>
        <v>－</v>
      </c>
      <c r="X463" s="36" t="n">
        <f>19</f>
        <v>19.0</v>
      </c>
    </row>
    <row r="464">
      <c r="A464" s="27" t="s">
        <v>42</v>
      </c>
      <c r="B464" s="27" t="s">
        <v>1435</v>
      </c>
      <c r="C464" s="27" t="s">
        <v>1436</v>
      </c>
      <c r="D464" s="27" t="s">
        <v>1437</v>
      </c>
      <c r="E464" s="28" t="s">
        <v>46</v>
      </c>
      <c r="F464" s="29" t="s">
        <v>46</v>
      </c>
      <c r="G464" s="30" t="s">
        <v>46</v>
      </c>
      <c r="H464" s="31"/>
      <c r="I464" s="31" t="s">
        <v>418</v>
      </c>
      <c r="J464" s="32" t="n">
        <v>10.0</v>
      </c>
      <c r="K464" s="33" t="n">
        <f>484</f>
        <v>484.0</v>
      </c>
      <c r="L464" s="34" t="s">
        <v>60</v>
      </c>
      <c r="M464" s="33" t="n">
        <f>525.2</f>
        <v>525.2</v>
      </c>
      <c r="N464" s="34" t="s">
        <v>72</v>
      </c>
      <c r="O464" s="33" t="n">
        <f>478</f>
        <v>478.0</v>
      </c>
      <c r="P464" s="34" t="s">
        <v>68</v>
      </c>
      <c r="Q464" s="33" t="n">
        <f>519.4</f>
        <v>519.4</v>
      </c>
      <c r="R464" s="34" t="s">
        <v>50</v>
      </c>
      <c r="S464" s="35" t="n">
        <f>504.06</f>
        <v>504.06</v>
      </c>
      <c r="T464" s="32" t="n">
        <f>1225950</f>
        <v>1225950.0</v>
      </c>
      <c r="U464" s="32" t="n">
        <f>1068000</f>
        <v>1068000.0</v>
      </c>
      <c r="V464" s="32" t="n">
        <f>600759474</f>
        <v>6.00759474E8</v>
      </c>
      <c r="W464" s="32" t="n">
        <f>522839400</f>
        <v>5.228394E8</v>
      </c>
      <c r="X464" s="36" t="n">
        <f>15</f>
        <v>15.0</v>
      </c>
    </row>
    <row r="465">
      <c r="A465" s="27" t="s">
        <v>42</v>
      </c>
      <c r="B465" s="27" t="s">
        <v>1438</v>
      </c>
      <c r="C465" s="27" t="s">
        <v>1439</v>
      </c>
      <c r="D465" s="27" t="s">
        <v>1440</v>
      </c>
      <c r="E465" s="28" t="s">
        <v>46</v>
      </c>
      <c r="F465" s="29" t="s">
        <v>46</v>
      </c>
      <c r="G465" s="30" t="s">
        <v>46</v>
      </c>
      <c r="H465" s="31"/>
      <c r="I465" s="31" t="s">
        <v>418</v>
      </c>
      <c r="J465" s="32" t="n">
        <v>10.0</v>
      </c>
      <c r="K465" s="33" t="n">
        <f>993.6</f>
        <v>993.6</v>
      </c>
      <c r="L465" s="34" t="s">
        <v>48</v>
      </c>
      <c r="M465" s="33" t="n">
        <f>996.4</f>
        <v>996.4</v>
      </c>
      <c r="N465" s="34" t="s">
        <v>80</v>
      </c>
      <c r="O465" s="33" t="n">
        <f>987.7</f>
        <v>987.7</v>
      </c>
      <c r="P465" s="34" t="s">
        <v>84</v>
      </c>
      <c r="Q465" s="33" t="n">
        <f>990</f>
        <v>990.0</v>
      </c>
      <c r="R465" s="34" t="s">
        <v>50</v>
      </c>
      <c r="S465" s="35" t="n">
        <f>993.22</f>
        <v>993.22</v>
      </c>
      <c r="T465" s="32" t="n">
        <f>8880</f>
        <v>8880.0</v>
      </c>
      <c r="U465" s="32" t="str">
        <f>"－"</f>
        <v>－</v>
      </c>
      <c r="V465" s="32" t="n">
        <f>8809452</f>
        <v>8809452.0</v>
      </c>
      <c r="W465" s="32" t="str">
        <f>"－"</f>
        <v>－</v>
      </c>
      <c r="X465" s="36" t="n">
        <f>17</f>
        <v>17.0</v>
      </c>
    </row>
    <row r="466">
      <c r="A466" s="27" t="s">
        <v>42</v>
      </c>
      <c r="B466" s="27" t="s">
        <v>1441</v>
      </c>
      <c r="C466" s="27" t="s">
        <v>1442</v>
      </c>
      <c r="D466" s="27" t="s">
        <v>1443</v>
      </c>
      <c r="E466" s="28" t="s">
        <v>46</v>
      </c>
      <c r="F466" s="29" t="s">
        <v>46</v>
      </c>
      <c r="G466" s="30" t="s">
        <v>46</v>
      </c>
      <c r="H466" s="31"/>
      <c r="I466" s="31" t="s">
        <v>418</v>
      </c>
      <c r="J466" s="32" t="n">
        <v>10.0</v>
      </c>
      <c r="K466" s="33" t="n">
        <f>997.1</f>
        <v>997.1</v>
      </c>
      <c r="L466" s="34" t="s">
        <v>48</v>
      </c>
      <c r="M466" s="33" t="n">
        <f>998.5</f>
        <v>998.5</v>
      </c>
      <c r="N466" s="34" t="s">
        <v>67</v>
      </c>
      <c r="O466" s="33" t="n">
        <f>993.5</f>
        <v>993.5</v>
      </c>
      <c r="P466" s="34" t="s">
        <v>220</v>
      </c>
      <c r="Q466" s="33" t="n">
        <f>995</f>
        <v>995.0</v>
      </c>
      <c r="R466" s="34" t="s">
        <v>50</v>
      </c>
      <c r="S466" s="35" t="n">
        <f>995.72</f>
        <v>995.72</v>
      </c>
      <c r="T466" s="32" t="n">
        <f>6930</f>
        <v>6930.0</v>
      </c>
      <c r="U466" s="32" t="str">
        <f>"－"</f>
        <v>－</v>
      </c>
      <c r="V466" s="32" t="n">
        <f>6901016</f>
        <v>6901016.0</v>
      </c>
      <c r="W466" s="32" t="str">
        <f>"－"</f>
        <v>－</v>
      </c>
      <c r="X466" s="36" t="n">
        <f>16</f>
        <v>16.0</v>
      </c>
    </row>
    <row r="467">
      <c r="A467" s="27" t="s">
        <v>42</v>
      </c>
      <c r="B467" s="27" t="s">
        <v>1444</v>
      </c>
      <c r="C467" s="27" t="s">
        <v>1445</v>
      </c>
      <c r="D467" s="27" t="s">
        <v>1446</v>
      </c>
      <c r="E467" s="28" t="s">
        <v>46</v>
      </c>
      <c r="F467" s="29" t="s">
        <v>46</v>
      </c>
      <c r="G467" s="30" t="s">
        <v>46</v>
      </c>
      <c r="H467" s="31"/>
      <c r="I467" s="31" t="s">
        <v>418</v>
      </c>
      <c r="J467" s="32" t="n">
        <v>10.0</v>
      </c>
      <c r="K467" s="33" t="n">
        <f>997.1</f>
        <v>997.1</v>
      </c>
      <c r="L467" s="34" t="s">
        <v>73</v>
      </c>
      <c r="M467" s="33" t="n">
        <f>997.1</f>
        <v>997.1</v>
      </c>
      <c r="N467" s="34" t="s">
        <v>73</v>
      </c>
      <c r="O467" s="33" t="n">
        <f>989</f>
        <v>989.0</v>
      </c>
      <c r="P467" s="34" t="s">
        <v>50</v>
      </c>
      <c r="Q467" s="33" t="n">
        <f>989</f>
        <v>989.0</v>
      </c>
      <c r="R467" s="34" t="s">
        <v>50</v>
      </c>
      <c r="S467" s="35" t="n">
        <f>993.34</f>
        <v>993.34</v>
      </c>
      <c r="T467" s="32" t="n">
        <f>200</f>
        <v>200.0</v>
      </c>
      <c r="U467" s="32" t="str">
        <f>"－"</f>
        <v>－</v>
      </c>
      <c r="V467" s="32" t="n">
        <f>198338</f>
        <v>198338.0</v>
      </c>
      <c r="W467" s="32" t="str">
        <f>"－"</f>
        <v>－</v>
      </c>
      <c r="X467" s="36" t="n">
        <f>5</f>
        <v>5.0</v>
      </c>
    </row>
    <row r="468">
      <c r="A468" s="27" t="s">
        <v>42</v>
      </c>
      <c r="B468" s="27" t="s">
        <v>1447</v>
      </c>
      <c r="C468" s="27" t="s">
        <v>1448</v>
      </c>
      <c r="D468" s="27" t="s">
        <v>1449</v>
      </c>
      <c r="E468" s="28" t="s">
        <v>46</v>
      </c>
      <c r="F468" s="29" t="s">
        <v>46</v>
      </c>
      <c r="G468" s="30" t="s">
        <v>46</v>
      </c>
      <c r="H468" s="31"/>
      <c r="I468" s="31" t="s">
        <v>418</v>
      </c>
      <c r="J468" s="32" t="n">
        <v>10.0</v>
      </c>
      <c r="K468" s="33" t="n">
        <f>998.6</f>
        <v>998.6</v>
      </c>
      <c r="L468" s="34" t="s">
        <v>73</v>
      </c>
      <c r="M468" s="33" t="n">
        <f>998.6</f>
        <v>998.6</v>
      </c>
      <c r="N468" s="34" t="s">
        <v>73</v>
      </c>
      <c r="O468" s="33" t="n">
        <f>983.1</f>
        <v>983.1</v>
      </c>
      <c r="P468" s="34" t="s">
        <v>242</v>
      </c>
      <c r="Q468" s="33" t="n">
        <f>984.5</f>
        <v>984.5</v>
      </c>
      <c r="R468" s="34" t="s">
        <v>50</v>
      </c>
      <c r="S468" s="35" t="n">
        <f>990.83</f>
        <v>990.83</v>
      </c>
      <c r="T468" s="32" t="n">
        <f>33150</f>
        <v>33150.0</v>
      </c>
      <c r="U468" s="32" t="str">
        <f>"－"</f>
        <v>－</v>
      </c>
      <c r="V468" s="32" t="n">
        <f>32854277</f>
        <v>3.2854277E7</v>
      </c>
      <c r="W468" s="32" t="str">
        <f>"－"</f>
        <v>－</v>
      </c>
      <c r="X468" s="36" t="n">
        <f>9</f>
        <v>9.0</v>
      </c>
    </row>
    <row r="469">
      <c r="A469" s="27" t="s">
        <v>42</v>
      </c>
      <c r="B469" s="27" t="s">
        <v>1450</v>
      </c>
      <c r="C469" s="27" t="s">
        <v>1451</v>
      </c>
      <c r="D469" s="27" t="s">
        <v>1452</v>
      </c>
      <c r="E469" s="28" t="s">
        <v>46</v>
      </c>
      <c r="F469" s="29" t="s">
        <v>46</v>
      </c>
      <c r="G469" s="30" t="s">
        <v>46</v>
      </c>
      <c r="H469" s="31"/>
      <c r="I469" s="31" t="s">
        <v>418</v>
      </c>
      <c r="J469" s="32" t="n">
        <v>10.0</v>
      </c>
      <c r="K469" s="33" t="n">
        <f>994.6</f>
        <v>994.6</v>
      </c>
      <c r="L469" s="34" t="s">
        <v>48</v>
      </c>
      <c r="M469" s="33" t="n">
        <f>1000.5</f>
        <v>1000.5</v>
      </c>
      <c r="N469" s="34" t="s">
        <v>48</v>
      </c>
      <c r="O469" s="33" t="n">
        <f>974.5</f>
        <v>974.5</v>
      </c>
      <c r="P469" s="34" t="s">
        <v>50</v>
      </c>
      <c r="Q469" s="33" t="n">
        <f>975</f>
        <v>975.0</v>
      </c>
      <c r="R469" s="34" t="s">
        <v>50</v>
      </c>
      <c r="S469" s="35" t="n">
        <f>988.59</f>
        <v>988.59</v>
      </c>
      <c r="T469" s="32" t="n">
        <f>302260</f>
        <v>302260.0</v>
      </c>
      <c r="U469" s="32" t="str">
        <f>"－"</f>
        <v>－</v>
      </c>
      <c r="V469" s="32" t="n">
        <f>297118479</f>
        <v>2.97118479E8</v>
      </c>
      <c r="W469" s="32" t="str">
        <f>"－"</f>
        <v>－</v>
      </c>
      <c r="X469" s="36" t="n">
        <f>21</f>
        <v>21.0</v>
      </c>
    </row>
    <row r="470">
      <c r="A470" s="27" t="s">
        <v>42</v>
      </c>
      <c r="B470" s="27" t="s">
        <v>1453</v>
      </c>
      <c r="C470" s="27" t="s">
        <v>1454</v>
      </c>
      <c r="D470" s="27" t="s">
        <v>1455</v>
      </c>
      <c r="E470" s="28" t="s">
        <v>46</v>
      </c>
      <c r="F470" s="29" t="s">
        <v>46</v>
      </c>
      <c r="G470" s="30" t="s">
        <v>46</v>
      </c>
      <c r="H470" s="31"/>
      <c r="I470" s="31" t="s">
        <v>418</v>
      </c>
      <c r="J470" s="32" t="n">
        <v>1.0</v>
      </c>
      <c r="K470" s="33" t="n">
        <f>10185</f>
        <v>10185.0</v>
      </c>
      <c r="L470" s="34" t="s">
        <v>48</v>
      </c>
      <c r="M470" s="33" t="n">
        <f>10620</f>
        <v>10620.0</v>
      </c>
      <c r="N470" s="34" t="s">
        <v>200</v>
      </c>
      <c r="O470" s="33" t="n">
        <f>9543</f>
        <v>9543.0</v>
      </c>
      <c r="P470" s="34" t="s">
        <v>50</v>
      </c>
      <c r="Q470" s="33" t="n">
        <f>9556</f>
        <v>9556.0</v>
      </c>
      <c r="R470" s="34" t="s">
        <v>50</v>
      </c>
      <c r="S470" s="35" t="n">
        <f>10010.65</f>
        <v>10010.65</v>
      </c>
      <c r="T470" s="32" t="n">
        <f>13698</f>
        <v>13698.0</v>
      </c>
      <c r="U470" s="32" t="str">
        <f>"－"</f>
        <v>－</v>
      </c>
      <c r="V470" s="32" t="n">
        <f>137058850</f>
        <v>1.3705885E8</v>
      </c>
      <c r="W470" s="32" t="str">
        <f>"－"</f>
        <v>－</v>
      </c>
      <c r="X470" s="36" t="n">
        <f>20</f>
        <v>20.0</v>
      </c>
    </row>
    <row r="471">
      <c r="A471" s="27" t="s">
        <v>42</v>
      </c>
      <c r="B471" s="27" t="s">
        <v>1456</v>
      </c>
      <c r="C471" s="27" t="s">
        <v>1457</v>
      </c>
      <c r="D471" s="27" t="s">
        <v>1458</v>
      </c>
      <c r="E471" s="28" t="s">
        <v>46</v>
      </c>
      <c r="F471" s="29" t="s">
        <v>46</v>
      </c>
      <c r="G471" s="30" t="s">
        <v>46</v>
      </c>
      <c r="H471" s="31"/>
      <c r="I471" s="31" t="s">
        <v>418</v>
      </c>
      <c r="J471" s="32" t="n">
        <v>1.0</v>
      </c>
      <c r="K471" s="33" t="n">
        <f>9214</f>
        <v>9214.0</v>
      </c>
      <c r="L471" s="34" t="s">
        <v>48</v>
      </c>
      <c r="M471" s="33" t="n">
        <f>9800</f>
        <v>9800.0</v>
      </c>
      <c r="N471" s="34" t="s">
        <v>116</v>
      </c>
      <c r="O471" s="33" t="n">
        <f>8596</f>
        <v>8596.0</v>
      </c>
      <c r="P471" s="34" t="s">
        <v>50</v>
      </c>
      <c r="Q471" s="33" t="n">
        <f>8605</f>
        <v>8605.0</v>
      </c>
      <c r="R471" s="34" t="s">
        <v>50</v>
      </c>
      <c r="S471" s="35" t="n">
        <f>9360.62</f>
        <v>9360.62</v>
      </c>
      <c r="T471" s="32" t="n">
        <f>19756</f>
        <v>19756.0</v>
      </c>
      <c r="U471" s="32" t="str">
        <f>"－"</f>
        <v>－</v>
      </c>
      <c r="V471" s="32" t="n">
        <f>184458248</f>
        <v>1.84458248E8</v>
      </c>
      <c r="W471" s="32" t="str">
        <f>"－"</f>
        <v>－</v>
      </c>
      <c r="X471" s="36" t="n">
        <f>21</f>
        <v>21.0</v>
      </c>
    </row>
    <row r="472">
      <c r="A472" s="27" t="s">
        <v>42</v>
      </c>
      <c r="B472" s="27" t="s">
        <v>1459</v>
      </c>
      <c r="C472" s="27" t="s">
        <v>1460</v>
      </c>
      <c r="D472" s="27" t="s">
        <v>1461</v>
      </c>
      <c r="E472" s="28" t="s">
        <v>46</v>
      </c>
      <c r="F472" s="29" t="s">
        <v>46</v>
      </c>
      <c r="G472" s="30" t="s">
        <v>46</v>
      </c>
      <c r="H472" s="31"/>
      <c r="I472" s="31" t="s">
        <v>418</v>
      </c>
      <c r="J472" s="32" t="n">
        <v>1.0</v>
      </c>
      <c r="K472" s="33" t="n">
        <f>8560</f>
        <v>8560.0</v>
      </c>
      <c r="L472" s="34" t="s">
        <v>48</v>
      </c>
      <c r="M472" s="33" t="n">
        <f>9123</f>
        <v>9123.0</v>
      </c>
      <c r="N472" s="34" t="s">
        <v>67</v>
      </c>
      <c r="O472" s="33" t="n">
        <f>8130</f>
        <v>8130.0</v>
      </c>
      <c r="P472" s="34" t="s">
        <v>50</v>
      </c>
      <c r="Q472" s="33" t="n">
        <f>8130</f>
        <v>8130.0</v>
      </c>
      <c r="R472" s="34" t="s">
        <v>50</v>
      </c>
      <c r="S472" s="35" t="n">
        <f>8713.9</f>
        <v>8713.9</v>
      </c>
      <c r="T472" s="32" t="n">
        <f>1399</f>
        <v>1399.0</v>
      </c>
      <c r="U472" s="32" t="str">
        <f>"－"</f>
        <v>－</v>
      </c>
      <c r="V472" s="32" t="n">
        <f>12300224</f>
        <v>1.2300224E7</v>
      </c>
      <c r="W472" s="32" t="str">
        <f>"－"</f>
        <v>－</v>
      </c>
      <c r="X472" s="36" t="n">
        <f>21</f>
        <v>21.0</v>
      </c>
    </row>
    <row r="473">
      <c r="A473" s="27" t="s">
        <v>42</v>
      </c>
      <c r="B473" s="27" t="s">
        <v>1462</v>
      </c>
      <c r="C473" s="27" t="s">
        <v>1463</v>
      </c>
      <c r="D473" s="27" t="s">
        <v>1464</v>
      </c>
      <c r="E473" s="28" t="s">
        <v>46</v>
      </c>
      <c r="F473" s="29" t="s">
        <v>46</v>
      </c>
      <c r="G473" s="30" t="s">
        <v>46</v>
      </c>
      <c r="H473" s="31"/>
      <c r="I473" s="31" t="s">
        <v>418</v>
      </c>
      <c r="J473" s="32" t="n">
        <v>10.0</v>
      </c>
      <c r="K473" s="33" t="n">
        <f>900.9</f>
        <v>900.9</v>
      </c>
      <c r="L473" s="34" t="s">
        <v>48</v>
      </c>
      <c r="M473" s="33" t="n">
        <f>901.5</f>
        <v>901.5</v>
      </c>
      <c r="N473" s="34" t="s">
        <v>207</v>
      </c>
      <c r="O473" s="33" t="n">
        <f>900.8</f>
        <v>900.8</v>
      </c>
      <c r="P473" s="34" t="s">
        <v>48</v>
      </c>
      <c r="Q473" s="33" t="n">
        <f>901.5</f>
        <v>901.5</v>
      </c>
      <c r="R473" s="34" t="s">
        <v>50</v>
      </c>
      <c r="S473" s="35" t="n">
        <f>901.2</f>
        <v>901.2</v>
      </c>
      <c r="T473" s="32" t="n">
        <f>1005300</f>
        <v>1005300.0</v>
      </c>
      <c r="U473" s="32" t="str">
        <f>"－"</f>
        <v>－</v>
      </c>
      <c r="V473" s="32" t="n">
        <f>906024659</f>
        <v>9.06024659E8</v>
      </c>
      <c r="W473" s="32" t="str">
        <f>"－"</f>
        <v>－</v>
      </c>
      <c r="X473" s="36" t="n">
        <f>21</f>
        <v>21.0</v>
      </c>
    </row>
    <row r="474">
      <c r="A474" s="27" t="s">
        <v>42</v>
      </c>
      <c r="B474" s="27" t="s">
        <v>1465</v>
      </c>
      <c r="C474" s="27" t="s">
        <v>1466</v>
      </c>
      <c r="D474" s="27" t="s">
        <v>1467</v>
      </c>
      <c r="E474" s="28" t="s">
        <v>46</v>
      </c>
      <c r="F474" s="29" t="s">
        <v>46</v>
      </c>
      <c r="G474" s="30" t="s">
        <v>46</v>
      </c>
      <c r="H474" s="31"/>
      <c r="I474" s="31" t="s">
        <v>418</v>
      </c>
      <c r="J474" s="32" t="n">
        <v>1.0</v>
      </c>
      <c r="K474" s="33" t="n">
        <f>79800</f>
        <v>79800.0</v>
      </c>
      <c r="L474" s="34" t="s">
        <v>48</v>
      </c>
      <c r="M474" s="33" t="n">
        <f>81000</f>
        <v>81000.0</v>
      </c>
      <c r="N474" s="34" t="s">
        <v>49</v>
      </c>
      <c r="O474" s="33" t="n">
        <f>78000</f>
        <v>78000.0</v>
      </c>
      <c r="P474" s="34" t="s">
        <v>60</v>
      </c>
      <c r="Q474" s="33" t="n">
        <f>80600</f>
        <v>80600.0</v>
      </c>
      <c r="R474" s="34" t="s">
        <v>50</v>
      </c>
      <c r="S474" s="35" t="n">
        <f>80290.48</f>
        <v>80290.48</v>
      </c>
      <c r="T474" s="32" t="n">
        <f>2540</f>
        <v>2540.0</v>
      </c>
      <c r="U474" s="32" t="n">
        <f>60</f>
        <v>60.0</v>
      </c>
      <c r="V474" s="32" t="n">
        <f>203668579</f>
        <v>2.03668579E8</v>
      </c>
      <c r="W474" s="32" t="n">
        <f>4813479</f>
        <v>4813479.0</v>
      </c>
      <c r="X474" s="36" t="n">
        <f>21</f>
        <v>21.0</v>
      </c>
    </row>
    <row r="475">
      <c r="A475" s="27" t="s">
        <v>42</v>
      </c>
      <c r="B475" s="27" t="s">
        <v>1468</v>
      </c>
      <c r="C475" s="27" t="s">
        <v>1469</v>
      </c>
      <c r="D475" s="27" t="s">
        <v>1470</v>
      </c>
      <c r="E475" s="28" t="s">
        <v>46</v>
      </c>
      <c r="F475" s="29" t="s">
        <v>46</v>
      </c>
      <c r="G475" s="30" t="s">
        <v>46</v>
      </c>
      <c r="H475" s="31"/>
      <c r="I475" s="31" t="s">
        <v>418</v>
      </c>
      <c r="J475" s="32" t="n">
        <v>1.0</v>
      </c>
      <c r="K475" s="33" t="n">
        <f>996</f>
        <v>996.0</v>
      </c>
      <c r="L475" s="34" t="s">
        <v>48</v>
      </c>
      <c r="M475" s="33" t="n">
        <f>1184</f>
        <v>1184.0</v>
      </c>
      <c r="N475" s="34" t="s">
        <v>67</v>
      </c>
      <c r="O475" s="33" t="n">
        <f>991</f>
        <v>991.0</v>
      </c>
      <c r="P475" s="34" t="s">
        <v>73</v>
      </c>
      <c r="Q475" s="33" t="n">
        <f>1091</f>
        <v>1091.0</v>
      </c>
      <c r="R475" s="34" t="s">
        <v>50</v>
      </c>
      <c r="S475" s="35" t="n">
        <f>1084.62</f>
        <v>1084.62</v>
      </c>
      <c r="T475" s="32" t="n">
        <f>96802</f>
        <v>96802.0</v>
      </c>
      <c r="U475" s="32" t="str">
        <f>"－"</f>
        <v>－</v>
      </c>
      <c r="V475" s="32" t="n">
        <f>107521807</f>
        <v>1.07521807E8</v>
      </c>
      <c r="W475" s="32" t="str">
        <f>"－"</f>
        <v>－</v>
      </c>
      <c r="X475" s="36" t="n">
        <f>21</f>
        <v>21.0</v>
      </c>
    </row>
    <row r="476">
      <c r="A476" s="27" t="s">
        <v>42</v>
      </c>
      <c r="B476" s="27" t="s">
        <v>1471</v>
      </c>
      <c r="C476" s="27" t="s">
        <v>1472</v>
      </c>
      <c r="D476" s="27" t="s">
        <v>1473</v>
      </c>
      <c r="E476" s="28" t="s">
        <v>46</v>
      </c>
      <c r="F476" s="29" t="s">
        <v>46</v>
      </c>
      <c r="G476" s="30" t="s">
        <v>46</v>
      </c>
      <c r="H476" s="31"/>
      <c r="I476" s="31" t="s">
        <v>418</v>
      </c>
      <c r="J476" s="32" t="n">
        <v>1.0</v>
      </c>
      <c r="K476" s="33" t="n">
        <f>880</f>
        <v>880.0</v>
      </c>
      <c r="L476" s="34" t="s">
        <v>48</v>
      </c>
      <c r="M476" s="33" t="n">
        <f>964</f>
        <v>964.0</v>
      </c>
      <c r="N476" s="34" t="s">
        <v>88</v>
      </c>
      <c r="O476" s="33" t="n">
        <f>863</f>
        <v>863.0</v>
      </c>
      <c r="P476" s="34" t="s">
        <v>48</v>
      </c>
      <c r="Q476" s="33" t="n">
        <f>929</f>
        <v>929.0</v>
      </c>
      <c r="R476" s="34" t="s">
        <v>50</v>
      </c>
      <c r="S476" s="35" t="n">
        <f>928.57</f>
        <v>928.57</v>
      </c>
      <c r="T476" s="32" t="n">
        <f>10069717</f>
        <v>1.0069717E7</v>
      </c>
      <c r="U476" s="32" t="n">
        <f>447596</f>
        <v>447596.0</v>
      </c>
      <c r="V476" s="32" t="n">
        <f>9321586892</f>
        <v>9.321586892E9</v>
      </c>
      <c r="W476" s="32" t="n">
        <f>418106392</f>
        <v>4.18106392E8</v>
      </c>
      <c r="X476" s="36" t="n">
        <f>21</f>
        <v>21.0</v>
      </c>
    </row>
    <row r="477">
      <c r="A477" s="27" t="s">
        <v>42</v>
      </c>
      <c r="B477" s="27" t="s">
        <v>1474</v>
      </c>
      <c r="C477" s="27" t="s">
        <v>1475</v>
      </c>
      <c r="D477" s="27" t="s">
        <v>1476</v>
      </c>
      <c r="E477" s="28" t="s">
        <v>46</v>
      </c>
      <c r="F477" s="29" t="s">
        <v>46</v>
      </c>
      <c r="G477" s="30" t="s">
        <v>46</v>
      </c>
      <c r="H477" s="31"/>
      <c r="I477" s="31" t="s">
        <v>418</v>
      </c>
      <c r="J477" s="32" t="n">
        <v>10.0</v>
      </c>
      <c r="K477" s="33" t="n">
        <f>505.1</f>
        <v>505.1</v>
      </c>
      <c r="L477" s="34" t="s">
        <v>48</v>
      </c>
      <c r="M477" s="33" t="n">
        <f>508</f>
        <v>508.0</v>
      </c>
      <c r="N477" s="34" t="s">
        <v>60</v>
      </c>
      <c r="O477" s="33" t="n">
        <f>502.5</f>
        <v>502.5</v>
      </c>
      <c r="P477" s="34" t="s">
        <v>242</v>
      </c>
      <c r="Q477" s="33" t="n">
        <f>503</f>
        <v>503.0</v>
      </c>
      <c r="R477" s="34" t="s">
        <v>50</v>
      </c>
      <c r="S477" s="35" t="n">
        <f>504</f>
        <v>504.0</v>
      </c>
      <c r="T477" s="32" t="n">
        <f>92850</f>
        <v>92850.0</v>
      </c>
      <c r="U477" s="32" t="str">
        <f>"－"</f>
        <v>－</v>
      </c>
      <c r="V477" s="32" t="n">
        <f>46789233</f>
        <v>4.6789233E7</v>
      </c>
      <c r="W477" s="32" t="str">
        <f>"－"</f>
        <v>－</v>
      </c>
      <c r="X477" s="36" t="n">
        <f>21</f>
        <v>21.0</v>
      </c>
    </row>
    <row r="478">
      <c r="A478" s="27" t="s">
        <v>42</v>
      </c>
      <c r="B478" s="27" t="s">
        <v>1477</v>
      </c>
      <c r="C478" s="27" t="s">
        <v>1478</v>
      </c>
      <c r="D478" s="27" t="s">
        <v>1479</v>
      </c>
      <c r="E478" s="28" t="s">
        <v>46</v>
      </c>
      <c r="F478" s="29" t="s">
        <v>46</v>
      </c>
      <c r="G478" s="30" t="s">
        <v>46</v>
      </c>
      <c r="H478" s="31"/>
      <c r="I478" s="31" t="s">
        <v>418</v>
      </c>
      <c r="J478" s="32" t="n">
        <v>1.0</v>
      </c>
      <c r="K478" s="33" t="n">
        <f>2027</f>
        <v>2027.0</v>
      </c>
      <c r="L478" s="34" t="s">
        <v>48</v>
      </c>
      <c r="M478" s="33" t="n">
        <f>2093</f>
        <v>2093.0</v>
      </c>
      <c r="N478" s="34" t="s">
        <v>68</v>
      </c>
      <c r="O478" s="33" t="n">
        <f>2014</f>
        <v>2014.0</v>
      </c>
      <c r="P478" s="34" t="s">
        <v>84</v>
      </c>
      <c r="Q478" s="33" t="n">
        <f>2014</f>
        <v>2014.0</v>
      </c>
      <c r="R478" s="34" t="s">
        <v>84</v>
      </c>
      <c r="S478" s="35" t="n">
        <f>2038</f>
        <v>2038.0</v>
      </c>
      <c r="T478" s="32" t="n">
        <f>3053</f>
        <v>3053.0</v>
      </c>
      <c r="U478" s="32" t="str">
        <f>"－"</f>
        <v>－</v>
      </c>
      <c r="V478" s="32" t="n">
        <f>6244703</f>
        <v>6244703.0</v>
      </c>
      <c r="W478" s="32" t="str">
        <f>"－"</f>
        <v>－</v>
      </c>
      <c r="X478" s="36" t="n">
        <f>7</f>
        <v>7.0</v>
      </c>
    </row>
    <row r="479">
      <c r="A479" s="27" t="s">
        <v>42</v>
      </c>
      <c r="B479" s="27" t="s">
        <v>1480</v>
      </c>
      <c r="C479" s="27" t="s">
        <v>1481</v>
      </c>
      <c r="D479" s="27" t="s">
        <v>1482</v>
      </c>
      <c r="E479" s="28" t="s">
        <v>46</v>
      </c>
      <c r="F479" s="29" t="s">
        <v>46</v>
      </c>
      <c r="G479" s="30" t="s">
        <v>46</v>
      </c>
      <c r="H479" s="31"/>
      <c r="I479" s="31" t="s">
        <v>418</v>
      </c>
      <c r="J479" s="32" t="n">
        <v>1.0</v>
      </c>
      <c r="K479" s="33" t="n">
        <f>1970</f>
        <v>1970.0</v>
      </c>
      <c r="L479" s="34" t="s">
        <v>48</v>
      </c>
      <c r="M479" s="33" t="n">
        <f>1987</f>
        <v>1987.0</v>
      </c>
      <c r="N479" s="34" t="s">
        <v>143</v>
      </c>
      <c r="O479" s="33" t="n">
        <f>1929</f>
        <v>1929.0</v>
      </c>
      <c r="P479" s="34" t="s">
        <v>242</v>
      </c>
      <c r="Q479" s="33" t="n">
        <f>1941</f>
        <v>1941.0</v>
      </c>
      <c r="R479" s="34" t="s">
        <v>50</v>
      </c>
      <c r="S479" s="35" t="n">
        <f>1966</f>
        <v>1966.0</v>
      </c>
      <c r="T479" s="32" t="n">
        <f>3750</f>
        <v>3750.0</v>
      </c>
      <c r="U479" s="32" t="str">
        <f>"－"</f>
        <v>－</v>
      </c>
      <c r="V479" s="32" t="n">
        <f>7329404</f>
        <v>7329404.0</v>
      </c>
      <c r="W479" s="32" t="str">
        <f>"－"</f>
        <v>－</v>
      </c>
      <c r="X479" s="36" t="n">
        <f>14</f>
        <v>14.0</v>
      </c>
    </row>
    <row r="480">
      <c r="A480" s="27" t="s">
        <v>42</v>
      </c>
      <c r="B480" s="27" t="s">
        <v>1483</v>
      </c>
      <c r="C480" s="27" t="s">
        <v>1484</v>
      </c>
      <c r="D480" s="27" t="s">
        <v>1485</v>
      </c>
      <c r="E480" s="28" t="s">
        <v>46</v>
      </c>
      <c r="F480" s="29" t="s">
        <v>46</v>
      </c>
      <c r="G480" s="30" t="s">
        <v>46</v>
      </c>
      <c r="H480" s="31"/>
      <c r="I480" s="31" t="s">
        <v>418</v>
      </c>
      <c r="J480" s="32" t="n">
        <v>1.0</v>
      </c>
      <c r="K480" s="33" t="n">
        <f>1905</f>
        <v>1905.0</v>
      </c>
      <c r="L480" s="34" t="s">
        <v>48</v>
      </c>
      <c r="M480" s="33" t="n">
        <f>1930</f>
        <v>1930.0</v>
      </c>
      <c r="N480" s="34" t="s">
        <v>200</v>
      </c>
      <c r="O480" s="33" t="n">
        <f>1797</f>
        <v>1797.0</v>
      </c>
      <c r="P480" s="34" t="s">
        <v>72</v>
      </c>
      <c r="Q480" s="33" t="n">
        <f>1820</f>
        <v>1820.0</v>
      </c>
      <c r="R480" s="34" t="s">
        <v>50</v>
      </c>
      <c r="S480" s="35" t="n">
        <f>1872.48</f>
        <v>1872.48</v>
      </c>
      <c r="T480" s="32" t="n">
        <f>253731</f>
        <v>253731.0</v>
      </c>
      <c r="U480" s="32" t="n">
        <f>3</f>
        <v>3.0</v>
      </c>
      <c r="V480" s="32" t="n">
        <f>473934733</f>
        <v>4.73934733E8</v>
      </c>
      <c r="W480" s="32" t="n">
        <f>5595</f>
        <v>5595.0</v>
      </c>
      <c r="X480" s="36" t="n">
        <f>21</f>
        <v>21.0</v>
      </c>
    </row>
    <row r="481">
      <c r="A481" s="27" t="s">
        <v>42</v>
      </c>
      <c r="B481" s="27" t="s">
        <v>1486</v>
      </c>
      <c r="C481" s="27" t="s">
        <v>1487</v>
      </c>
      <c r="D481" s="27" t="s">
        <v>1488</v>
      </c>
      <c r="E481" s="28" t="s">
        <v>46</v>
      </c>
      <c r="F481" s="29" t="s">
        <v>46</v>
      </c>
      <c r="G481" s="30" t="s">
        <v>46</v>
      </c>
      <c r="H481" s="31"/>
      <c r="I481" s="31" t="s">
        <v>418</v>
      </c>
      <c r="J481" s="32" t="n">
        <v>1.0</v>
      </c>
      <c r="K481" s="33" t="n">
        <f>1709</f>
        <v>1709.0</v>
      </c>
      <c r="L481" s="34" t="s">
        <v>48</v>
      </c>
      <c r="M481" s="33" t="n">
        <f>2011</f>
        <v>2011.0</v>
      </c>
      <c r="N481" s="34" t="s">
        <v>49</v>
      </c>
      <c r="O481" s="33" t="n">
        <f>1632</f>
        <v>1632.0</v>
      </c>
      <c r="P481" s="34" t="s">
        <v>73</v>
      </c>
      <c r="Q481" s="33" t="n">
        <f>1926</f>
        <v>1926.0</v>
      </c>
      <c r="R481" s="34" t="s">
        <v>50</v>
      </c>
      <c r="S481" s="35" t="n">
        <f>1877.95</f>
        <v>1877.95</v>
      </c>
      <c r="T481" s="32" t="n">
        <f>5239593</f>
        <v>5239593.0</v>
      </c>
      <c r="U481" s="32" t="n">
        <f>430</f>
        <v>430.0</v>
      </c>
      <c r="V481" s="32" t="n">
        <f>9816466460</f>
        <v>9.81646646E9</v>
      </c>
      <c r="W481" s="32" t="n">
        <f>765005</f>
        <v>765005.0</v>
      </c>
      <c r="X481" s="36" t="n">
        <f>21</f>
        <v>21.0</v>
      </c>
    </row>
    <row r="482">
      <c r="A482" s="27" t="s">
        <v>42</v>
      </c>
      <c r="B482" s="27" t="s">
        <v>1489</v>
      </c>
      <c r="C482" s="27" t="s">
        <v>1490</v>
      </c>
      <c r="D482" s="27" t="s">
        <v>1491</v>
      </c>
      <c r="E482" s="28" t="s">
        <v>46</v>
      </c>
      <c r="F482" s="29" t="s">
        <v>46</v>
      </c>
      <c r="G482" s="30" t="s">
        <v>46</v>
      </c>
      <c r="H482" s="31"/>
      <c r="I482" s="31" t="s">
        <v>418</v>
      </c>
      <c r="J482" s="32" t="n">
        <v>1.0</v>
      </c>
      <c r="K482" s="33" t="n">
        <f>1890</f>
        <v>1890.0</v>
      </c>
      <c r="L482" s="34" t="s">
        <v>48</v>
      </c>
      <c r="M482" s="33" t="n">
        <f>2150</f>
        <v>2150.0</v>
      </c>
      <c r="N482" s="34" t="s">
        <v>144</v>
      </c>
      <c r="O482" s="33" t="n">
        <f>1830</f>
        <v>1830.0</v>
      </c>
      <c r="P482" s="34" t="s">
        <v>48</v>
      </c>
      <c r="Q482" s="33" t="n">
        <f>1962</f>
        <v>1962.0</v>
      </c>
      <c r="R482" s="34" t="s">
        <v>50</v>
      </c>
      <c r="S482" s="35" t="n">
        <f>1983</f>
        <v>1983.0</v>
      </c>
      <c r="T482" s="32" t="n">
        <f>110706</f>
        <v>110706.0</v>
      </c>
      <c r="U482" s="32" t="n">
        <f>4500</f>
        <v>4500.0</v>
      </c>
      <c r="V482" s="32" t="n">
        <f>219666590</f>
        <v>2.1966659E8</v>
      </c>
      <c r="W482" s="32" t="n">
        <f>8755110</f>
        <v>8755110.0</v>
      </c>
      <c r="X482" s="36" t="n">
        <f>21</f>
        <v>21.0</v>
      </c>
    </row>
    <row r="483">
      <c r="A483" s="27" t="s">
        <v>42</v>
      </c>
      <c r="B483" s="27" t="s">
        <v>1492</v>
      </c>
      <c r="C483" s="27" t="s">
        <v>1493</v>
      </c>
      <c r="D483" s="27" t="s">
        <v>1494</v>
      </c>
      <c r="E483" s="28" t="s">
        <v>46</v>
      </c>
      <c r="F483" s="29" t="s">
        <v>46</v>
      </c>
      <c r="G483" s="30" t="s">
        <v>46</v>
      </c>
      <c r="H483" s="31"/>
      <c r="I483" s="31" t="s">
        <v>418</v>
      </c>
      <c r="J483" s="32" t="n">
        <v>1.0</v>
      </c>
      <c r="K483" s="33" t="n">
        <f>1908</f>
        <v>1908.0</v>
      </c>
      <c r="L483" s="34" t="s">
        <v>48</v>
      </c>
      <c r="M483" s="33" t="n">
        <f>2004</f>
        <v>2004.0</v>
      </c>
      <c r="N483" s="34" t="s">
        <v>72</v>
      </c>
      <c r="O483" s="33" t="n">
        <f>1898</f>
        <v>1898.0</v>
      </c>
      <c r="P483" s="34" t="s">
        <v>48</v>
      </c>
      <c r="Q483" s="33" t="n">
        <f>1907</f>
        <v>1907.0</v>
      </c>
      <c r="R483" s="34" t="s">
        <v>50</v>
      </c>
      <c r="S483" s="35" t="n">
        <f>1934.19</f>
        <v>1934.19</v>
      </c>
      <c r="T483" s="32" t="n">
        <f>99610</f>
        <v>99610.0</v>
      </c>
      <c r="U483" s="32" t="str">
        <f>"－"</f>
        <v>－</v>
      </c>
      <c r="V483" s="32" t="n">
        <f>193687022</f>
        <v>1.93687022E8</v>
      </c>
      <c r="W483" s="32" t="str">
        <f>"－"</f>
        <v>－</v>
      </c>
      <c r="X483" s="36" t="n">
        <f>21</f>
        <v>21.0</v>
      </c>
    </row>
    <row r="484">
      <c r="A484" s="27" t="s">
        <v>42</v>
      </c>
      <c r="B484" s="27" t="s">
        <v>1495</v>
      </c>
      <c r="C484" s="27" t="s">
        <v>1496</v>
      </c>
      <c r="D484" s="27" t="s">
        <v>1497</v>
      </c>
      <c r="E484" s="28" t="s">
        <v>46</v>
      </c>
      <c r="F484" s="29" t="s">
        <v>46</v>
      </c>
      <c r="G484" s="30" t="s">
        <v>46</v>
      </c>
      <c r="H484" s="31"/>
      <c r="I484" s="31" t="s">
        <v>418</v>
      </c>
      <c r="J484" s="32" t="n">
        <v>1.0</v>
      </c>
      <c r="K484" s="33" t="n">
        <f>2081</f>
        <v>2081.0</v>
      </c>
      <c r="L484" s="34" t="s">
        <v>48</v>
      </c>
      <c r="M484" s="33" t="n">
        <f>2136</f>
        <v>2136.0</v>
      </c>
      <c r="N484" s="34" t="s">
        <v>116</v>
      </c>
      <c r="O484" s="33" t="n">
        <f>1988</f>
        <v>1988.0</v>
      </c>
      <c r="P484" s="34" t="s">
        <v>144</v>
      </c>
      <c r="Q484" s="33" t="n">
        <f>2010</f>
        <v>2010.0</v>
      </c>
      <c r="R484" s="34" t="s">
        <v>50</v>
      </c>
      <c r="S484" s="35" t="n">
        <f>2054.95</f>
        <v>2054.95</v>
      </c>
      <c r="T484" s="32" t="n">
        <f>6935</f>
        <v>6935.0</v>
      </c>
      <c r="U484" s="32" t="n">
        <f>12</f>
        <v>12.0</v>
      </c>
      <c r="V484" s="32" t="n">
        <f>14244366</f>
        <v>1.4244366E7</v>
      </c>
      <c r="W484" s="32" t="n">
        <f>25085</f>
        <v>25085.0</v>
      </c>
      <c r="X484" s="36" t="n">
        <f>21</f>
        <v>21.0</v>
      </c>
    </row>
    <row r="485">
      <c r="A485" s="27" t="s">
        <v>42</v>
      </c>
      <c r="B485" s="27" t="s">
        <v>1498</v>
      </c>
      <c r="C485" s="27" t="s">
        <v>1499</v>
      </c>
      <c r="D485" s="27" t="s">
        <v>1500</v>
      </c>
      <c r="E485" s="28" t="s">
        <v>46</v>
      </c>
      <c r="F485" s="29" t="s">
        <v>46</v>
      </c>
      <c r="G485" s="30" t="s">
        <v>46</v>
      </c>
      <c r="H485" s="31"/>
      <c r="I485" s="31" t="s">
        <v>418</v>
      </c>
      <c r="J485" s="32" t="n">
        <v>1.0</v>
      </c>
      <c r="K485" s="33" t="n">
        <f>2067</f>
        <v>2067.0</v>
      </c>
      <c r="L485" s="34" t="s">
        <v>48</v>
      </c>
      <c r="M485" s="33" t="n">
        <f>2218</f>
        <v>2218.0</v>
      </c>
      <c r="N485" s="34" t="s">
        <v>73</v>
      </c>
      <c r="O485" s="33" t="n">
        <f>1994</f>
        <v>1994.0</v>
      </c>
      <c r="P485" s="34" t="s">
        <v>144</v>
      </c>
      <c r="Q485" s="33" t="n">
        <f>2013</f>
        <v>2013.0</v>
      </c>
      <c r="R485" s="34" t="s">
        <v>50</v>
      </c>
      <c r="S485" s="35" t="n">
        <f>2073.62</f>
        <v>2073.62</v>
      </c>
      <c r="T485" s="32" t="n">
        <f>7537</f>
        <v>7537.0</v>
      </c>
      <c r="U485" s="32" t="str">
        <f>"－"</f>
        <v>－</v>
      </c>
      <c r="V485" s="32" t="n">
        <f>15613890</f>
        <v>1.561389E7</v>
      </c>
      <c r="W485" s="32" t="str">
        <f>"－"</f>
        <v>－</v>
      </c>
      <c r="X485" s="36" t="n">
        <f>21</f>
        <v>21.0</v>
      </c>
    </row>
    <row r="486">
      <c r="A486" s="27" t="s">
        <v>42</v>
      </c>
      <c r="B486" s="27" t="s">
        <v>1501</v>
      </c>
      <c r="C486" s="27" t="s">
        <v>1502</v>
      </c>
      <c r="D486" s="27" t="s">
        <v>1503</v>
      </c>
      <c r="E486" s="28" t="s">
        <v>46</v>
      </c>
      <c r="F486" s="29" t="s">
        <v>46</v>
      </c>
      <c r="G486" s="30" t="s">
        <v>46</v>
      </c>
      <c r="H486" s="31"/>
      <c r="I486" s="31" t="s">
        <v>418</v>
      </c>
      <c r="J486" s="32" t="n">
        <v>1.0</v>
      </c>
      <c r="K486" s="33" t="n">
        <f>1999</f>
        <v>1999.0</v>
      </c>
      <c r="L486" s="34" t="s">
        <v>48</v>
      </c>
      <c r="M486" s="33" t="n">
        <f>2649</f>
        <v>2649.0</v>
      </c>
      <c r="N486" s="34" t="s">
        <v>50</v>
      </c>
      <c r="O486" s="33" t="n">
        <f>1937</f>
        <v>1937.0</v>
      </c>
      <c r="P486" s="34" t="s">
        <v>73</v>
      </c>
      <c r="Q486" s="33" t="n">
        <f>2467</f>
        <v>2467.0</v>
      </c>
      <c r="R486" s="34" t="s">
        <v>50</v>
      </c>
      <c r="S486" s="35" t="n">
        <f>2108.48</f>
        <v>2108.48</v>
      </c>
      <c r="T486" s="32" t="n">
        <f>2084</f>
        <v>2084.0</v>
      </c>
      <c r="U486" s="32" t="str">
        <f>"－"</f>
        <v>－</v>
      </c>
      <c r="V486" s="32" t="n">
        <f>4727424</f>
        <v>4727424.0</v>
      </c>
      <c r="W486" s="32" t="str">
        <f>"－"</f>
        <v>－</v>
      </c>
      <c r="X486" s="36" t="n">
        <f>21</f>
        <v>21.0</v>
      </c>
    </row>
    <row r="487">
      <c r="A487" s="27" t="s">
        <v>42</v>
      </c>
      <c r="B487" s="27" t="s">
        <v>1504</v>
      </c>
      <c r="C487" s="27" t="s">
        <v>1505</v>
      </c>
      <c r="D487" s="27" t="s">
        <v>1506</v>
      </c>
      <c r="E487" s="28" t="s">
        <v>46</v>
      </c>
      <c r="F487" s="29" t="s">
        <v>46</v>
      </c>
      <c r="G487" s="30" t="s">
        <v>46</v>
      </c>
      <c r="H487" s="31"/>
      <c r="I487" s="31" t="s">
        <v>418</v>
      </c>
      <c r="J487" s="32" t="n">
        <v>1.0</v>
      </c>
      <c r="K487" s="33" t="n">
        <f>1904</f>
        <v>1904.0</v>
      </c>
      <c r="L487" s="34" t="s">
        <v>48</v>
      </c>
      <c r="M487" s="33" t="n">
        <f>2504</f>
        <v>2504.0</v>
      </c>
      <c r="N487" s="34" t="s">
        <v>144</v>
      </c>
      <c r="O487" s="33" t="n">
        <f>1841</f>
        <v>1841.0</v>
      </c>
      <c r="P487" s="34" t="s">
        <v>73</v>
      </c>
      <c r="Q487" s="33" t="n">
        <f>2300</f>
        <v>2300.0</v>
      </c>
      <c r="R487" s="34" t="s">
        <v>50</v>
      </c>
      <c r="S487" s="35" t="n">
        <f>2107.81</f>
        <v>2107.81</v>
      </c>
      <c r="T487" s="32" t="n">
        <f>11268</f>
        <v>11268.0</v>
      </c>
      <c r="U487" s="32" t="str">
        <f>"－"</f>
        <v>－</v>
      </c>
      <c r="V487" s="32" t="n">
        <f>23457363</f>
        <v>2.3457363E7</v>
      </c>
      <c r="W487" s="32" t="str">
        <f>"－"</f>
        <v>－</v>
      </c>
      <c r="X487" s="36" t="n">
        <f>21</f>
        <v>21.0</v>
      </c>
    </row>
    <row r="488">
      <c r="A488" s="27" t="s">
        <v>42</v>
      </c>
      <c r="B488" s="27" t="s">
        <v>1507</v>
      </c>
      <c r="C488" s="27" t="s">
        <v>1508</v>
      </c>
      <c r="D488" s="27" t="s">
        <v>1509</v>
      </c>
      <c r="E488" s="28" t="s">
        <v>46</v>
      </c>
      <c r="F488" s="29" t="s">
        <v>46</v>
      </c>
      <c r="G488" s="30" t="s">
        <v>46</v>
      </c>
      <c r="H488" s="31"/>
      <c r="I488" s="31" t="s">
        <v>418</v>
      </c>
      <c r="J488" s="32" t="n">
        <v>1.0</v>
      </c>
      <c r="K488" s="33" t="n">
        <f>1890</f>
        <v>1890.0</v>
      </c>
      <c r="L488" s="34" t="s">
        <v>48</v>
      </c>
      <c r="M488" s="33" t="n">
        <f>2346</f>
        <v>2346.0</v>
      </c>
      <c r="N488" s="34" t="s">
        <v>68</v>
      </c>
      <c r="O488" s="33" t="n">
        <f>1850</f>
        <v>1850.0</v>
      </c>
      <c r="P488" s="34" t="s">
        <v>48</v>
      </c>
      <c r="Q488" s="33" t="n">
        <f>2005</f>
        <v>2005.0</v>
      </c>
      <c r="R488" s="34" t="s">
        <v>50</v>
      </c>
      <c r="S488" s="35" t="n">
        <f>2091.55</f>
        <v>2091.55</v>
      </c>
      <c r="T488" s="32" t="n">
        <f>1227</f>
        <v>1227.0</v>
      </c>
      <c r="U488" s="32" t="str">
        <f>"－"</f>
        <v>－</v>
      </c>
      <c r="V488" s="32" t="n">
        <f>2516626</f>
        <v>2516626.0</v>
      </c>
      <c r="W488" s="32" t="str">
        <f>"－"</f>
        <v>－</v>
      </c>
      <c r="X488" s="36" t="n">
        <f>20</f>
        <v>20.0</v>
      </c>
    </row>
    <row r="489">
      <c r="A489" s="27" t="s">
        <v>42</v>
      </c>
      <c r="B489" s="27" t="s">
        <v>1510</v>
      </c>
      <c r="C489" s="27" t="s">
        <v>1511</v>
      </c>
      <c r="D489" s="27" t="s">
        <v>1512</v>
      </c>
      <c r="E489" s="28" t="s">
        <v>46</v>
      </c>
      <c r="F489" s="29" t="s">
        <v>46</v>
      </c>
      <c r="G489" s="30" t="s">
        <v>46</v>
      </c>
      <c r="H489" s="31"/>
      <c r="I489" s="31" t="s">
        <v>418</v>
      </c>
      <c r="J489" s="32" t="n">
        <v>1.0</v>
      </c>
      <c r="K489" s="33" t="n">
        <f>1938</f>
        <v>1938.0</v>
      </c>
      <c r="L489" s="34" t="s">
        <v>48</v>
      </c>
      <c r="M489" s="33" t="n">
        <f>2500</f>
        <v>2500.0</v>
      </c>
      <c r="N489" s="34" t="s">
        <v>144</v>
      </c>
      <c r="O489" s="33" t="n">
        <f>1860</f>
        <v>1860.0</v>
      </c>
      <c r="P489" s="34" t="s">
        <v>48</v>
      </c>
      <c r="Q489" s="33" t="n">
        <f>2184</f>
        <v>2184.0</v>
      </c>
      <c r="R489" s="34" t="s">
        <v>50</v>
      </c>
      <c r="S489" s="35" t="n">
        <f>2140.71</f>
        <v>2140.71</v>
      </c>
      <c r="T489" s="32" t="n">
        <f>3190</f>
        <v>3190.0</v>
      </c>
      <c r="U489" s="32" t="str">
        <f>"－"</f>
        <v>－</v>
      </c>
      <c r="V489" s="32" t="n">
        <f>6883280</f>
        <v>6883280.0</v>
      </c>
      <c r="W489" s="32" t="str">
        <f>"－"</f>
        <v>－</v>
      </c>
      <c r="X489" s="36" t="n">
        <f>21</f>
        <v>21.0</v>
      </c>
    </row>
    <row r="490">
      <c r="A490" s="27" t="s">
        <v>42</v>
      </c>
      <c r="B490" s="27" t="s">
        <v>1513</v>
      </c>
      <c r="C490" s="27" t="s">
        <v>1514</v>
      </c>
      <c r="D490" s="27" t="s">
        <v>1515</v>
      </c>
      <c r="E490" s="28" t="s">
        <v>46</v>
      </c>
      <c r="F490" s="29" t="s">
        <v>46</v>
      </c>
      <c r="G490" s="30" t="s">
        <v>46</v>
      </c>
      <c r="H490" s="31"/>
      <c r="I490" s="31" t="s">
        <v>418</v>
      </c>
      <c r="J490" s="32" t="n">
        <v>1.0</v>
      </c>
      <c r="K490" s="33" t="n">
        <f>1034</f>
        <v>1034.0</v>
      </c>
      <c r="L490" s="34" t="s">
        <v>48</v>
      </c>
      <c r="M490" s="33" t="n">
        <f>1143</f>
        <v>1143.0</v>
      </c>
      <c r="N490" s="34" t="s">
        <v>116</v>
      </c>
      <c r="O490" s="33" t="n">
        <f>978</f>
        <v>978.0</v>
      </c>
      <c r="P490" s="34" t="s">
        <v>73</v>
      </c>
      <c r="Q490" s="33" t="n">
        <f>1079</f>
        <v>1079.0</v>
      </c>
      <c r="R490" s="34" t="s">
        <v>50</v>
      </c>
      <c r="S490" s="35" t="n">
        <f>1070</f>
        <v>1070.0</v>
      </c>
      <c r="T490" s="32" t="n">
        <f>14371</f>
        <v>14371.0</v>
      </c>
      <c r="U490" s="32" t="str">
        <f>"－"</f>
        <v>－</v>
      </c>
      <c r="V490" s="32" t="n">
        <f>15581468</f>
        <v>1.5581468E7</v>
      </c>
      <c r="W490" s="32" t="str">
        <f>"－"</f>
        <v>－</v>
      </c>
      <c r="X490" s="36" t="n">
        <f>21</f>
        <v>21.0</v>
      </c>
    </row>
    <row r="491">
      <c r="A491" s="27" t="s">
        <v>42</v>
      </c>
      <c r="B491" s="27" t="s">
        <v>1516</v>
      </c>
      <c r="C491" s="27" t="s">
        <v>1517</v>
      </c>
      <c r="D491" s="27" t="s">
        <v>1518</v>
      </c>
      <c r="E491" s="28" t="s">
        <v>46</v>
      </c>
      <c r="F491" s="29" t="s">
        <v>46</v>
      </c>
      <c r="G491" s="30" t="s">
        <v>46</v>
      </c>
      <c r="H491" s="31"/>
      <c r="I491" s="31" t="s">
        <v>418</v>
      </c>
      <c r="J491" s="32" t="n">
        <v>1.0</v>
      </c>
      <c r="K491" s="33" t="n">
        <f>5943</f>
        <v>5943.0</v>
      </c>
      <c r="L491" s="34" t="s">
        <v>48</v>
      </c>
      <c r="M491" s="33" t="n">
        <f>6000</f>
        <v>6000.0</v>
      </c>
      <c r="N491" s="34" t="s">
        <v>68</v>
      </c>
      <c r="O491" s="33" t="n">
        <f>4900</f>
        <v>4900.0</v>
      </c>
      <c r="P491" s="34" t="s">
        <v>49</v>
      </c>
      <c r="Q491" s="33" t="n">
        <f>5057</f>
        <v>5057.0</v>
      </c>
      <c r="R491" s="34" t="s">
        <v>50</v>
      </c>
      <c r="S491" s="35" t="n">
        <f>5081</f>
        <v>5081.0</v>
      </c>
      <c r="T491" s="32" t="n">
        <f>649</f>
        <v>649.0</v>
      </c>
      <c r="U491" s="32" t="str">
        <f>"－"</f>
        <v>－</v>
      </c>
      <c r="V491" s="32" t="n">
        <f>3513324</f>
        <v>3513324.0</v>
      </c>
      <c r="W491" s="32" t="str">
        <f>"－"</f>
        <v>－</v>
      </c>
      <c r="X491" s="36" t="n">
        <f>17</f>
        <v>17.0</v>
      </c>
    </row>
    <row r="492">
      <c r="A492" s="27" t="s">
        <v>42</v>
      </c>
      <c r="B492" s="27" t="s">
        <v>1519</v>
      </c>
      <c r="C492" s="27" t="s">
        <v>1520</v>
      </c>
      <c r="D492" s="27" t="s">
        <v>1521</v>
      </c>
      <c r="E492" s="28" t="s">
        <v>46</v>
      </c>
      <c r="F492" s="29" t="s">
        <v>46</v>
      </c>
      <c r="G492" s="30" t="s">
        <v>46</v>
      </c>
      <c r="H492" s="31"/>
      <c r="I492" s="31" t="s">
        <v>418</v>
      </c>
      <c r="J492" s="32" t="n">
        <v>1.0</v>
      </c>
      <c r="K492" s="33" t="n">
        <f>5700</f>
        <v>5700.0</v>
      </c>
      <c r="L492" s="34" t="s">
        <v>48</v>
      </c>
      <c r="M492" s="33" t="n">
        <f>6301</f>
        <v>6301.0</v>
      </c>
      <c r="N492" s="34" t="s">
        <v>68</v>
      </c>
      <c r="O492" s="33" t="n">
        <f>5001</f>
        <v>5001.0</v>
      </c>
      <c r="P492" s="34" t="s">
        <v>60</v>
      </c>
      <c r="Q492" s="33" t="n">
        <f>5183</f>
        <v>5183.0</v>
      </c>
      <c r="R492" s="34" t="s">
        <v>50</v>
      </c>
      <c r="S492" s="35" t="n">
        <f>5351.11</f>
        <v>5351.11</v>
      </c>
      <c r="T492" s="32" t="n">
        <f>2869</f>
        <v>2869.0</v>
      </c>
      <c r="U492" s="32" t="str">
        <f>"－"</f>
        <v>－</v>
      </c>
      <c r="V492" s="32" t="n">
        <f>17133494</f>
        <v>1.7133494E7</v>
      </c>
      <c r="W492" s="32" t="str">
        <f>"－"</f>
        <v>－</v>
      </c>
      <c r="X492" s="36" t="n">
        <f>19</f>
        <v>19.0</v>
      </c>
    </row>
    <row r="493">
      <c r="A493" s="27" t="s">
        <v>42</v>
      </c>
      <c r="B493" s="27" t="s">
        <v>1522</v>
      </c>
      <c r="C493" s="27" t="s">
        <v>1523</v>
      </c>
      <c r="D493" s="27" t="s">
        <v>1524</v>
      </c>
      <c r="E493" s="28" t="s">
        <v>46</v>
      </c>
      <c r="F493" s="29" t="s">
        <v>46</v>
      </c>
      <c r="G493" s="30" t="s">
        <v>46</v>
      </c>
      <c r="H493" s="31"/>
      <c r="I493" s="31" t="s">
        <v>418</v>
      </c>
      <c r="J493" s="32" t="n">
        <v>1.0</v>
      </c>
      <c r="K493" s="33" t="n">
        <f>1562</f>
        <v>1562.0</v>
      </c>
      <c r="L493" s="34" t="s">
        <v>48</v>
      </c>
      <c r="M493" s="33" t="n">
        <f>1707</f>
        <v>1707.0</v>
      </c>
      <c r="N493" s="34" t="s">
        <v>49</v>
      </c>
      <c r="O493" s="33" t="n">
        <f>1515</f>
        <v>1515.0</v>
      </c>
      <c r="P493" s="34" t="s">
        <v>48</v>
      </c>
      <c r="Q493" s="33" t="n">
        <f>1689</f>
        <v>1689.0</v>
      </c>
      <c r="R493" s="34" t="s">
        <v>50</v>
      </c>
      <c r="S493" s="35" t="n">
        <f>1648.57</f>
        <v>1648.57</v>
      </c>
      <c r="T493" s="32" t="n">
        <f>602570</f>
        <v>602570.0</v>
      </c>
      <c r="U493" s="32" t="str">
        <f>"－"</f>
        <v>－</v>
      </c>
      <c r="V493" s="32" t="n">
        <f>983620136</f>
        <v>9.83620136E8</v>
      </c>
      <c r="W493" s="32" t="str">
        <f>"－"</f>
        <v>－</v>
      </c>
      <c r="X493" s="36" t="n">
        <f>21</f>
        <v>21.0</v>
      </c>
    </row>
    <row r="494">
      <c r="A494" s="27" t="s">
        <v>42</v>
      </c>
      <c r="B494" s="27" t="s">
        <v>1525</v>
      </c>
      <c r="C494" s="27" t="s">
        <v>1526</v>
      </c>
      <c r="D494" s="27" t="s">
        <v>1527</v>
      </c>
      <c r="E494" s="28" t="s">
        <v>46</v>
      </c>
      <c r="F494" s="29" t="s">
        <v>46</v>
      </c>
      <c r="G494" s="30" t="s">
        <v>46</v>
      </c>
      <c r="H494" s="31"/>
      <c r="I494" s="31" t="s">
        <v>418</v>
      </c>
      <c r="J494" s="32" t="n">
        <v>10.0</v>
      </c>
      <c r="K494" s="33" t="n">
        <f>1000</f>
        <v>1000.0</v>
      </c>
      <c r="L494" s="34" t="s">
        <v>48</v>
      </c>
      <c r="M494" s="33" t="n">
        <f>1150</f>
        <v>1150.0</v>
      </c>
      <c r="N494" s="34" t="s">
        <v>72</v>
      </c>
      <c r="O494" s="33" t="n">
        <f>995.3</f>
        <v>995.3</v>
      </c>
      <c r="P494" s="34" t="s">
        <v>48</v>
      </c>
      <c r="Q494" s="33" t="n">
        <f>1100</f>
        <v>1100.0</v>
      </c>
      <c r="R494" s="34" t="s">
        <v>50</v>
      </c>
      <c r="S494" s="35" t="n">
        <f>1056.16</f>
        <v>1056.16</v>
      </c>
      <c r="T494" s="32" t="n">
        <f>29240</f>
        <v>29240.0</v>
      </c>
      <c r="U494" s="32" t="str">
        <f>"－"</f>
        <v>－</v>
      </c>
      <c r="V494" s="32" t="n">
        <f>30585812</f>
        <v>3.0585812E7</v>
      </c>
      <c r="W494" s="32" t="str">
        <f>"－"</f>
        <v>－</v>
      </c>
      <c r="X494" s="36" t="n">
        <f>21</f>
        <v>21.0</v>
      </c>
    </row>
    <row r="495">
      <c r="A495" s="27" t="s">
        <v>42</v>
      </c>
      <c r="B495" s="27" t="s">
        <v>1528</v>
      </c>
      <c r="C495" s="27" t="s">
        <v>1529</v>
      </c>
      <c r="D495" s="27" t="s">
        <v>1530</v>
      </c>
      <c r="E495" s="28" t="s">
        <v>46</v>
      </c>
      <c r="F495" s="29" t="s">
        <v>46</v>
      </c>
      <c r="G495" s="30" t="s">
        <v>46</v>
      </c>
      <c r="H495" s="31"/>
      <c r="I495" s="31" t="s">
        <v>418</v>
      </c>
      <c r="J495" s="32" t="n">
        <v>1.0</v>
      </c>
      <c r="K495" s="33" t="n">
        <f>3140</f>
        <v>3140.0</v>
      </c>
      <c r="L495" s="34" t="s">
        <v>48</v>
      </c>
      <c r="M495" s="33" t="n">
        <f>3650</f>
        <v>3650.0</v>
      </c>
      <c r="N495" s="34" t="s">
        <v>48</v>
      </c>
      <c r="O495" s="33" t="n">
        <f>2090</f>
        <v>2090.0</v>
      </c>
      <c r="P495" s="34" t="s">
        <v>48</v>
      </c>
      <c r="Q495" s="33" t="n">
        <f>2382</f>
        <v>2382.0</v>
      </c>
      <c r="R495" s="34" t="s">
        <v>50</v>
      </c>
      <c r="S495" s="35" t="n">
        <f>2374</f>
        <v>2374.0</v>
      </c>
      <c r="T495" s="32" t="n">
        <f>232484</f>
        <v>232484.0</v>
      </c>
      <c r="U495" s="32" t="str">
        <f>"－"</f>
        <v>－</v>
      </c>
      <c r="V495" s="32" t="n">
        <f>570725739</f>
        <v>5.70725739E8</v>
      </c>
      <c r="W495" s="32" t="str">
        <f>"－"</f>
        <v>－</v>
      </c>
      <c r="X495" s="36" t="n">
        <f>21</f>
        <v>21.0</v>
      </c>
    </row>
    <row r="496">
      <c r="A496" s="27" t="s">
        <v>42</v>
      </c>
      <c r="B496" s="27" t="s">
        <v>1531</v>
      </c>
      <c r="C496" s="27" t="s">
        <v>1532</v>
      </c>
      <c r="D496" s="27" t="s">
        <v>1533</v>
      </c>
      <c r="E496" s="28" t="s">
        <v>1534</v>
      </c>
      <c r="F496" s="29" t="s">
        <v>1535</v>
      </c>
      <c r="G496" s="30" t="s">
        <v>1536</v>
      </c>
      <c r="H496" s="31"/>
      <c r="I496" s="31" t="s">
        <v>418</v>
      </c>
      <c r="J496" s="32" t="n">
        <v>1.0</v>
      </c>
      <c r="K496" s="33" t="n">
        <f>1044</f>
        <v>1044.0</v>
      </c>
      <c r="L496" s="34" t="s">
        <v>144</v>
      </c>
      <c r="M496" s="33" t="n">
        <f>1075</f>
        <v>1075.0</v>
      </c>
      <c r="N496" s="34" t="s">
        <v>144</v>
      </c>
      <c r="O496" s="33" t="n">
        <f>1013</f>
        <v>1013.0</v>
      </c>
      <c r="P496" s="34" t="s">
        <v>144</v>
      </c>
      <c r="Q496" s="33" t="n">
        <f>1025</f>
        <v>1025.0</v>
      </c>
      <c r="R496" s="34" t="s">
        <v>50</v>
      </c>
      <c r="S496" s="35" t="n">
        <f>1023.4</f>
        <v>1023.4</v>
      </c>
      <c r="T496" s="32" t="n">
        <f>4297397</f>
        <v>4297397.0</v>
      </c>
      <c r="U496" s="32" t="n">
        <f>120</f>
        <v>120.0</v>
      </c>
      <c r="V496" s="32" t="n">
        <f>4420366612</f>
        <v>4.420366612E9</v>
      </c>
      <c r="W496" s="32" t="n">
        <f>123285</f>
        <v>123285.0</v>
      </c>
      <c r="X496" s="36" t="n">
        <f>5</f>
        <v>5.0</v>
      </c>
    </row>
    <row r="497">
      <c r="A497" s="27" t="s">
        <v>42</v>
      </c>
      <c r="B497" s="27" t="s">
        <v>1537</v>
      </c>
      <c r="C497" s="27" t="s">
        <v>1538</v>
      </c>
      <c r="D497" s="27" t="s">
        <v>1539</v>
      </c>
      <c r="E497" s="28" t="s">
        <v>1534</v>
      </c>
      <c r="F497" s="29" t="s">
        <v>1535</v>
      </c>
      <c r="G497" s="30" t="s">
        <v>1536</v>
      </c>
      <c r="H497" s="31"/>
      <c r="I497" s="31" t="s">
        <v>418</v>
      </c>
      <c r="J497" s="32" t="n">
        <v>1.0</v>
      </c>
      <c r="K497" s="33" t="n">
        <f>1014</f>
        <v>1014.0</v>
      </c>
      <c r="L497" s="34" t="s">
        <v>144</v>
      </c>
      <c r="M497" s="33" t="n">
        <f>1016</f>
        <v>1016.0</v>
      </c>
      <c r="N497" s="34" t="s">
        <v>144</v>
      </c>
      <c r="O497" s="33" t="n">
        <f>1000</f>
        <v>1000.0</v>
      </c>
      <c r="P497" s="34" t="s">
        <v>72</v>
      </c>
      <c r="Q497" s="33" t="n">
        <f>1011</f>
        <v>1011.0</v>
      </c>
      <c r="R497" s="34" t="s">
        <v>50</v>
      </c>
      <c r="S497" s="35" t="n">
        <f>1008.8</f>
        <v>1008.8</v>
      </c>
      <c r="T497" s="32" t="n">
        <f>32650</f>
        <v>32650.0</v>
      </c>
      <c r="U497" s="32" t="str">
        <f>"－"</f>
        <v>－</v>
      </c>
      <c r="V497" s="32" t="n">
        <f>32899595</f>
        <v>3.2899595E7</v>
      </c>
      <c r="W497" s="32" t="str">
        <f>"－"</f>
        <v>－</v>
      </c>
      <c r="X497" s="36" t="n">
        <f>5</f>
        <v>5.0</v>
      </c>
    </row>
    <row r="498">
      <c r="A498" s="27" t="s">
        <v>42</v>
      </c>
      <c r="B498" s="27" t="s">
        <v>1540</v>
      </c>
      <c r="C498" s="27" t="s">
        <v>1541</v>
      </c>
      <c r="D498" s="27" t="s">
        <v>1542</v>
      </c>
      <c r="E498" s="28" t="s">
        <v>46</v>
      </c>
      <c r="F498" s="29" t="s">
        <v>46</v>
      </c>
      <c r="G498" s="30" t="s">
        <v>46</v>
      </c>
      <c r="H498" s="31"/>
      <c r="I498" s="31" t="s">
        <v>47</v>
      </c>
      <c r="J498" s="32" t="n">
        <v>1.0</v>
      </c>
      <c r="K498" s="33" t="n">
        <f>133700</f>
        <v>133700.0</v>
      </c>
      <c r="L498" s="34" t="s">
        <v>48</v>
      </c>
      <c r="M498" s="33" t="n">
        <f>139900</f>
        <v>139900.0</v>
      </c>
      <c r="N498" s="34" t="s">
        <v>88</v>
      </c>
      <c r="O498" s="33" t="n">
        <f>130400</f>
        <v>130400.0</v>
      </c>
      <c r="P498" s="34" t="s">
        <v>50</v>
      </c>
      <c r="Q498" s="33" t="n">
        <f>131100</f>
        <v>131100.0</v>
      </c>
      <c r="R498" s="34" t="s">
        <v>50</v>
      </c>
      <c r="S498" s="35" t="n">
        <f>135404.76</f>
        <v>135404.76</v>
      </c>
      <c r="T498" s="32" t="n">
        <f>635611</f>
        <v>635611.0</v>
      </c>
      <c r="U498" s="32" t="n">
        <f>127875</f>
        <v>127875.0</v>
      </c>
      <c r="V498" s="32" t="n">
        <f>85918643015</f>
        <v>8.5918643015E10</v>
      </c>
      <c r="W498" s="32" t="n">
        <f>17288253915</f>
        <v>1.7288253915E10</v>
      </c>
      <c r="X498" s="36" t="n">
        <f>21</f>
        <v>21.0</v>
      </c>
    </row>
    <row r="499">
      <c r="A499" s="27" t="s">
        <v>42</v>
      </c>
      <c r="B499" s="27" t="s">
        <v>1543</v>
      </c>
      <c r="C499" s="27" t="s">
        <v>1544</v>
      </c>
      <c r="D499" s="27" t="s">
        <v>1545</v>
      </c>
      <c r="E499" s="28" t="s">
        <v>46</v>
      </c>
      <c r="F499" s="29" t="s">
        <v>46</v>
      </c>
      <c r="G499" s="30" t="s">
        <v>46</v>
      </c>
      <c r="H499" s="31"/>
      <c r="I499" s="31" t="s">
        <v>47</v>
      </c>
      <c r="J499" s="32" t="n">
        <v>1.0</v>
      </c>
      <c r="K499" s="33" t="n">
        <f>117400</f>
        <v>117400.0</v>
      </c>
      <c r="L499" s="34" t="s">
        <v>48</v>
      </c>
      <c r="M499" s="33" t="n">
        <f>123900</f>
        <v>123900.0</v>
      </c>
      <c r="N499" s="34" t="s">
        <v>88</v>
      </c>
      <c r="O499" s="33" t="n">
        <f>117100</f>
        <v>117100.0</v>
      </c>
      <c r="P499" s="34" t="s">
        <v>73</v>
      </c>
      <c r="Q499" s="33" t="n">
        <f>119600</f>
        <v>119600.0</v>
      </c>
      <c r="R499" s="34" t="s">
        <v>50</v>
      </c>
      <c r="S499" s="35" t="n">
        <f>121004.76</f>
        <v>121004.76</v>
      </c>
      <c r="T499" s="32" t="n">
        <f>639578</f>
        <v>639578.0</v>
      </c>
      <c r="U499" s="32" t="n">
        <f>166623</f>
        <v>166623.0</v>
      </c>
      <c r="V499" s="32" t="n">
        <f>77258057945</f>
        <v>7.7258057945E10</v>
      </c>
      <c r="W499" s="32" t="n">
        <f>20170984245</f>
        <v>2.0170984245E10</v>
      </c>
      <c r="X499" s="36" t="n">
        <f>21</f>
        <v>21.0</v>
      </c>
    </row>
    <row r="500">
      <c r="A500" s="27" t="s">
        <v>42</v>
      </c>
      <c r="B500" s="27" t="s">
        <v>1546</v>
      </c>
      <c r="C500" s="27" t="s">
        <v>1547</v>
      </c>
      <c r="D500" s="27" t="s">
        <v>1548</v>
      </c>
      <c r="E500" s="28" t="s">
        <v>46</v>
      </c>
      <c r="F500" s="29" t="s">
        <v>46</v>
      </c>
      <c r="G500" s="30" t="s">
        <v>46</v>
      </c>
      <c r="H500" s="31"/>
      <c r="I500" s="31" t="s">
        <v>47</v>
      </c>
      <c r="J500" s="32" t="n">
        <v>1.0</v>
      </c>
      <c r="K500" s="33" t="n">
        <f>112100</f>
        <v>112100.0</v>
      </c>
      <c r="L500" s="34" t="s">
        <v>48</v>
      </c>
      <c r="M500" s="33" t="n">
        <f>121200</f>
        <v>121200.0</v>
      </c>
      <c r="N500" s="34" t="s">
        <v>67</v>
      </c>
      <c r="O500" s="33" t="n">
        <f>112100</f>
        <v>112100.0</v>
      </c>
      <c r="P500" s="34" t="s">
        <v>48</v>
      </c>
      <c r="Q500" s="33" t="n">
        <f>115800</f>
        <v>115800.0</v>
      </c>
      <c r="R500" s="34" t="s">
        <v>50</v>
      </c>
      <c r="S500" s="35" t="n">
        <f>117766.67</f>
        <v>117766.67</v>
      </c>
      <c r="T500" s="32" t="n">
        <f>454019</f>
        <v>454019.0</v>
      </c>
      <c r="U500" s="32" t="n">
        <f>100686</f>
        <v>100686.0</v>
      </c>
      <c r="V500" s="32" t="n">
        <f>53333436215</f>
        <v>5.3333436215E10</v>
      </c>
      <c r="W500" s="32" t="n">
        <f>11832849515</f>
        <v>1.1832849515E10</v>
      </c>
      <c r="X500" s="36" t="n">
        <f>21</f>
        <v>21.0</v>
      </c>
    </row>
    <row r="501">
      <c r="A501" s="27" t="s">
        <v>42</v>
      </c>
      <c r="B501" s="27" t="s">
        <v>1549</v>
      </c>
      <c r="C501" s="27" t="s">
        <v>1550</v>
      </c>
      <c r="D501" s="27" t="s">
        <v>1551</v>
      </c>
      <c r="E501" s="28" t="s">
        <v>46</v>
      </c>
      <c r="F501" s="29" t="s">
        <v>46</v>
      </c>
      <c r="G501" s="30" t="s">
        <v>46</v>
      </c>
      <c r="H501" s="31"/>
      <c r="I501" s="31" t="s">
        <v>47</v>
      </c>
      <c r="J501" s="32" t="n">
        <v>1.0</v>
      </c>
      <c r="K501" s="33" t="n">
        <f>97700</f>
        <v>97700.0</v>
      </c>
      <c r="L501" s="34" t="s">
        <v>48</v>
      </c>
      <c r="M501" s="33" t="n">
        <f>102000</f>
        <v>102000.0</v>
      </c>
      <c r="N501" s="34" t="s">
        <v>88</v>
      </c>
      <c r="O501" s="33" t="n">
        <f>96800</f>
        <v>96800.0</v>
      </c>
      <c r="P501" s="34" t="s">
        <v>48</v>
      </c>
      <c r="Q501" s="33" t="n">
        <f>99200</f>
        <v>99200.0</v>
      </c>
      <c r="R501" s="34" t="s">
        <v>50</v>
      </c>
      <c r="S501" s="35" t="n">
        <f>99828.57</f>
        <v>99828.57</v>
      </c>
      <c r="T501" s="32" t="n">
        <f>304073</f>
        <v>304073.0</v>
      </c>
      <c r="U501" s="32" t="n">
        <f>83253</f>
        <v>83253.0</v>
      </c>
      <c r="V501" s="32" t="n">
        <f>30352112534</f>
        <v>3.0352112534E10</v>
      </c>
      <c r="W501" s="32" t="n">
        <f>8317330334</f>
        <v>8.317330334E9</v>
      </c>
      <c r="X501" s="36" t="n">
        <f>21</f>
        <v>21.0</v>
      </c>
    </row>
    <row r="502">
      <c r="A502" s="27" t="s">
        <v>42</v>
      </c>
      <c r="B502" s="27" t="s">
        <v>1552</v>
      </c>
      <c r="C502" s="27" t="s">
        <v>1553</v>
      </c>
      <c r="D502" s="27" t="s">
        <v>1554</v>
      </c>
      <c r="E502" s="28" t="s">
        <v>46</v>
      </c>
      <c r="F502" s="29" t="s">
        <v>46</v>
      </c>
      <c r="G502" s="30" t="s">
        <v>46</v>
      </c>
      <c r="H502" s="31"/>
      <c r="I502" s="31" t="s">
        <v>47</v>
      </c>
      <c r="J502" s="32" t="n">
        <v>1.0</v>
      </c>
      <c r="K502" s="33" t="n">
        <f>97900</f>
        <v>97900.0</v>
      </c>
      <c r="L502" s="34" t="s">
        <v>48</v>
      </c>
      <c r="M502" s="33" t="n">
        <f>101800</f>
        <v>101800.0</v>
      </c>
      <c r="N502" s="34" t="s">
        <v>143</v>
      </c>
      <c r="O502" s="33" t="n">
        <f>97900</f>
        <v>97900.0</v>
      </c>
      <c r="P502" s="34" t="s">
        <v>48</v>
      </c>
      <c r="Q502" s="33" t="n">
        <f>99100</f>
        <v>99100.0</v>
      </c>
      <c r="R502" s="34" t="s">
        <v>50</v>
      </c>
      <c r="S502" s="35" t="n">
        <f>99780.95</f>
        <v>99780.95</v>
      </c>
      <c r="T502" s="32" t="n">
        <f>185048</f>
        <v>185048.0</v>
      </c>
      <c r="U502" s="32" t="n">
        <f>46025</f>
        <v>46025.0</v>
      </c>
      <c r="V502" s="32" t="n">
        <f>18460397840</f>
        <v>1.846039784E10</v>
      </c>
      <c r="W502" s="32" t="n">
        <f>4587740740</f>
        <v>4.58774074E9</v>
      </c>
      <c r="X502" s="36" t="n">
        <f>21</f>
        <v>21.0</v>
      </c>
    </row>
    <row r="503">
      <c r="A503" s="27" t="s">
        <v>42</v>
      </c>
      <c r="B503" s="27" t="s">
        <v>1555</v>
      </c>
      <c r="C503" s="27" t="s">
        <v>1556</v>
      </c>
      <c r="D503" s="27" t="s">
        <v>1557</v>
      </c>
      <c r="E503" s="28" t="s">
        <v>46</v>
      </c>
      <c r="F503" s="29" t="s">
        <v>46</v>
      </c>
      <c r="G503" s="30" t="s">
        <v>46</v>
      </c>
      <c r="H503" s="31"/>
      <c r="I503" s="31" t="s">
        <v>47</v>
      </c>
      <c r="J503" s="32" t="n">
        <v>1.0</v>
      </c>
      <c r="K503" s="33" t="n">
        <f>139400</f>
        <v>139400.0</v>
      </c>
      <c r="L503" s="34" t="s">
        <v>48</v>
      </c>
      <c r="M503" s="33" t="n">
        <f>144700</f>
        <v>144700.0</v>
      </c>
      <c r="N503" s="34" t="s">
        <v>143</v>
      </c>
      <c r="O503" s="33" t="n">
        <f>136200</f>
        <v>136200.0</v>
      </c>
      <c r="P503" s="34" t="s">
        <v>50</v>
      </c>
      <c r="Q503" s="33" t="n">
        <f>137200</f>
        <v>137200.0</v>
      </c>
      <c r="R503" s="34" t="s">
        <v>50</v>
      </c>
      <c r="S503" s="35" t="n">
        <f>140971.43</f>
        <v>140971.43</v>
      </c>
      <c r="T503" s="32" t="n">
        <f>91366</f>
        <v>91366.0</v>
      </c>
      <c r="U503" s="32" t="n">
        <f>17956</f>
        <v>17956.0</v>
      </c>
      <c r="V503" s="32" t="n">
        <f>12871456791</f>
        <v>1.2871456791E10</v>
      </c>
      <c r="W503" s="32" t="n">
        <f>2533612491</f>
        <v>2.533612491E9</v>
      </c>
      <c r="X503" s="36" t="n">
        <f>21</f>
        <v>21.0</v>
      </c>
    </row>
    <row r="504">
      <c r="A504" s="27" t="s">
        <v>42</v>
      </c>
      <c r="B504" s="27" t="s">
        <v>1558</v>
      </c>
      <c r="C504" s="27" t="s">
        <v>1559</v>
      </c>
      <c r="D504" s="27" t="s">
        <v>1560</v>
      </c>
      <c r="E504" s="28" t="s">
        <v>46</v>
      </c>
      <c r="F504" s="29" t="s">
        <v>46</v>
      </c>
      <c r="G504" s="30" t="s">
        <v>46</v>
      </c>
      <c r="H504" s="31"/>
      <c r="I504" s="31" t="s">
        <v>47</v>
      </c>
      <c r="J504" s="32" t="n">
        <v>1.0</v>
      </c>
      <c r="K504" s="33" t="n">
        <f>199000</f>
        <v>199000.0</v>
      </c>
      <c r="L504" s="34" t="s">
        <v>48</v>
      </c>
      <c r="M504" s="33" t="n">
        <f>203600</f>
        <v>203600.0</v>
      </c>
      <c r="N504" s="34" t="s">
        <v>143</v>
      </c>
      <c r="O504" s="33" t="n">
        <f>191100</f>
        <v>191100.0</v>
      </c>
      <c r="P504" s="34" t="s">
        <v>50</v>
      </c>
      <c r="Q504" s="33" t="n">
        <f>192600</f>
        <v>192600.0</v>
      </c>
      <c r="R504" s="34" t="s">
        <v>50</v>
      </c>
      <c r="S504" s="35" t="n">
        <f>197700</f>
        <v>197700.0</v>
      </c>
      <c r="T504" s="32" t="n">
        <f>44741</f>
        <v>44741.0</v>
      </c>
      <c r="U504" s="32" t="n">
        <f>12142</f>
        <v>12142.0</v>
      </c>
      <c r="V504" s="32" t="n">
        <f>8856342867</f>
        <v>8.856342867E9</v>
      </c>
      <c r="W504" s="32" t="n">
        <f>2408955967</f>
        <v>2.408955967E9</v>
      </c>
      <c r="X504" s="36" t="n">
        <f>21</f>
        <v>21.0</v>
      </c>
    </row>
    <row r="505">
      <c r="A505" s="27" t="s">
        <v>42</v>
      </c>
      <c r="B505" s="27" t="s">
        <v>1561</v>
      </c>
      <c r="C505" s="27" t="s">
        <v>1562</v>
      </c>
      <c r="D505" s="27" t="s">
        <v>1563</v>
      </c>
      <c r="E505" s="28" t="s">
        <v>46</v>
      </c>
      <c r="F505" s="29" t="s">
        <v>46</v>
      </c>
      <c r="G505" s="30" t="s">
        <v>46</v>
      </c>
      <c r="H505" s="31"/>
      <c r="I505" s="31" t="s">
        <v>47</v>
      </c>
      <c r="J505" s="32" t="n">
        <v>1.0</v>
      </c>
      <c r="K505" s="33" t="n">
        <f>121300</f>
        <v>121300.0</v>
      </c>
      <c r="L505" s="34" t="s">
        <v>48</v>
      </c>
      <c r="M505" s="33" t="n">
        <f>128500</f>
        <v>128500.0</v>
      </c>
      <c r="N505" s="34" t="s">
        <v>200</v>
      </c>
      <c r="O505" s="33" t="n">
        <f>119700</f>
        <v>119700.0</v>
      </c>
      <c r="P505" s="34" t="s">
        <v>48</v>
      </c>
      <c r="Q505" s="33" t="n">
        <f>122100</f>
        <v>122100.0</v>
      </c>
      <c r="R505" s="34" t="s">
        <v>50</v>
      </c>
      <c r="S505" s="35" t="n">
        <f>123333.33</f>
        <v>123333.33</v>
      </c>
      <c r="T505" s="32" t="n">
        <f>382744</f>
        <v>382744.0</v>
      </c>
      <c r="U505" s="32" t="n">
        <f>65576</f>
        <v>65576.0</v>
      </c>
      <c r="V505" s="32" t="n">
        <f>47501297151</f>
        <v>4.7501297151E10</v>
      </c>
      <c r="W505" s="32" t="n">
        <f>8158807551</f>
        <v>8.158807551E9</v>
      </c>
      <c r="X505" s="36" t="n">
        <f>21</f>
        <v>21.0</v>
      </c>
    </row>
    <row r="506">
      <c r="A506" s="27" t="s">
        <v>42</v>
      </c>
      <c r="B506" s="27" t="s">
        <v>1564</v>
      </c>
      <c r="C506" s="27" t="s">
        <v>1565</v>
      </c>
      <c r="D506" s="27" t="s">
        <v>1566</v>
      </c>
      <c r="E506" s="28" t="s">
        <v>46</v>
      </c>
      <c r="F506" s="29" t="s">
        <v>46</v>
      </c>
      <c r="G506" s="30" t="s">
        <v>46</v>
      </c>
      <c r="H506" s="31"/>
      <c r="I506" s="31" t="s">
        <v>47</v>
      </c>
      <c r="J506" s="32" t="n">
        <v>1.0</v>
      </c>
      <c r="K506" s="33" t="n">
        <f>173000</f>
        <v>173000.0</v>
      </c>
      <c r="L506" s="34" t="s">
        <v>48</v>
      </c>
      <c r="M506" s="33" t="n">
        <f>180200</f>
        <v>180200.0</v>
      </c>
      <c r="N506" s="34" t="s">
        <v>67</v>
      </c>
      <c r="O506" s="33" t="n">
        <f>171700</f>
        <v>171700.0</v>
      </c>
      <c r="P506" s="34" t="s">
        <v>73</v>
      </c>
      <c r="Q506" s="33" t="n">
        <f>176600</f>
        <v>176600.0</v>
      </c>
      <c r="R506" s="34" t="s">
        <v>50</v>
      </c>
      <c r="S506" s="35" t="n">
        <f>176285.71</f>
        <v>176285.71</v>
      </c>
      <c r="T506" s="32" t="n">
        <f>169956</f>
        <v>169956.0</v>
      </c>
      <c r="U506" s="32" t="n">
        <f>39871</f>
        <v>39871.0</v>
      </c>
      <c r="V506" s="32" t="n">
        <f>30007695467</f>
        <v>3.0007695467E10</v>
      </c>
      <c r="W506" s="32" t="n">
        <f>7033772667</f>
        <v>7.033772667E9</v>
      </c>
      <c r="X506" s="36" t="n">
        <f>21</f>
        <v>21.0</v>
      </c>
    </row>
    <row r="507">
      <c r="A507" s="27" t="s">
        <v>42</v>
      </c>
      <c r="B507" s="27" t="s">
        <v>1567</v>
      </c>
      <c r="C507" s="27" t="s">
        <v>1568</v>
      </c>
      <c r="D507" s="27" t="s">
        <v>1569</v>
      </c>
      <c r="E507" s="28" t="s">
        <v>46</v>
      </c>
      <c r="F507" s="29" t="s">
        <v>46</v>
      </c>
      <c r="G507" s="30" t="s">
        <v>46</v>
      </c>
      <c r="H507" s="31"/>
      <c r="I507" s="31" t="s">
        <v>47</v>
      </c>
      <c r="J507" s="32" t="n">
        <v>1.0</v>
      </c>
      <c r="K507" s="33" t="n">
        <f>72000</f>
        <v>72000.0</v>
      </c>
      <c r="L507" s="34" t="s">
        <v>48</v>
      </c>
      <c r="M507" s="33" t="n">
        <f>76800</f>
        <v>76800.0</v>
      </c>
      <c r="N507" s="34" t="s">
        <v>144</v>
      </c>
      <c r="O507" s="33" t="n">
        <f>71500</f>
        <v>71500.0</v>
      </c>
      <c r="P507" s="34" t="s">
        <v>48</v>
      </c>
      <c r="Q507" s="33" t="n">
        <f>75700</f>
        <v>75700.0</v>
      </c>
      <c r="R507" s="34" t="s">
        <v>50</v>
      </c>
      <c r="S507" s="35" t="n">
        <f>74361.9</f>
        <v>74361.9</v>
      </c>
      <c r="T507" s="32" t="n">
        <f>180002</f>
        <v>180002.0</v>
      </c>
      <c r="U507" s="32" t="n">
        <f>42274</f>
        <v>42274.0</v>
      </c>
      <c r="V507" s="32" t="n">
        <f>13404619285</f>
        <v>1.3404619285E10</v>
      </c>
      <c r="W507" s="32" t="n">
        <f>3155329785</f>
        <v>3.155329785E9</v>
      </c>
      <c r="X507" s="36" t="n">
        <f>21</f>
        <v>21.0</v>
      </c>
    </row>
    <row r="508">
      <c r="A508" s="27" t="s">
        <v>42</v>
      </c>
      <c r="B508" s="27" t="s">
        <v>1570</v>
      </c>
      <c r="C508" s="27" t="s">
        <v>1571</v>
      </c>
      <c r="D508" s="27" t="s">
        <v>1572</v>
      </c>
      <c r="E508" s="28" t="s">
        <v>46</v>
      </c>
      <c r="F508" s="29" t="s">
        <v>46</v>
      </c>
      <c r="G508" s="30" t="s">
        <v>46</v>
      </c>
      <c r="H508" s="31"/>
      <c r="I508" s="31" t="s">
        <v>47</v>
      </c>
      <c r="J508" s="32" t="n">
        <v>1.0</v>
      </c>
      <c r="K508" s="33" t="n">
        <f>60100</f>
        <v>60100.0</v>
      </c>
      <c r="L508" s="34" t="s">
        <v>48</v>
      </c>
      <c r="M508" s="33" t="n">
        <f>64400</f>
        <v>64400.0</v>
      </c>
      <c r="N508" s="34" t="s">
        <v>67</v>
      </c>
      <c r="O508" s="33" t="n">
        <f>60000</f>
        <v>60000.0</v>
      </c>
      <c r="P508" s="34" t="s">
        <v>73</v>
      </c>
      <c r="Q508" s="33" t="n">
        <f>61400</f>
        <v>61400.0</v>
      </c>
      <c r="R508" s="34" t="s">
        <v>50</v>
      </c>
      <c r="S508" s="35" t="n">
        <f>62319.05</f>
        <v>62319.05</v>
      </c>
      <c r="T508" s="32" t="n">
        <f>751816</f>
        <v>751816.0</v>
      </c>
      <c r="U508" s="32" t="n">
        <f>184512</f>
        <v>184512.0</v>
      </c>
      <c r="V508" s="32" t="n">
        <f>46827128960</f>
        <v>4.682712896E10</v>
      </c>
      <c r="W508" s="32" t="n">
        <f>11518816360</f>
        <v>1.151881636E10</v>
      </c>
      <c r="X508" s="36" t="n">
        <f>21</f>
        <v>21.0</v>
      </c>
    </row>
    <row r="509">
      <c r="A509" s="27" t="s">
        <v>42</v>
      </c>
      <c r="B509" s="27" t="s">
        <v>1573</v>
      </c>
      <c r="C509" s="27" t="s">
        <v>1574</v>
      </c>
      <c r="D509" s="27" t="s">
        <v>1575</v>
      </c>
      <c r="E509" s="28" t="s">
        <v>46</v>
      </c>
      <c r="F509" s="29" t="s">
        <v>46</v>
      </c>
      <c r="G509" s="30" t="s">
        <v>46</v>
      </c>
      <c r="H509" s="31"/>
      <c r="I509" s="31" t="s">
        <v>47</v>
      </c>
      <c r="J509" s="32" t="n">
        <v>1.0</v>
      </c>
      <c r="K509" s="33" t="n">
        <f>85300</f>
        <v>85300.0</v>
      </c>
      <c r="L509" s="34" t="s">
        <v>48</v>
      </c>
      <c r="M509" s="33" t="n">
        <f>88700</f>
        <v>88700.0</v>
      </c>
      <c r="N509" s="34" t="s">
        <v>88</v>
      </c>
      <c r="O509" s="33" t="n">
        <f>85000</f>
        <v>85000.0</v>
      </c>
      <c r="P509" s="34" t="s">
        <v>48</v>
      </c>
      <c r="Q509" s="33" t="n">
        <f>85600</f>
        <v>85600.0</v>
      </c>
      <c r="R509" s="34" t="s">
        <v>50</v>
      </c>
      <c r="S509" s="35" t="n">
        <f>86985.71</f>
        <v>86985.71</v>
      </c>
      <c r="T509" s="32" t="n">
        <f>137980</f>
        <v>137980.0</v>
      </c>
      <c r="U509" s="32" t="n">
        <f>41215</f>
        <v>41215.0</v>
      </c>
      <c r="V509" s="32" t="n">
        <f>11984699389</f>
        <v>1.1984699389E10</v>
      </c>
      <c r="W509" s="32" t="n">
        <f>3577497889</f>
        <v>3.577497889E9</v>
      </c>
      <c r="X509" s="36" t="n">
        <f>21</f>
        <v>21.0</v>
      </c>
    </row>
    <row r="510">
      <c r="A510" s="27" t="s">
        <v>42</v>
      </c>
      <c r="B510" s="27" t="s">
        <v>1576</v>
      </c>
      <c r="C510" s="27" t="s">
        <v>1577</v>
      </c>
      <c r="D510" s="27" t="s">
        <v>1578</v>
      </c>
      <c r="E510" s="28" t="s">
        <v>46</v>
      </c>
      <c r="F510" s="29" t="s">
        <v>46</v>
      </c>
      <c r="G510" s="30" t="s">
        <v>46</v>
      </c>
      <c r="H510" s="31"/>
      <c r="I510" s="31" t="s">
        <v>47</v>
      </c>
      <c r="J510" s="32" t="n">
        <v>1.0</v>
      </c>
      <c r="K510" s="33" t="n">
        <f>144300</f>
        <v>144300.0</v>
      </c>
      <c r="L510" s="34" t="s">
        <v>48</v>
      </c>
      <c r="M510" s="33" t="n">
        <f>150000</f>
        <v>150000.0</v>
      </c>
      <c r="N510" s="34" t="s">
        <v>200</v>
      </c>
      <c r="O510" s="33" t="n">
        <f>144000</f>
        <v>144000.0</v>
      </c>
      <c r="P510" s="34" t="s">
        <v>48</v>
      </c>
      <c r="Q510" s="33" t="n">
        <f>146900</f>
        <v>146900.0</v>
      </c>
      <c r="R510" s="34" t="s">
        <v>50</v>
      </c>
      <c r="S510" s="35" t="n">
        <f>147514.29</f>
        <v>147514.29</v>
      </c>
      <c r="T510" s="32" t="n">
        <f>58638</f>
        <v>58638.0</v>
      </c>
      <c r="U510" s="32" t="n">
        <f>13078</f>
        <v>13078.0</v>
      </c>
      <c r="V510" s="32" t="n">
        <f>8647558749</f>
        <v>8.647558749E9</v>
      </c>
      <c r="W510" s="32" t="n">
        <f>1929277349</f>
        <v>1.929277349E9</v>
      </c>
      <c r="X510" s="36" t="n">
        <f>21</f>
        <v>21.0</v>
      </c>
    </row>
    <row r="511">
      <c r="A511" s="27" t="s">
        <v>42</v>
      </c>
      <c r="B511" s="27" t="s">
        <v>1579</v>
      </c>
      <c r="C511" s="27" t="s">
        <v>1580</v>
      </c>
      <c r="D511" s="27" t="s">
        <v>1581</v>
      </c>
      <c r="E511" s="28" t="s">
        <v>46</v>
      </c>
      <c r="F511" s="29" t="s">
        <v>46</v>
      </c>
      <c r="G511" s="30" t="s">
        <v>46</v>
      </c>
      <c r="H511" s="31"/>
      <c r="I511" s="31" t="s">
        <v>47</v>
      </c>
      <c r="J511" s="32" t="n">
        <v>1.0</v>
      </c>
      <c r="K511" s="33" t="n">
        <f>96900</f>
        <v>96900.0</v>
      </c>
      <c r="L511" s="34" t="s">
        <v>48</v>
      </c>
      <c r="M511" s="33" t="n">
        <f>99400</f>
        <v>99400.0</v>
      </c>
      <c r="N511" s="34" t="s">
        <v>88</v>
      </c>
      <c r="O511" s="33" t="n">
        <f>94800</f>
        <v>94800.0</v>
      </c>
      <c r="P511" s="34" t="s">
        <v>207</v>
      </c>
      <c r="Q511" s="33" t="n">
        <f>95100</f>
        <v>95100.0</v>
      </c>
      <c r="R511" s="34" t="s">
        <v>50</v>
      </c>
      <c r="S511" s="35" t="n">
        <f>97423.81</f>
        <v>97423.81</v>
      </c>
      <c r="T511" s="32" t="n">
        <f>147880</f>
        <v>147880.0</v>
      </c>
      <c r="U511" s="32" t="n">
        <f>37918</f>
        <v>37918.0</v>
      </c>
      <c r="V511" s="32" t="n">
        <f>14417548214</f>
        <v>1.4417548214E10</v>
      </c>
      <c r="W511" s="32" t="n">
        <f>3699486814</f>
        <v>3.699486814E9</v>
      </c>
      <c r="X511" s="36" t="n">
        <f>21</f>
        <v>21.0</v>
      </c>
    </row>
    <row r="512">
      <c r="A512" s="27" t="s">
        <v>42</v>
      </c>
      <c r="B512" s="27" t="s">
        <v>1582</v>
      </c>
      <c r="C512" s="27" t="s">
        <v>1583</v>
      </c>
      <c r="D512" s="27" t="s">
        <v>1584</v>
      </c>
      <c r="E512" s="28" t="s">
        <v>46</v>
      </c>
      <c r="F512" s="29" t="s">
        <v>46</v>
      </c>
      <c r="G512" s="30" t="s">
        <v>46</v>
      </c>
      <c r="H512" s="31"/>
      <c r="I512" s="31" t="s">
        <v>47</v>
      </c>
      <c r="J512" s="32" t="n">
        <v>1.0</v>
      </c>
      <c r="K512" s="33" t="n">
        <f>172600</f>
        <v>172600.0</v>
      </c>
      <c r="L512" s="34" t="s">
        <v>48</v>
      </c>
      <c r="M512" s="33" t="n">
        <f>183300</f>
        <v>183300.0</v>
      </c>
      <c r="N512" s="34" t="s">
        <v>80</v>
      </c>
      <c r="O512" s="33" t="n">
        <f>172300</f>
        <v>172300.0</v>
      </c>
      <c r="P512" s="34" t="s">
        <v>48</v>
      </c>
      <c r="Q512" s="33" t="n">
        <f>180400</f>
        <v>180400.0</v>
      </c>
      <c r="R512" s="34" t="s">
        <v>50</v>
      </c>
      <c r="S512" s="35" t="n">
        <f>178671.43</f>
        <v>178671.43</v>
      </c>
      <c r="T512" s="32" t="n">
        <f>44962</f>
        <v>44962.0</v>
      </c>
      <c r="U512" s="32" t="n">
        <f>13126</f>
        <v>13126.0</v>
      </c>
      <c r="V512" s="32" t="n">
        <f>8026493512</f>
        <v>8.026493512E9</v>
      </c>
      <c r="W512" s="32" t="n">
        <f>2329407312</f>
        <v>2.329407312E9</v>
      </c>
      <c r="X512" s="36" t="n">
        <f>21</f>
        <v>21.0</v>
      </c>
    </row>
    <row r="513">
      <c r="A513" s="27" t="s">
        <v>42</v>
      </c>
      <c r="B513" s="27" t="s">
        <v>1585</v>
      </c>
      <c r="C513" s="27" t="s">
        <v>1586</v>
      </c>
      <c r="D513" s="27" t="s">
        <v>1587</v>
      </c>
      <c r="E513" s="28" t="s">
        <v>46</v>
      </c>
      <c r="F513" s="29" t="s">
        <v>46</v>
      </c>
      <c r="G513" s="30" t="s">
        <v>46</v>
      </c>
      <c r="H513" s="31"/>
      <c r="I513" s="31" t="s">
        <v>47</v>
      </c>
      <c r="J513" s="32" t="n">
        <v>1.0</v>
      </c>
      <c r="K513" s="33" t="n">
        <f>163000</f>
        <v>163000.0</v>
      </c>
      <c r="L513" s="34" t="s">
        <v>48</v>
      </c>
      <c r="M513" s="33" t="n">
        <f>168900</f>
        <v>168900.0</v>
      </c>
      <c r="N513" s="34" t="s">
        <v>184</v>
      </c>
      <c r="O513" s="33" t="n">
        <f>160700</f>
        <v>160700.0</v>
      </c>
      <c r="P513" s="34" t="s">
        <v>50</v>
      </c>
      <c r="Q513" s="33" t="n">
        <f>163000</f>
        <v>163000.0</v>
      </c>
      <c r="R513" s="34" t="s">
        <v>50</v>
      </c>
      <c r="S513" s="35" t="n">
        <f>165628.57</f>
        <v>165628.57</v>
      </c>
      <c r="T513" s="32" t="n">
        <f>293541</f>
        <v>293541.0</v>
      </c>
      <c r="U513" s="32" t="n">
        <f>74710</f>
        <v>74710.0</v>
      </c>
      <c r="V513" s="32" t="n">
        <f>48616309639</f>
        <v>4.8616309639E10</v>
      </c>
      <c r="W513" s="32" t="n">
        <f>12393768439</f>
        <v>1.2393768439E10</v>
      </c>
      <c r="X513" s="36" t="n">
        <f>21</f>
        <v>21.0</v>
      </c>
    </row>
    <row r="514">
      <c r="A514" s="27" t="s">
        <v>42</v>
      </c>
      <c r="B514" s="27" t="s">
        <v>1588</v>
      </c>
      <c r="C514" s="27" t="s">
        <v>1589</v>
      </c>
      <c r="D514" s="27" t="s">
        <v>1590</v>
      </c>
      <c r="E514" s="28" t="s">
        <v>46</v>
      </c>
      <c r="F514" s="29" t="s">
        <v>46</v>
      </c>
      <c r="G514" s="30" t="s">
        <v>46</v>
      </c>
      <c r="H514" s="31"/>
      <c r="I514" s="31" t="s">
        <v>47</v>
      </c>
      <c r="J514" s="32" t="n">
        <v>1.0</v>
      </c>
      <c r="K514" s="33" t="n">
        <f>93200</f>
        <v>93200.0</v>
      </c>
      <c r="L514" s="34" t="s">
        <v>48</v>
      </c>
      <c r="M514" s="33" t="n">
        <f>96600</f>
        <v>96600.0</v>
      </c>
      <c r="N514" s="34" t="s">
        <v>143</v>
      </c>
      <c r="O514" s="33" t="n">
        <f>90200</f>
        <v>90200.0</v>
      </c>
      <c r="P514" s="34" t="s">
        <v>50</v>
      </c>
      <c r="Q514" s="33" t="n">
        <f>90600</f>
        <v>90600.0</v>
      </c>
      <c r="R514" s="34" t="s">
        <v>50</v>
      </c>
      <c r="S514" s="35" t="n">
        <f>93723.81</f>
        <v>93723.81</v>
      </c>
      <c r="T514" s="32" t="n">
        <f>78263</f>
        <v>78263.0</v>
      </c>
      <c r="U514" s="32" t="n">
        <f>17305</f>
        <v>17305.0</v>
      </c>
      <c r="V514" s="32" t="n">
        <f>7328368802</f>
        <v>7.328368802E9</v>
      </c>
      <c r="W514" s="32" t="n">
        <f>1622435002</f>
        <v>1.622435002E9</v>
      </c>
      <c r="X514" s="36" t="n">
        <f>21</f>
        <v>21.0</v>
      </c>
    </row>
    <row r="515">
      <c r="A515" s="27" t="s">
        <v>42</v>
      </c>
      <c r="B515" s="27" t="s">
        <v>1591</v>
      </c>
      <c r="C515" s="27" t="s">
        <v>1592</v>
      </c>
      <c r="D515" s="27" t="s">
        <v>1593</v>
      </c>
      <c r="E515" s="28" t="s">
        <v>46</v>
      </c>
      <c r="F515" s="29" t="s">
        <v>46</v>
      </c>
      <c r="G515" s="30" t="s">
        <v>46</v>
      </c>
      <c r="H515" s="31"/>
      <c r="I515" s="31" t="s">
        <v>47</v>
      </c>
      <c r="J515" s="32" t="n">
        <v>1.0</v>
      </c>
      <c r="K515" s="33" t="n">
        <f>331000</f>
        <v>331000.0</v>
      </c>
      <c r="L515" s="34" t="s">
        <v>48</v>
      </c>
      <c r="M515" s="33" t="n">
        <f>345500</f>
        <v>345500.0</v>
      </c>
      <c r="N515" s="34" t="s">
        <v>143</v>
      </c>
      <c r="O515" s="33" t="n">
        <f>329000</f>
        <v>329000.0</v>
      </c>
      <c r="P515" s="34" t="s">
        <v>50</v>
      </c>
      <c r="Q515" s="33" t="n">
        <f>333500</f>
        <v>333500.0</v>
      </c>
      <c r="R515" s="34" t="s">
        <v>50</v>
      </c>
      <c r="S515" s="35" t="n">
        <f>337476.19</f>
        <v>337476.19</v>
      </c>
      <c r="T515" s="32" t="n">
        <f>46457</f>
        <v>46457.0</v>
      </c>
      <c r="U515" s="32" t="n">
        <f>13327</f>
        <v>13327.0</v>
      </c>
      <c r="V515" s="32" t="n">
        <f>15663534248</f>
        <v>1.5663534248E10</v>
      </c>
      <c r="W515" s="32" t="n">
        <f>4499794748</f>
        <v>4.499794748E9</v>
      </c>
      <c r="X515" s="36" t="n">
        <f>21</f>
        <v>21.0</v>
      </c>
    </row>
    <row r="516">
      <c r="A516" s="27" t="s">
        <v>42</v>
      </c>
      <c r="B516" s="27" t="s">
        <v>1594</v>
      </c>
      <c r="C516" s="27" t="s">
        <v>1595</v>
      </c>
      <c r="D516" s="27" t="s">
        <v>1596</v>
      </c>
      <c r="E516" s="28" t="s">
        <v>46</v>
      </c>
      <c r="F516" s="29" t="s">
        <v>46</v>
      </c>
      <c r="G516" s="30" t="s">
        <v>46</v>
      </c>
      <c r="H516" s="31"/>
      <c r="I516" s="31" t="s">
        <v>47</v>
      </c>
      <c r="J516" s="32" t="n">
        <v>1.0</v>
      </c>
      <c r="K516" s="33" t="n">
        <f>147800</f>
        <v>147800.0</v>
      </c>
      <c r="L516" s="34" t="s">
        <v>48</v>
      </c>
      <c r="M516" s="33" t="n">
        <f>151800</f>
        <v>151800.0</v>
      </c>
      <c r="N516" s="34" t="s">
        <v>143</v>
      </c>
      <c r="O516" s="33" t="n">
        <f>145400</f>
        <v>145400.0</v>
      </c>
      <c r="P516" s="34" t="s">
        <v>73</v>
      </c>
      <c r="Q516" s="33" t="n">
        <f>148800</f>
        <v>148800.0</v>
      </c>
      <c r="R516" s="34" t="s">
        <v>50</v>
      </c>
      <c r="S516" s="35" t="n">
        <f>149709.52</f>
        <v>149709.52</v>
      </c>
      <c r="T516" s="32" t="n">
        <f>31686</f>
        <v>31686.0</v>
      </c>
      <c r="U516" s="32" t="n">
        <f>5786</f>
        <v>5786.0</v>
      </c>
      <c r="V516" s="32" t="n">
        <f>4740833224</f>
        <v>4.740833224E9</v>
      </c>
      <c r="W516" s="32" t="n">
        <f>866663124</f>
        <v>8.66663124E8</v>
      </c>
      <c r="X516" s="36" t="n">
        <f>21</f>
        <v>21.0</v>
      </c>
    </row>
    <row r="517">
      <c r="A517" s="27" t="s">
        <v>42</v>
      </c>
      <c r="B517" s="27" t="s">
        <v>1597</v>
      </c>
      <c r="C517" s="27" t="s">
        <v>1598</v>
      </c>
      <c r="D517" s="27" t="s">
        <v>1599</v>
      </c>
      <c r="E517" s="28" t="s">
        <v>46</v>
      </c>
      <c r="F517" s="29" t="s">
        <v>46</v>
      </c>
      <c r="G517" s="30" t="s">
        <v>46</v>
      </c>
      <c r="H517" s="31"/>
      <c r="I517" s="31" t="s">
        <v>418</v>
      </c>
      <c r="J517" s="32" t="n">
        <v>1.0</v>
      </c>
      <c r="K517" s="33" t="n">
        <f>197400</f>
        <v>197400.0</v>
      </c>
      <c r="L517" s="34" t="s">
        <v>48</v>
      </c>
      <c r="M517" s="33" t="n">
        <f>206500</f>
        <v>206500.0</v>
      </c>
      <c r="N517" s="34" t="s">
        <v>200</v>
      </c>
      <c r="O517" s="33" t="n">
        <f>193000</f>
        <v>193000.0</v>
      </c>
      <c r="P517" s="34" t="s">
        <v>50</v>
      </c>
      <c r="Q517" s="33" t="n">
        <f>194200</f>
        <v>194200.0</v>
      </c>
      <c r="R517" s="34" t="s">
        <v>50</v>
      </c>
      <c r="S517" s="35" t="n">
        <f>201185.71</f>
        <v>201185.71</v>
      </c>
      <c r="T517" s="32" t="n">
        <f>14021</f>
        <v>14021.0</v>
      </c>
      <c r="U517" s="32" t="n">
        <f>1874</f>
        <v>1874.0</v>
      </c>
      <c r="V517" s="32" t="n">
        <f>2810918455</f>
        <v>2.810918455E9</v>
      </c>
      <c r="W517" s="32" t="n">
        <f>376081455</f>
        <v>3.76081455E8</v>
      </c>
      <c r="X517" s="36" t="n">
        <f>21</f>
        <v>21.0</v>
      </c>
    </row>
    <row r="518">
      <c r="A518" s="27" t="s">
        <v>42</v>
      </c>
      <c r="B518" s="27" t="s">
        <v>1600</v>
      </c>
      <c r="C518" s="27" t="s">
        <v>1601</v>
      </c>
      <c r="D518" s="27" t="s">
        <v>1602</v>
      </c>
      <c r="E518" s="28" t="s">
        <v>46</v>
      </c>
      <c r="F518" s="29" t="s">
        <v>46</v>
      </c>
      <c r="G518" s="30" t="s">
        <v>46</v>
      </c>
      <c r="H518" s="31"/>
      <c r="I518" s="31" t="s">
        <v>47</v>
      </c>
      <c r="J518" s="32" t="n">
        <v>1.0</v>
      </c>
      <c r="K518" s="33" t="n">
        <f>126000</f>
        <v>126000.0</v>
      </c>
      <c r="L518" s="34" t="s">
        <v>48</v>
      </c>
      <c r="M518" s="33" t="n">
        <f>132500</f>
        <v>132500.0</v>
      </c>
      <c r="N518" s="34" t="s">
        <v>49</v>
      </c>
      <c r="O518" s="33" t="n">
        <f>124100</f>
        <v>124100.0</v>
      </c>
      <c r="P518" s="34" t="s">
        <v>50</v>
      </c>
      <c r="Q518" s="33" t="n">
        <f>125600</f>
        <v>125600.0</v>
      </c>
      <c r="R518" s="34" t="s">
        <v>50</v>
      </c>
      <c r="S518" s="35" t="n">
        <f>128428.57</f>
        <v>128428.57</v>
      </c>
      <c r="T518" s="32" t="n">
        <f>232517</f>
        <v>232517.0</v>
      </c>
      <c r="U518" s="32" t="n">
        <f>59667</f>
        <v>59667.0</v>
      </c>
      <c r="V518" s="32" t="n">
        <f>29877909395</f>
        <v>2.9877909395E10</v>
      </c>
      <c r="W518" s="32" t="n">
        <f>7677400495</f>
        <v>7.677400495E9</v>
      </c>
      <c r="X518" s="36" t="n">
        <f>21</f>
        <v>21.0</v>
      </c>
    </row>
    <row r="519">
      <c r="A519" s="27" t="s">
        <v>42</v>
      </c>
      <c r="B519" s="27" t="s">
        <v>1603</v>
      </c>
      <c r="C519" s="27" t="s">
        <v>1604</v>
      </c>
      <c r="D519" s="27" t="s">
        <v>1605</v>
      </c>
      <c r="E519" s="28" t="s">
        <v>46</v>
      </c>
      <c r="F519" s="29" t="s">
        <v>46</v>
      </c>
      <c r="G519" s="30" t="s">
        <v>46</v>
      </c>
      <c r="H519" s="31"/>
      <c r="I519" s="31" t="s">
        <v>47</v>
      </c>
      <c r="J519" s="32" t="n">
        <v>1.0</v>
      </c>
      <c r="K519" s="33" t="n">
        <f>75900</f>
        <v>75900.0</v>
      </c>
      <c r="L519" s="34" t="s">
        <v>48</v>
      </c>
      <c r="M519" s="33" t="n">
        <f>80800</f>
        <v>80800.0</v>
      </c>
      <c r="N519" s="34" t="s">
        <v>282</v>
      </c>
      <c r="O519" s="33" t="n">
        <f>75600</f>
        <v>75600.0</v>
      </c>
      <c r="P519" s="34" t="s">
        <v>73</v>
      </c>
      <c r="Q519" s="33" t="n">
        <f>78200</f>
        <v>78200.0</v>
      </c>
      <c r="R519" s="34" t="s">
        <v>50</v>
      </c>
      <c r="S519" s="35" t="n">
        <f>78719.05</f>
        <v>78719.05</v>
      </c>
      <c r="T519" s="32" t="n">
        <f>786422</f>
        <v>786422.0</v>
      </c>
      <c r="U519" s="32" t="n">
        <f>158262</f>
        <v>158262.0</v>
      </c>
      <c r="V519" s="32" t="n">
        <f>61946834987</f>
        <v>6.1946834987E10</v>
      </c>
      <c r="W519" s="32" t="n">
        <f>12484177687</f>
        <v>1.2484177687E10</v>
      </c>
      <c r="X519" s="36" t="n">
        <f>21</f>
        <v>21.0</v>
      </c>
    </row>
    <row r="520">
      <c r="A520" s="27" t="s">
        <v>42</v>
      </c>
      <c r="B520" s="27" t="s">
        <v>1606</v>
      </c>
      <c r="C520" s="27" t="s">
        <v>1607</v>
      </c>
      <c r="D520" s="27" t="s">
        <v>1608</v>
      </c>
      <c r="E520" s="28" t="s">
        <v>46</v>
      </c>
      <c r="F520" s="29" t="s">
        <v>46</v>
      </c>
      <c r="G520" s="30" t="s">
        <v>46</v>
      </c>
      <c r="H520" s="31"/>
      <c r="I520" s="31" t="s">
        <v>47</v>
      </c>
      <c r="J520" s="32" t="n">
        <v>1.0</v>
      </c>
      <c r="K520" s="33" t="n">
        <f>107100</f>
        <v>107100.0</v>
      </c>
      <c r="L520" s="34" t="s">
        <v>48</v>
      </c>
      <c r="M520" s="33" t="n">
        <f>111700</f>
        <v>111700.0</v>
      </c>
      <c r="N520" s="34" t="s">
        <v>84</v>
      </c>
      <c r="O520" s="33" t="n">
        <f>106300</f>
        <v>106300.0</v>
      </c>
      <c r="P520" s="34" t="s">
        <v>50</v>
      </c>
      <c r="Q520" s="33" t="n">
        <f>107300</f>
        <v>107300.0</v>
      </c>
      <c r="R520" s="34" t="s">
        <v>50</v>
      </c>
      <c r="S520" s="35" t="n">
        <f>108976.19</f>
        <v>108976.19</v>
      </c>
      <c r="T520" s="32" t="n">
        <f>128823</f>
        <v>128823.0</v>
      </c>
      <c r="U520" s="32" t="n">
        <f>36676</f>
        <v>36676.0</v>
      </c>
      <c r="V520" s="32" t="n">
        <f>14042886732</f>
        <v>1.4042886732E10</v>
      </c>
      <c r="W520" s="32" t="n">
        <f>4002216132</f>
        <v>4.002216132E9</v>
      </c>
      <c r="X520" s="36" t="n">
        <f>21</f>
        <v>21.0</v>
      </c>
    </row>
    <row r="521">
      <c r="A521" s="27" t="s">
        <v>42</v>
      </c>
      <c r="B521" s="27" t="s">
        <v>1609</v>
      </c>
      <c r="C521" s="27" t="s">
        <v>1610</v>
      </c>
      <c r="D521" s="27" t="s">
        <v>1611</v>
      </c>
      <c r="E521" s="28" t="s">
        <v>46</v>
      </c>
      <c r="F521" s="29" t="s">
        <v>46</v>
      </c>
      <c r="G521" s="30" t="s">
        <v>46</v>
      </c>
      <c r="H521" s="31"/>
      <c r="I521" s="31" t="s">
        <v>47</v>
      </c>
      <c r="J521" s="32" t="n">
        <v>1.0</v>
      </c>
      <c r="K521" s="33" t="n">
        <f>144000</f>
        <v>144000.0</v>
      </c>
      <c r="L521" s="34" t="s">
        <v>48</v>
      </c>
      <c r="M521" s="33" t="n">
        <f>148400</f>
        <v>148400.0</v>
      </c>
      <c r="N521" s="34" t="s">
        <v>143</v>
      </c>
      <c r="O521" s="33" t="n">
        <f>142100</f>
        <v>142100.0</v>
      </c>
      <c r="P521" s="34" t="s">
        <v>50</v>
      </c>
      <c r="Q521" s="33" t="n">
        <f>143100</f>
        <v>143100.0</v>
      </c>
      <c r="R521" s="34" t="s">
        <v>50</v>
      </c>
      <c r="S521" s="35" t="n">
        <f>144852.38</f>
        <v>144852.38</v>
      </c>
      <c r="T521" s="32" t="n">
        <f>65338</f>
        <v>65338.0</v>
      </c>
      <c r="U521" s="32" t="n">
        <f>14777</f>
        <v>14777.0</v>
      </c>
      <c r="V521" s="32" t="n">
        <f>9455276714</f>
        <v>9.455276714E9</v>
      </c>
      <c r="W521" s="32" t="n">
        <f>2140999914</f>
        <v>2.140999914E9</v>
      </c>
      <c r="X521" s="36" t="n">
        <f>21</f>
        <v>21.0</v>
      </c>
    </row>
    <row r="522">
      <c r="A522" s="27" t="s">
        <v>42</v>
      </c>
      <c r="B522" s="27" t="s">
        <v>1612</v>
      </c>
      <c r="C522" s="27" t="s">
        <v>1613</v>
      </c>
      <c r="D522" s="27" t="s">
        <v>1614</v>
      </c>
      <c r="E522" s="28" t="s">
        <v>46</v>
      </c>
      <c r="F522" s="29" t="s">
        <v>46</v>
      </c>
      <c r="G522" s="30" t="s">
        <v>46</v>
      </c>
      <c r="H522" s="31"/>
      <c r="I522" s="31" t="s">
        <v>418</v>
      </c>
      <c r="J522" s="32" t="n">
        <v>1.0</v>
      </c>
      <c r="K522" s="33" t="n">
        <f>58700</f>
        <v>58700.0</v>
      </c>
      <c r="L522" s="34" t="s">
        <v>48</v>
      </c>
      <c r="M522" s="33" t="n">
        <f>62300</f>
        <v>62300.0</v>
      </c>
      <c r="N522" s="34" t="s">
        <v>200</v>
      </c>
      <c r="O522" s="33" t="n">
        <f>57700</f>
        <v>57700.0</v>
      </c>
      <c r="P522" s="34" t="s">
        <v>73</v>
      </c>
      <c r="Q522" s="33" t="n">
        <f>60300</f>
        <v>60300.0</v>
      </c>
      <c r="R522" s="34" t="s">
        <v>50</v>
      </c>
      <c r="S522" s="35" t="n">
        <f>60623.81</f>
        <v>60623.81</v>
      </c>
      <c r="T522" s="32" t="n">
        <f>6680</f>
        <v>6680.0</v>
      </c>
      <c r="U522" s="32" t="n">
        <f>20</f>
        <v>20.0</v>
      </c>
      <c r="V522" s="32" t="n">
        <f>401350200</f>
        <v>4.013502E8</v>
      </c>
      <c r="W522" s="32" t="n">
        <f>1189000</f>
        <v>1189000.0</v>
      </c>
      <c r="X522" s="36" t="n">
        <f>21</f>
        <v>21.0</v>
      </c>
    </row>
    <row r="523">
      <c r="A523" s="27" t="s">
        <v>42</v>
      </c>
      <c r="B523" s="27" t="s">
        <v>1615</v>
      </c>
      <c r="C523" s="27" t="s">
        <v>1616</v>
      </c>
      <c r="D523" s="27" t="s">
        <v>1617</v>
      </c>
      <c r="E523" s="28" t="s">
        <v>46</v>
      </c>
      <c r="F523" s="29" t="s">
        <v>46</v>
      </c>
      <c r="G523" s="30" t="s">
        <v>46</v>
      </c>
      <c r="H523" s="31"/>
      <c r="I523" s="31" t="s">
        <v>418</v>
      </c>
      <c r="J523" s="32" t="n">
        <v>1.0</v>
      </c>
      <c r="K523" s="33" t="n">
        <f>90800</f>
        <v>90800.0</v>
      </c>
      <c r="L523" s="34" t="s">
        <v>48</v>
      </c>
      <c r="M523" s="33" t="n">
        <f>94700</f>
        <v>94700.0</v>
      </c>
      <c r="N523" s="34" t="s">
        <v>143</v>
      </c>
      <c r="O523" s="33" t="n">
        <f>89900</f>
        <v>89900.0</v>
      </c>
      <c r="P523" s="34" t="s">
        <v>282</v>
      </c>
      <c r="Q523" s="33" t="n">
        <f>91000</f>
        <v>91000.0</v>
      </c>
      <c r="R523" s="34" t="s">
        <v>50</v>
      </c>
      <c r="S523" s="35" t="n">
        <f>92290.48</f>
        <v>92290.48</v>
      </c>
      <c r="T523" s="32" t="n">
        <f>19963</f>
        <v>19963.0</v>
      </c>
      <c r="U523" s="32" t="n">
        <f>999</f>
        <v>999.0</v>
      </c>
      <c r="V523" s="32" t="n">
        <f>1837009978</f>
        <v>1.837009978E9</v>
      </c>
      <c r="W523" s="32" t="n">
        <f>92308678</f>
        <v>9.2308678E7</v>
      </c>
      <c r="X523" s="36" t="n">
        <f>21</f>
        <v>21.0</v>
      </c>
    </row>
    <row r="524">
      <c r="A524" s="27" t="s">
        <v>42</v>
      </c>
      <c r="B524" s="27" t="s">
        <v>1618</v>
      </c>
      <c r="C524" s="27" t="s">
        <v>1619</v>
      </c>
      <c r="D524" s="27" t="s">
        <v>1620</v>
      </c>
      <c r="E524" s="28" t="s">
        <v>46</v>
      </c>
      <c r="F524" s="29" t="s">
        <v>46</v>
      </c>
      <c r="G524" s="30" t="s">
        <v>46</v>
      </c>
      <c r="H524" s="31"/>
      <c r="I524" s="31" t="s">
        <v>418</v>
      </c>
      <c r="J524" s="32" t="n">
        <v>1.0</v>
      </c>
      <c r="K524" s="33" t="n">
        <f>50200</f>
        <v>50200.0</v>
      </c>
      <c r="L524" s="34" t="s">
        <v>48</v>
      </c>
      <c r="M524" s="33" t="n">
        <f>51700</f>
        <v>51700.0</v>
      </c>
      <c r="N524" s="34" t="s">
        <v>60</v>
      </c>
      <c r="O524" s="33" t="n">
        <f>49900</f>
        <v>49900.0</v>
      </c>
      <c r="P524" s="34" t="s">
        <v>72</v>
      </c>
      <c r="Q524" s="33" t="n">
        <f>50000</f>
        <v>50000.0</v>
      </c>
      <c r="R524" s="34" t="s">
        <v>50</v>
      </c>
      <c r="S524" s="35" t="n">
        <f>50640.48</f>
        <v>50640.48</v>
      </c>
      <c r="T524" s="32" t="n">
        <f>6300</f>
        <v>6300.0</v>
      </c>
      <c r="U524" s="32" t="n">
        <f>322</f>
        <v>322.0</v>
      </c>
      <c r="V524" s="32" t="n">
        <f>318381900</f>
        <v>3.183819E8</v>
      </c>
      <c r="W524" s="32" t="n">
        <f>16067400</f>
        <v>1.60674E7</v>
      </c>
      <c r="X524" s="36" t="n">
        <f>21</f>
        <v>21.0</v>
      </c>
    </row>
    <row r="525">
      <c r="A525" s="27" t="s">
        <v>42</v>
      </c>
      <c r="B525" s="27" t="s">
        <v>1621</v>
      </c>
      <c r="C525" s="27" t="s">
        <v>1622</v>
      </c>
      <c r="D525" s="27" t="s">
        <v>1623</v>
      </c>
      <c r="E525" s="28" t="s">
        <v>46</v>
      </c>
      <c r="F525" s="29" t="s">
        <v>46</v>
      </c>
      <c r="G525" s="30" t="s">
        <v>46</v>
      </c>
      <c r="H525" s="31"/>
      <c r="I525" s="31" t="s">
        <v>47</v>
      </c>
      <c r="J525" s="32" t="n">
        <v>1.0</v>
      </c>
      <c r="K525" s="33" t="n">
        <f>58000</f>
        <v>58000.0</v>
      </c>
      <c r="L525" s="34" t="s">
        <v>48</v>
      </c>
      <c r="M525" s="33" t="n">
        <f>59600</f>
        <v>59600.0</v>
      </c>
      <c r="N525" s="34" t="s">
        <v>200</v>
      </c>
      <c r="O525" s="33" t="n">
        <f>58000</f>
        <v>58000.0</v>
      </c>
      <c r="P525" s="34" t="s">
        <v>48</v>
      </c>
      <c r="Q525" s="33" t="n">
        <f>58900</f>
        <v>58900.0</v>
      </c>
      <c r="R525" s="34" t="s">
        <v>50</v>
      </c>
      <c r="S525" s="35" t="n">
        <f>58985.71</f>
        <v>58985.71</v>
      </c>
      <c r="T525" s="32" t="n">
        <f>14299</f>
        <v>14299.0</v>
      </c>
      <c r="U525" s="32" t="n">
        <f>249</f>
        <v>249.0</v>
      </c>
      <c r="V525" s="32" t="n">
        <f>842651804</f>
        <v>8.42651804E8</v>
      </c>
      <c r="W525" s="32" t="n">
        <f>14684704</f>
        <v>1.4684704E7</v>
      </c>
      <c r="X525" s="36" t="n">
        <f>21</f>
        <v>21.0</v>
      </c>
    </row>
    <row r="526">
      <c r="A526" s="27" t="s">
        <v>42</v>
      </c>
      <c r="B526" s="27" t="s">
        <v>1624</v>
      </c>
      <c r="C526" s="27" t="s">
        <v>1625</v>
      </c>
      <c r="D526" s="27" t="s">
        <v>1626</v>
      </c>
      <c r="E526" s="28" t="s">
        <v>1627</v>
      </c>
      <c r="F526" s="29" t="s">
        <v>1628</v>
      </c>
      <c r="G526" s="30" t="s">
        <v>1629</v>
      </c>
      <c r="H526" s="31" t="s">
        <v>1630</v>
      </c>
      <c r="I526" s="31"/>
      <c r="J526" s="32" t="n">
        <v>1.0</v>
      </c>
      <c r="K526" s="33" t="n">
        <f>66600</f>
        <v>66600.0</v>
      </c>
      <c r="L526" s="34" t="s">
        <v>48</v>
      </c>
      <c r="M526" s="33" t="n">
        <f>66800</f>
        <v>66800.0</v>
      </c>
      <c r="N526" s="34" t="s">
        <v>88</v>
      </c>
      <c r="O526" s="33" t="n">
        <f>66600</f>
        <v>66600.0</v>
      </c>
      <c r="P526" s="34" t="s">
        <v>48</v>
      </c>
      <c r="Q526" s="33" t="n">
        <f>66700</f>
        <v>66700.0</v>
      </c>
      <c r="R526" s="34" t="s">
        <v>184</v>
      </c>
      <c r="S526" s="35" t="n">
        <f>66653.85</f>
        <v>66653.85</v>
      </c>
      <c r="T526" s="32" t="n">
        <f>15402</f>
        <v>15402.0</v>
      </c>
      <c r="U526" s="32" t="n">
        <f>174</f>
        <v>174.0</v>
      </c>
      <c r="V526" s="32" t="n">
        <f>1026883570</f>
        <v>1.02688357E9</v>
      </c>
      <c r="W526" s="32" t="n">
        <f>11597670</f>
        <v>1.159767E7</v>
      </c>
      <c r="X526" s="36" t="n">
        <f>13</f>
        <v>13.0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