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<sst xmlns="http://schemas.openxmlformats.org/spreadsheetml/2006/main" count="6409" uniqueCount="1660">
  <si>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</si>
  <si>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</si>
  <si>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</si>
  <si>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</si>
  <si>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</si>
  <si>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</si>
  <si>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</si>
  <si>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</si>
  <si>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</si>
  <si>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</si>
  <si>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</si>
  <si>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</si>
  <si>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</si>
  <si>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</si>
  <si>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</si>
  <si>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</si>
  <si>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</si>
  <si>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</si>
  <si>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</si>
  <si>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</si>
  <si>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</si>
  <si>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</si>
  <si>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</si>
  <si>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</si>
  <si>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</si>
  <si>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</si>
  <si>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</si>
  <si>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</si>
  <si>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</si>
  <si>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</si>
  <si>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</si>
  <si>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</si>
  <si>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</si>
  <si>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</si>
  <si>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</si>
  <si>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</si>
  <si>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</si>
  <si>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</si>
  <si>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</si>
  <si>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</si>
  <si>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</si>
  <si>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</si>
  <si>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2026/05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</si>
  <si>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</si>
  <si>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</si>
  <si>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</si>
  <si>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</si>
  <si>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</si>
  <si>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</si>
  <si>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29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</si>
  <si>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</si>
  <si>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</si>
  <si>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</si>
  <si>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</si>
  <si>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</si>
  <si>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</si>
  <si>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</si>
  <si>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</si>
  <si>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</si>
  <si>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14</t>
  </si>
  <si>
    <t>19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</si>
  <si>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</si>
  <si>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</si>
  <si>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</si>
  <si>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</si>
  <si>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</si>
  <si>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</si>
  <si>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7</t>
  </si>
  <si>
    <t>27</t>
  </si>
  <si>
    <t>20</t>
  </si>
  <si>
    <t>28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</si>
  <si>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</si>
  <si>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</si>
  <si>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</si>
  <si>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</si>
  <si>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</si>
  <si>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</si>
  <si>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</si>
  <si>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</si>
  <si>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</si>
  <si>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</si>
  <si>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</si>
  <si>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</si>
  <si>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18</t>
  </si>
  <si>
    <t>1326</t>
  </si>
  <si>
    <t>ＳＰＤＲゴールド・シェア　受益証券</t>
  </si>
  <si>
    <t>SPDR Gold Shares</t>
  </si>
  <si>
    <t>12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</si>
  <si>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</si>
  <si>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</si>
  <si>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</si>
  <si>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</si>
  <si>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</si>
  <si>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</si>
  <si>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</si>
  <si>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</si>
  <si>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</si>
  <si>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</si>
  <si>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</si>
  <si>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</si>
  <si>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22</t>
  </si>
  <si>
    <t>1343</t>
  </si>
  <si>
    <t>ＮＥＸＴ　ＦＵＮＤＳ　東証ＲＥＩＴ　指数連動型上場投信　受益証券</t>
  </si>
  <si>
    <t>NEXT FUNDS REIT INDEX ETF</t>
  </si>
  <si>
    <t>26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</si>
  <si>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</si>
  <si>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</si>
  <si>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</si>
  <si>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</si>
  <si>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</si>
  <si>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</si>
  <si>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</si>
  <si>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</si>
  <si>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</si>
  <si>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</si>
  <si>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</si>
  <si>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</si>
  <si>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15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</si>
  <si>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</si>
  <si>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</si>
  <si>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</si>
  <si>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</si>
  <si>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</si>
  <si>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</si>
  <si>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</si>
  <si>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</si>
  <si>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</si>
  <si>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</si>
  <si>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</si>
  <si>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</si>
  <si>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</si>
  <si>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</si>
  <si>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</si>
  <si>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</si>
  <si>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</si>
  <si>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</si>
  <si>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</si>
  <si>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</si>
  <si>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</si>
  <si>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</si>
  <si>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</si>
  <si>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</si>
  <si>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</si>
  <si>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</si>
  <si>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</si>
  <si>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</si>
  <si>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</si>
  <si>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</si>
  <si>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</si>
  <si>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</si>
  <si>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</si>
  <si>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</si>
  <si>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</si>
  <si>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</si>
  <si>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</si>
  <si>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</si>
  <si>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</si>
  <si>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</si>
  <si>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</si>
  <si>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</si>
  <si>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</si>
  <si>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</si>
  <si>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</si>
  <si>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</si>
  <si>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</si>
  <si>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</si>
  <si>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</si>
  <si>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</si>
  <si>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</si>
  <si>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</si>
  <si>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</si>
  <si>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</si>
  <si>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</si>
  <si>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</si>
  <si>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</si>
  <si>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</si>
  <si>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</si>
  <si>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</si>
  <si>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</si>
  <si>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</si>
  <si>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</si>
  <si>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</si>
  <si>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</si>
  <si>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</si>
  <si>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</si>
  <si>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</si>
  <si>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</si>
  <si>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</si>
  <si>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</si>
  <si>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</si>
  <si>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</si>
  <si>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</si>
  <si>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</si>
  <si>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</si>
  <si>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</si>
  <si>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</si>
  <si>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21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</si>
  <si>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</si>
  <si>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</si>
  <si>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</si>
  <si>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</si>
  <si>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</si>
  <si>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</si>
  <si>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11</t>
  </si>
  <si>
    <t>25</t>
  </si>
  <si>
    <t>13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</si>
  <si>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</si>
  <si>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</si>
  <si>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</si>
  <si>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8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</si>
  <si>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</si>
  <si>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</si>
  <si>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</si>
  <si>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</si>
  <si>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</si>
  <si>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</si>
  <si>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</si>
  <si>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</si>
  <si>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</si>
  <si>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</si>
  <si>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</si>
  <si>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</si>
  <si>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</si>
  <si>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</si>
  <si>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</si>
  <si>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</si>
  <si>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</si>
  <si>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</si>
  <si>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</si>
  <si>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</si>
  <si>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</si>
  <si>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</si>
  <si>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</si>
  <si>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</si>
  <si>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</si>
  <si>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</si>
  <si>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</si>
  <si>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</si>
  <si>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</si>
  <si>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</si>
  <si>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</si>
  <si>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</si>
  <si>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</si>
  <si>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</si>
  <si>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</si>
  <si>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</si>
  <si>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</si>
  <si>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</si>
  <si>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</si>
  <si>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</si>
  <si>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</si>
  <si>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</si>
  <si>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</si>
  <si>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</si>
  <si>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</si>
  <si>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</si>
  <si>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</si>
  <si>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</si>
  <si>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</si>
  <si>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</si>
  <si>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</si>
  <si>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</si>
  <si>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</si>
  <si>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</si>
  <si>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</si>
  <si>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</si>
  <si>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</si>
  <si>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</si>
  <si>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</si>
  <si>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</si>
  <si>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</si>
  <si>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</si>
  <si>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</si>
  <si>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</si>
  <si>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</si>
  <si>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</si>
  <si>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 xml:space="preserve">新株落ち  </t>
  </si>
  <si>
    <t xml:space="preserve">ex-subscription right  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</si>
  <si>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</si>
  <si>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</si>
  <si>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</si>
  <si>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</si>
  <si>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</si>
  <si>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</si>
  <si>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</si>
  <si>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</si>
  <si>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</si>
  <si>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</si>
  <si>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</si>
  <si>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</si>
  <si>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</si>
  <si>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</si>
  <si>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</si>
  <si>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</si>
  <si>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</si>
  <si>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</si>
  <si>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</si>
  <si>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</si>
  <si>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State Street SPDR S&amp;P 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</si>
  <si>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</si>
  <si>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</si>
  <si>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</si>
  <si>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</si>
  <si>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</si>
  <si>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</si>
  <si>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</si>
  <si>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</si>
  <si>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</si>
  <si>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</si>
  <si>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</si>
  <si>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</si>
  <si>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</si>
  <si>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</si>
  <si>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</si>
  <si>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</si>
  <si>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</si>
  <si>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</si>
  <si>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</si>
  <si>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</si>
  <si>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</si>
  <si>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</si>
  <si>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</si>
  <si>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</si>
  <si>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</si>
  <si>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</si>
  <si>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</si>
  <si>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</si>
  <si>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</si>
  <si>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</si>
  <si>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</si>
  <si>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</si>
  <si>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</si>
  <si>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</si>
  <si>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</si>
  <si>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</si>
  <si>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</si>
  <si>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</si>
  <si>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</si>
  <si>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</si>
  <si>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</si>
  <si>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</si>
  <si>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</si>
  <si>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</si>
  <si>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</si>
  <si>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</si>
  <si>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</si>
  <si>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</si>
  <si>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</si>
  <si>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</si>
  <si>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</si>
  <si>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</si>
  <si>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</si>
  <si>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</si>
  <si>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</si>
  <si>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</si>
  <si>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</si>
  <si>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</si>
  <si>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</si>
  <si>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</si>
  <si>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</si>
  <si>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</si>
  <si>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</si>
  <si>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</si>
  <si>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</si>
  <si>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</si>
  <si>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</si>
  <si>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</si>
  <si>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</si>
  <si>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</si>
  <si>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</si>
  <si>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</si>
  <si>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</si>
  <si>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</si>
  <si>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</si>
  <si>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</si>
  <si>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</si>
  <si>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</si>
  <si>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</si>
  <si>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</si>
  <si>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</si>
  <si>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</si>
  <si>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</si>
  <si>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</si>
  <si>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</si>
  <si>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</si>
  <si>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</si>
  <si>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</si>
  <si>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</si>
  <si>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</si>
  <si>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</si>
  <si>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</si>
  <si>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</si>
  <si>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</si>
  <si>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</si>
  <si>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</si>
  <si>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</si>
  <si>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</si>
  <si>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</si>
  <si>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</si>
  <si>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</si>
  <si>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</si>
  <si>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</si>
  <si>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</si>
  <si>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</si>
  <si>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</si>
  <si>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</si>
  <si>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</si>
  <si>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</si>
  <si>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</si>
  <si>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</si>
  <si>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</si>
  <si>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</si>
  <si>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</si>
  <si>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</si>
  <si>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</si>
  <si>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</si>
  <si>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</si>
  <si>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</si>
  <si>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</si>
  <si>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</si>
  <si>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</si>
  <si>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</si>
  <si>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</si>
  <si>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</si>
  <si>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</si>
  <si>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</si>
  <si>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</si>
  <si>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</si>
  <si>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</si>
  <si>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</si>
  <si>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</si>
  <si>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</si>
  <si>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</si>
  <si>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</si>
  <si>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</si>
  <si>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</si>
  <si>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</si>
  <si>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</si>
  <si>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</si>
  <si>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</si>
  <si>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</si>
  <si>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</si>
  <si>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ＪＰＸ　Ｂｌｏｓｓｏｍ　Ｊａｐａｎ　Ｉｎｄｅｘ　受益証券</t>
  </si>
  <si>
    <t>iFreeETF FTSE JPX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</si>
  <si>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</si>
  <si>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</si>
  <si>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</si>
  <si>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</si>
  <si>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</si>
  <si>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</si>
  <si>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</si>
  <si>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</si>
  <si>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</si>
  <si>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</si>
  <si>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</si>
  <si>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</si>
  <si>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</si>
  <si>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</si>
  <si>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</si>
  <si>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</si>
  <si>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</si>
  <si>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</si>
  <si>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</si>
  <si>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</si>
  <si>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</si>
  <si>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</si>
  <si>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</si>
  <si>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</si>
  <si>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</si>
  <si>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</si>
  <si>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</si>
  <si>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</si>
  <si>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</si>
  <si>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</si>
  <si>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</si>
  <si>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</si>
  <si>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</si>
  <si>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</si>
  <si>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</si>
  <si>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</si>
  <si>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</si>
  <si>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</si>
  <si>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</si>
  <si>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</si>
  <si>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</si>
  <si>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</si>
  <si>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</si>
  <si>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</si>
  <si>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</si>
  <si>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</si>
  <si>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</si>
  <si>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</si>
  <si>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</si>
  <si>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</si>
  <si>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</si>
  <si>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</si>
  <si>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</si>
  <si>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</si>
  <si>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</si>
  <si>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</si>
  <si>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</si>
  <si>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</si>
  <si>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</si>
  <si>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</si>
  <si>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</si>
  <si>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</si>
  <si>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</si>
  <si>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</si>
  <si>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</si>
  <si>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</si>
  <si>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</si>
  <si>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</si>
  <si>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</si>
  <si>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</si>
  <si>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</si>
  <si>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</si>
  <si>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</si>
  <si>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</si>
  <si>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</si>
  <si>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</si>
  <si>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</si>
  <si>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</si>
  <si>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</si>
  <si>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</si>
  <si>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</si>
  <si>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</si>
  <si>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</si>
  <si>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</si>
  <si>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</si>
  <si>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</si>
  <si>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</si>
  <si>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</si>
  <si>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</si>
  <si>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</si>
  <si>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</si>
  <si>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</si>
  <si>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</si>
  <si>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</si>
  <si>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</si>
  <si>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</si>
  <si>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</si>
  <si>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</si>
  <si>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</si>
  <si>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</si>
  <si>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</si>
  <si>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</si>
  <si>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</si>
  <si>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</si>
  <si>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</si>
  <si>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</si>
  <si>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</si>
  <si>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</si>
  <si>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</si>
  <si>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</si>
  <si>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</si>
  <si>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</si>
  <si>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</si>
  <si>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</si>
  <si>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</si>
  <si>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</si>
  <si>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</si>
  <si>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</si>
  <si>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</si>
  <si>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</si>
  <si>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</si>
  <si>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</si>
  <si>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</si>
  <si>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</si>
  <si>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</si>
  <si>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</si>
  <si>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</si>
  <si>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</si>
  <si>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</si>
  <si>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</si>
  <si>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</si>
  <si>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</si>
  <si>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</si>
  <si>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</si>
  <si>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</si>
  <si>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</si>
  <si>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</si>
  <si>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</si>
  <si>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</si>
  <si>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</si>
  <si>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</si>
  <si>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</si>
  <si>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</si>
  <si>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</si>
  <si>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</si>
  <si>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</si>
  <si>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</si>
  <si>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</si>
  <si>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</si>
  <si>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</si>
  <si>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</si>
  <si>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</si>
  <si>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</si>
  <si>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</si>
  <si>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</si>
  <si>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</si>
  <si>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</si>
  <si>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</si>
  <si>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</si>
  <si>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</si>
  <si>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</si>
  <si>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</si>
  <si>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</si>
  <si>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</si>
  <si>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</si>
  <si>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</si>
  <si>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</si>
  <si>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</si>
  <si>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</si>
  <si>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</si>
  <si>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</si>
  <si>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</si>
  <si>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</si>
  <si>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</si>
  <si>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</si>
  <si>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</si>
  <si>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</si>
  <si>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</si>
  <si>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</si>
  <si>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</si>
  <si>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</si>
  <si>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</si>
  <si>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</si>
  <si>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</si>
  <si>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</si>
  <si>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</si>
  <si>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</si>
  <si>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</si>
  <si>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</si>
  <si>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</si>
  <si>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</si>
  <si>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</si>
  <si>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</si>
  <si>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</si>
  <si>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</si>
  <si>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</si>
  <si>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</si>
  <si>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</si>
  <si>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</si>
  <si>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</si>
  <si>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</si>
  <si>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</si>
  <si>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</si>
  <si>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</si>
  <si>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</si>
  <si>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</si>
  <si>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</si>
  <si>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</si>
  <si>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</si>
  <si>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</si>
  <si>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</si>
  <si>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</si>
  <si>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</si>
  <si>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</si>
  <si>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</si>
  <si>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</si>
  <si>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</si>
  <si>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</si>
  <si>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</si>
  <si>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</si>
  <si>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</si>
  <si>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</si>
  <si>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</si>
  <si>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</si>
  <si>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</si>
  <si>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</si>
  <si>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</si>
  <si>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</si>
  <si>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</si>
  <si>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</si>
  <si>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</si>
  <si>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</si>
  <si>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</si>
  <si>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</si>
  <si>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</si>
  <si>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</si>
  <si>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</si>
  <si>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</si>
  <si>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</si>
  <si>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</si>
  <si>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</si>
  <si>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</si>
  <si>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</si>
  <si>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</si>
  <si>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</si>
  <si>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</si>
  <si>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</si>
  <si>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</si>
  <si>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</si>
  <si>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</si>
  <si>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</si>
  <si>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</si>
  <si>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</si>
  <si>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</si>
  <si>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</si>
  <si>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</si>
  <si>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</si>
  <si>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</si>
  <si>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</si>
  <si>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</si>
  <si>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</si>
  <si>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</si>
  <si>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</si>
  <si>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</si>
  <si>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</si>
  <si>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</si>
  <si>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</si>
  <si>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</si>
  <si>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</si>
  <si>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</si>
  <si>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</si>
  <si>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</si>
  <si>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</si>
  <si>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</si>
  <si>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</si>
  <si>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</si>
  <si>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</si>
  <si>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</si>
  <si>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</si>
  <si>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</si>
  <si>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</si>
  <si>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</si>
  <si>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</si>
  <si>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</si>
  <si>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</si>
  <si>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</si>
  <si>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</si>
  <si>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</si>
  <si>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</si>
  <si>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</si>
  <si>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</si>
  <si>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</si>
  <si>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</si>
  <si>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</si>
  <si>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</si>
  <si>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</si>
  <si>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</si>
  <si>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</si>
  <si>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</si>
  <si>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</si>
  <si>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</si>
  <si>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</si>
  <si>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</si>
  <si>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</si>
  <si>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</si>
  <si>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</si>
  <si>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</si>
  <si>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</si>
  <si>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</si>
  <si>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</si>
  <si>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</si>
  <si>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</si>
  <si>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</si>
  <si>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</si>
  <si>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</si>
  <si>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</si>
  <si>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</si>
  <si>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</si>
  <si>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</si>
  <si>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</si>
  <si>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</si>
  <si>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</si>
  <si>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</si>
  <si>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</si>
  <si>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</si>
  <si>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</si>
  <si>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</si>
  <si>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</si>
  <si>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</si>
  <si>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</si>
  <si>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</si>
  <si>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</si>
  <si>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</si>
  <si>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</si>
  <si>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</si>
  <si>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</si>
  <si>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</si>
  <si>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</si>
  <si>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</si>
  <si>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</si>
  <si>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</si>
  <si>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</si>
  <si>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整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</si>
  <si>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</si>
  <si>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</si>
  <si>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</si>
  <si>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</si>
  <si>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</si>
  <si>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</si>
  <si>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</si>
  <si>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</si>
  <si>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</si>
  <si>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</si>
  <si>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</si>
  <si>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</si>
  <si>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</si>
  <si>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</si>
  <si>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</si>
  <si>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</si>
  <si>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</si>
  <si>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</si>
  <si>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</si>
  <si>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</si>
  <si>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</si>
  <si>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</si>
  <si>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</si>
  <si>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</si>
  <si>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</si>
  <si>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</si>
  <si>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</si>
  <si>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</si>
  <si>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</si>
  <si>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</si>
  <si>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</si>
  <si>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</si>
  <si>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</si>
  <si>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</si>
  <si>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</si>
  <si>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</si>
  <si>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</si>
  <si>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</si>
  <si>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</si>
  <si>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</si>
  <si>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</si>
  <si>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</si>
  <si>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</si>
  <si>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</si>
  <si>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</si>
  <si>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</si>
  <si>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</si>
  <si>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</si>
  <si>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</si>
  <si>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</si>
  <si>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</si>
  <si>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</si>
  <si>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</si>
  <si>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</si>
  <si>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</si>
  <si>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</si>
  <si>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</si>
  <si>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</si>
  <si>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</si>
  <si>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</si>
  <si>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</si>
  <si>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</si>
  <si>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</si>
  <si>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</si>
  <si>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</si>
  <si>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</si>
  <si>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</si>
  <si>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</si>
  <si>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</si>
  <si>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</si>
  <si>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</si>
  <si>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</si>
  <si>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</si>
  <si>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</si>
  <si>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</si>
  <si>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</si>
  <si>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</si>
  <si>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</si>
  <si>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</si>
  <si>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</si>
  <si>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</si>
  <si>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</si>
  <si>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</si>
  <si>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</si>
  <si>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</si>
  <si>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</si>
  <si>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</si>
  <si>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</si>
  <si>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</si>
  <si>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</si>
  <si>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</si>
  <si>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</si>
  <si>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</si>
  <si>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</si>
  <si>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</si>
  <si>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</si>
  <si>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</si>
  <si>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</si>
  <si>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</si>
  <si>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</si>
  <si>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</si>
  <si>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</si>
  <si>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</si>
  <si>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</si>
  <si>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</si>
  <si>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</si>
  <si>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</si>
  <si>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</si>
  <si>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</si>
  <si>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</si>
  <si>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</si>
  <si>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</si>
  <si>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</si>
  <si>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</si>
  <si>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</si>
  <si>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</si>
  <si>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</si>
  <si>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</si>
  <si>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</si>
  <si>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</si>
  <si>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</si>
  <si>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</si>
  <si>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</si>
  <si>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</si>
  <si>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</si>
  <si>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</si>
  <si>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</si>
  <si>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</si>
  <si>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</si>
  <si>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</si>
  <si>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</si>
  <si>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</si>
  <si>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</si>
  <si>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</si>
  <si>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</si>
  <si>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</si>
  <si>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</si>
  <si>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</si>
  <si>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</si>
  <si>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</si>
  <si>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</si>
  <si>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</si>
  <si>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</si>
  <si>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</si>
  <si>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</si>
  <si>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</si>
  <si>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</si>
  <si>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</si>
  <si>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</si>
  <si>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</si>
  <si>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</si>
  <si>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</si>
  <si>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</si>
  <si>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</si>
  <si>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</si>
  <si>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</si>
  <si>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</si>
  <si>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</si>
  <si>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</si>
  <si>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</si>
  <si>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</si>
  <si>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</si>
  <si>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</si>
  <si>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</si>
  <si>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</si>
  <si>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</si>
  <si>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</si>
  <si>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</si>
  <si>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</si>
  <si>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</si>
  <si>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</si>
  <si>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</si>
  <si>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</si>
  <si>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</si>
  <si>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</si>
  <si>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</si>
  <si>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</si>
  <si>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</si>
  <si>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</si>
  <si>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</si>
  <si>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</si>
  <si>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</si>
  <si>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</si>
  <si>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</si>
  <si>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</si>
  <si>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</si>
  <si>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</si>
  <si>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</si>
  <si>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</si>
  <si>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</si>
  <si>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</si>
  <si>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</si>
  <si>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</si>
  <si>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</si>
  <si>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</si>
  <si>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</si>
  <si>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</si>
  <si>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</si>
  <si>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</si>
  <si>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</si>
  <si>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</si>
  <si>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</si>
  <si>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</si>
  <si>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</si>
  <si>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</si>
  <si>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</si>
  <si>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</si>
  <si>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</si>
  <si>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</si>
  <si>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</si>
  <si>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</si>
  <si>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</si>
  <si>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</si>
  <si>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</si>
  <si>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</si>
  <si>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</si>
  <si>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</si>
  <si>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</si>
  <si>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</si>
  <si>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</si>
  <si>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</si>
  <si>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</si>
  <si>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</si>
  <si>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</si>
  <si>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</si>
  <si>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</si>
  <si>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</si>
  <si>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</si>
  <si>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</si>
  <si>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</si>
  <si>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</si>
  <si>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</si>
  <si>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</si>
  <si>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</si>
  <si>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</si>
  <si>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</si>
  <si>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</si>
  <si>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</si>
  <si>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</si>
  <si>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</si>
  <si>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</si>
  <si>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</si>
  <si>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</si>
  <si>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</si>
  <si>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</si>
  <si>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</si>
  <si>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</si>
  <si>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</si>
  <si>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</si>
  <si>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</si>
  <si>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</si>
  <si>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</si>
  <si>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</si>
  <si>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</si>
  <si>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</si>
  <si>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</si>
  <si>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</si>
  <si>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</si>
  <si>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</si>
  <si>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</si>
  <si>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</si>
  <si>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</si>
  <si>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</si>
  <si>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</si>
  <si>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</si>
  <si>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</si>
  <si>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</si>
  <si>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</si>
  <si>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</si>
  <si>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</si>
  <si>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</si>
  <si>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</si>
  <si>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</si>
  <si>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</si>
  <si>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</si>
  <si>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</si>
  <si>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</si>
  <si>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</si>
  <si>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</si>
  <si>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</si>
  <si>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</si>
  <si>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</si>
  <si>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</si>
  <si>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</si>
  <si>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</si>
  <si>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</si>
  <si>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</si>
  <si>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</si>
  <si>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</si>
  <si>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</si>
  <si>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</si>
  <si>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</si>
  <si>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</si>
  <si>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</si>
  <si>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</si>
  <si>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</si>
  <si>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</si>
  <si>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</si>
  <si>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</si>
  <si>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</si>
  <si>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</si>
  <si>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</si>
  <si>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</si>
  <si>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</si>
  <si>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</si>
  <si>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</si>
  <si>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</si>
  <si>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</si>
  <si>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</si>
  <si>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</si>
  <si>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</si>
  <si>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</si>
  <si>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</si>
  <si>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</si>
  <si>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</si>
  <si>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</si>
  <si>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</si>
  <si>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</si>
  <si>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</si>
  <si>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</si>
  <si>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</si>
  <si>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</si>
  <si>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</si>
  <si>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</si>
  <si>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</si>
  <si>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</si>
  <si>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</si>
  <si>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</si>
  <si>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</si>
  <si>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</si>
  <si>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</si>
  <si>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</si>
  <si>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</si>
  <si>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</si>
  <si>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</si>
  <si>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</si>
  <si>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</si>
  <si>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</si>
  <si>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</si>
  <si>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</si>
  <si>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</si>
  <si>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</si>
  <si>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</si>
  <si>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</si>
  <si>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</si>
  <si>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</si>
  <si>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</si>
  <si>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</si>
  <si>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</si>
  <si>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</si>
  <si>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</si>
  <si>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</si>
  <si>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</si>
  <si>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</si>
  <si>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</si>
  <si>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</si>
  <si>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</si>
  <si>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</si>
  <si>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</si>
  <si>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</si>
  <si>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</si>
  <si>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</si>
  <si>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</si>
  <si>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</si>
  <si>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</si>
  <si>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</si>
  <si>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</si>
  <si>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</si>
  <si>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</si>
  <si>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</si>
  <si>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</si>
  <si>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</si>
  <si>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</si>
  <si>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</si>
  <si>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</si>
  <si>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</si>
  <si>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</si>
  <si>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</si>
  <si>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</si>
  <si>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</si>
  <si>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</si>
  <si>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</si>
  <si>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</si>
  <si>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</si>
  <si>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</si>
  <si>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</si>
  <si>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</si>
  <si>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</si>
  <si>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</si>
  <si>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</si>
  <si>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</si>
  <si>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</si>
  <si>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</si>
  <si>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</si>
  <si>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</si>
  <si>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</si>
  <si>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</si>
  <si>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</si>
  <si>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</si>
  <si>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</si>
  <si>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</si>
  <si>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</si>
  <si>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</si>
  <si>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</si>
  <si>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</si>
  <si>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</si>
  <si>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</si>
  <si>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</si>
  <si>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</si>
  <si>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</si>
  <si>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</si>
  <si>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</si>
  <si>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</si>
  <si>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</si>
  <si>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</si>
  <si>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</si>
  <si>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</si>
  <si>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</si>
  <si>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</si>
  <si>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</si>
  <si>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</si>
  <si>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</si>
  <si>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</si>
  <si>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</si>
  <si>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</si>
  <si>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</si>
  <si>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</si>
  <si>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</si>
  <si>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</si>
  <si>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</si>
  <si>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</si>
  <si>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</si>
  <si>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</si>
  <si>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</si>
  <si>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</si>
  <si>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</si>
  <si>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</si>
  <si>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</si>
  <si>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</si>
  <si>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</si>
  <si>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</si>
  <si>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</si>
  <si>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</si>
  <si>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</si>
  <si>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</si>
  <si>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</si>
  <si>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</si>
  <si>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</si>
  <si>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</si>
  <si>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</si>
  <si>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</si>
  <si>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</si>
  <si>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</si>
  <si>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</si>
  <si>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</si>
  <si>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</si>
  <si>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</si>
  <si>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</si>
  <si>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</si>
  <si>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</si>
  <si>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</si>
  <si>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</si>
  <si>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</si>
  <si>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</si>
  <si>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</si>
  <si>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</si>
  <si>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</si>
  <si>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</si>
  <si>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</si>
  <si>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</si>
  <si>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</si>
  <si>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</si>
  <si>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</si>
  <si>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</si>
  <si>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</si>
  <si>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</si>
  <si>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</si>
  <si>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</si>
  <si>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</si>
  <si>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</si>
  <si>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</si>
  <si>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</si>
  <si>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</si>
  <si>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</si>
  <si>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</si>
  <si>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</si>
  <si>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</si>
  <si>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</si>
  <si>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</si>
  <si>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</si>
  <si>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</si>
  <si>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</si>
  <si>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</si>
  <si>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</si>
  <si>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</si>
  <si>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</si>
  <si>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</si>
  <si>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</si>
  <si>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</si>
  <si>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</si>
  <si>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</si>
  <si>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</si>
  <si>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セントラル・リート投資法人　投資証券</t>
  </si>
  <si>
    <t>CENTRAL REIT Investment Corporation</t>
  </si>
  <si>
    <t>348A</t>
  </si>
  <si>
    <t>ＭＡＸＩＳ読売３３３日本株上場投信　受益証券</t>
  </si>
  <si>
    <t>MAXIS Yomiuri333 Japan Stock ETF</t>
  </si>
  <si>
    <t>3492</t>
  </si>
  <si>
    <t>ＭＩＲＡＲＴＨ不動産投資法人　投資証券</t>
  </si>
  <si>
    <t>MIRARTH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</si>
  <si>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</si>
  <si>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</si>
  <si>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</si>
  <si>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</si>
  <si>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</si>
  <si>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</si>
  <si>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</si>
  <si>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</si>
  <si>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</si>
  <si>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</si>
  <si>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</si>
  <si>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</si>
  <si>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</si>
  <si>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</si>
  <si>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</si>
  <si>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</si>
  <si>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</si>
  <si>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</si>
  <si>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</si>
  <si>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</si>
  <si>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</si>
  <si>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</si>
  <si>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</si>
  <si>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</si>
  <si>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</si>
  <si>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</si>
  <si>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</si>
  <si>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</si>
  <si>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</si>
  <si>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</si>
  <si>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</si>
  <si>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</si>
  <si>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</si>
  <si>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</si>
  <si>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</si>
  <si>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</si>
  <si>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</si>
  <si>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</si>
  <si>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</si>
  <si>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</si>
  <si>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</si>
  <si>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</si>
  <si>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</si>
  <si>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</si>
  <si>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</si>
  <si>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</si>
  <si>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</si>
  <si>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</si>
  <si>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</si>
  <si>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</si>
  <si>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</si>
  <si>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</si>
  <si>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</si>
  <si>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</si>
  <si>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</si>
  <si>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</si>
  <si>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</si>
  <si>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</si>
  <si>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</si>
  <si>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</si>
  <si>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</si>
  <si>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</si>
  <si>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</si>
  <si>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</si>
  <si>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</si>
  <si>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</si>
  <si>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</si>
  <si>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</si>
  <si>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</si>
  <si>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</si>
  <si>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</si>
  <si>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</si>
  <si>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</si>
  <si>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</si>
  <si>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</si>
  <si>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>435A</t>
  </si>
  <si>
    <t>ｉＦｒｅｅＥＴＦ　日本株配当ローテーション戦略　受益証券</t>
  </si>
  <si>
    <t>iFreeETF Japan Equity Dividend Rotation Strategy</t>
  </si>
  <si>
    <t>443A</t>
  </si>
  <si>
    <t>ｉＦｒｅｅＥＴＦ　東証ＲＥＩＴ指数（２・５・８・１１月決算型）　受益証券</t>
  </si>
  <si>
    <t>iFreeETF Tokyo Stock Exchange REIT Index (Feb/May/Aug/Nov Dividend Type)</t>
  </si>
  <si>
    <t>447A</t>
  </si>
  <si>
    <t>ステート・ストリート・スパイダー　ゴールド　ＥＴＦ（為替ヘッジなし）　受益証券</t>
  </si>
  <si>
    <t>State Street SPDR Gold ETF (JPY Unhedged)</t>
  </si>
  <si>
    <t>448A</t>
  </si>
  <si>
    <t>ステート・ストリート・スパイダー　ゴールド　ＥＴＦ（為替ヘッジあり）　受益証券</t>
  </si>
  <si>
    <t>State Street SPDR Gold ETF (JPY Hedged)</t>
  </si>
  <si>
    <t>449A</t>
  </si>
  <si>
    <t>ステート・ストリート・スパイダー　Ｓ＆Ｐ５００　ＥＴＦ（為替ヘッジなし）　受益証券</t>
  </si>
  <si>
    <t>State Street SPDR S&amp;P 500 ETF (JPY Unhedged)</t>
  </si>
  <si>
    <t>450A</t>
  </si>
  <si>
    <t>ステート・ストリート・スパイダー　Ｓ＆Ｐ５００　ＥＴＦ（為替ヘッジあり）　受益証券</t>
  </si>
  <si>
    <t>State Street SPDR S&amp;P 500 ETF (JPY Hedged)</t>
  </si>
  <si>
    <t>451A</t>
  </si>
  <si>
    <t>ステート・ストリート・スパイダー　Ｓ＆Ｐ５００高配当株　ＥＴＦ　受益証券</t>
  </si>
  <si>
    <t>State Street SPDR S&amp;P 500 High Dividend ETF (JPY Unhedged)</t>
  </si>
  <si>
    <t>452A</t>
  </si>
  <si>
    <t>ｉシェアーズ　Ｓ＆Ｐ　５００　プレミアムインカム　ＥＴＦ　受益証券</t>
  </si>
  <si>
    <t>iShares S&amp;P 500 Premium Income ETF</t>
  </si>
  <si>
    <t>453A</t>
  </si>
  <si>
    <t>ｉシェアーズ　米国債２０年超　プレミアムインカム　ＥＴＦ　受益証券</t>
  </si>
  <si>
    <t>iShares 20+ Year US Treasury Bond Premium Income ETF</t>
  </si>
  <si>
    <t>459A</t>
  </si>
  <si>
    <t>野村高利回りＪリート指数ＥＴＦ　受益証券</t>
  </si>
  <si>
    <t>Nomura High-yield J-REIT Index ETF</t>
  </si>
  <si>
    <t>461A</t>
  </si>
  <si>
    <t>ＭＡＸＩＳ日本株高配当ＳＭＡＲＴ５０上場投信　受益証券</t>
  </si>
  <si>
    <t>MAXIS Japan Equity High Dividend SMART 50 ETF</t>
  </si>
  <si>
    <t>465A</t>
  </si>
  <si>
    <t>グローバルＸ　日経平均株主還元４０－日本株式　ＥＴＦ　受益証券</t>
  </si>
  <si>
    <t>Global X Japan Nikkei 225 Shareholder Return 40 ETF</t>
  </si>
  <si>
    <t>466A</t>
  </si>
  <si>
    <t>グローバルＸ　防衛テック　ＥＴＦ　受益証券</t>
  </si>
  <si>
    <t>Global X Defense Tech ETF</t>
  </si>
  <si>
    <t>467A</t>
  </si>
  <si>
    <t>グローバルＸ　米ドル建て投資適格社債　ＥＴＦ（為替ヘッジあり）　受益証券</t>
  </si>
  <si>
    <t>Global X USD Investment Grade Corporate Bond ETF (JPY Hedged)</t>
  </si>
  <si>
    <t>468A</t>
  </si>
  <si>
    <t>グローバルＸ　米ドル建て投資適格社債　ＥＴＦ　受益証券</t>
  </si>
  <si>
    <t>Global X USD Investment Grade Corporate Bond ETF</t>
  </si>
  <si>
    <t>473A</t>
  </si>
  <si>
    <t>ニッセイＥＴＦ　日経２２５インデックス　受益証券</t>
  </si>
  <si>
    <t>Nissay ETF Nikkei 225 Index</t>
  </si>
  <si>
    <t>486A</t>
  </si>
  <si>
    <t>ＮＥＸＴ　ＦＵＮＤＳ　ユーロ・ストックス５０指数（為替ヘッジなし）連動型上場投信　受益証券</t>
  </si>
  <si>
    <t>NEXT FUNDS EURO STOXX 50 (Unhedged) Exchange Traded Fund</t>
  </si>
  <si>
    <t>487A</t>
  </si>
  <si>
    <t>ＮＥＸＴ　ＦＵＮＤＳ　ドイツ株式・ＤＡＸ（為替ヘッジなし）連動型上場投信　受益証券</t>
  </si>
  <si>
    <t>NEXT FUNDS German Equity DAX (Unhedged) Exchange Traded Fund</t>
  </si>
  <si>
    <t>488A</t>
  </si>
  <si>
    <t>ｉシェアーズ　円高フォーカス　ＥＴＦ　受益証券</t>
  </si>
  <si>
    <t>iShares Yen Appreciation Focus ETF</t>
  </si>
  <si>
    <t>489A</t>
  </si>
  <si>
    <t>東証ＲＥＩＴ物流フォーカスＥＴＦ　受益証券</t>
  </si>
  <si>
    <t>TSE REIT Logistics Focus ETF</t>
  </si>
  <si>
    <t>491A</t>
  </si>
  <si>
    <t>ｉシェアーズ　Ｓ＆Ｐ　５００　除く金融　ＥＴＦ（為替ヘッジあり）　受益証券</t>
  </si>
  <si>
    <t>iShares S&amp;P 500 Ex-Financials JPY Hedged ETF</t>
  </si>
  <si>
    <t>492A</t>
  </si>
  <si>
    <t>Ｏｎｅ　ＥＴＦ　日本国債　高クーポン（平均残存１０年未満）　受益証券</t>
  </si>
  <si>
    <t>One ETF Japanese Government Bond High Coupon (Average Duration Below Ten Years)</t>
  </si>
  <si>
    <t>493A</t>
  </si>
  <si>
    <t>Ｏｎｅ　ＥＴＦ　日本国債　１－３年　受益証券</t>
  </si>
  <si>
    <t>One ETF Japanese Government Bond 1-3 years</t>
  </si>
  <si>
    <t>494A</t>
  </si>
  <si>
    <t>Ｏｎｅ　ＥＴＦ　日本国債　３－７年　受益証券</t>
  </si>
  <si>
    <t>One ETF Japanese Government Bond 3-7 years</t>
  </si>
  <si>
    <t>495A</t>
  </si>
  <si>
    <t>Ｏｎｅ　ＥＴＦ　日本国債　７－１０年　受益証券</t>
  </si>
  <si>
    <t>One ETF Japanese Government Bond 7-10 years</t>
  </si>
  <si>
    <t>496A</t>
  </si>
  <si>
    <t>Ｏｎｅ　ＥＴＦ　日本国債　１７－２０年　受益証券</t>
  </si>
  <si>
    <t>One ETF Japanese Government Bond 17-20 years</t>
  </si>
  <si>
    <t>497A</t>
  </si>
  <si>
    <t>インバウンド消費関連　日本株（ネットリターン）ＥＴＮ　受益証券</t>
  </si>
  <si>
    <t>Inbound Consumer Related Japan Equity Net Return ETN</t>
  </si>
  <si>
    <t>498A</t>
  </si>
  <si>
    <t>防衛・航空宇宙　欧州株（ネットリターン）ＥＴＮ　受益証券</t>
  </si>
  <si>
    <t>Defense Aerospace Europe Equity Net Return ETN</t>
  </si>
  <si>
    <t>499A</t>
  </si>
  <si>
    <t>ラグジュアリー厳選１０　欧州株（ネットリターン）ＥＴＮ　受益証券</t>
  </si>
  <si>
    <t>Luxury Select 10 Europe Equity Net Return ETN</t>
  </si>
  <si>
    <t>502A</t>
  </si>
  <si>
    <t>グローバルＸ　超短期円建て債券　ＥＴＦ　受益証券</t>
  </si>
  <si>
    <t>Global X JPY Ultra Short-Term Bond ETF</t>
  </si>
  <si>
    <t>509A</t>
  </si>
  <si>
    <t>グリーンライト・再エネインフラ投資法人　投資証券</t>
  </si>
  <si>
    <t>Green Light Renewable Energy Infrastructure Fund</t>
  </si>
  <si>
    <t>512A</t>
  </si>
  <si>
    <t>グローバルＸ　ステーブルコイン＆トークンビジネス　ＥＴＦ（除く日本）　受益証券</t>
  </si>
  <si>
    <t>Global X Stablecoins &amp; Tokenization ETF (ex-Japan)</t>
  </si>
  <si>
    <t>513A</t>
  </si>
  <si>
    <t>グローバルＸ　防衛テック－日本株式　ＥＴＦ　受益証券</t>
  </si>
  <si>
    <t>Global X Japan Defense Tech ETF</t>
  </si>
  <si>
    <t>515A</t>
  </si>
  <si>
    <t>ｉシェアーズ　高格付け日本円社債　ＥＴＦ　受益証券</t>
  </si>
  <si>
    <t>iShares JPY Investment Grade Corporate Bond Active ETF</t>
  </si>
  <si>
    <t>516A</t>
  </si>
  <si>
    <t>ｉＦｒｅｅＥＴＦ　米ドル・ブル（１倍）　受益証券</t>
  </si>
  <si>
    <t>iFreeETF US Dollar Bull (1x)</t>
  </si>
  <si>
    <t>517A</t>
  </si>
  <si>
    <t>ｉＦｒｅｅＥＴＦ　米ドル・ベア（１倍）　受益証券</t>
  </si>
  <si>
    <t>iFreeETF US Dollar Bear (1x)</t>
  </si>
  <si>
    <t>518A</t>
  </si>
  <si>
    <t>ＮＥＸＴ　ＦＵＮＤＳ　ＦＴＳＥ日本株高配当キャッシュフロー５０指数連動型上場投信　受益証券</t>
  </si>
  <si>
    <t>NEXT FUNDS FTSE Japan ex-REITs High Income Cash Flow 50 Index Exchange Traded Fund</t>
  </si>
  <si>
    <t>521A</t>
  </si>
  <si>
    <t>ｉＦｒｅｅＥＴＦ　ＦＡＮＧ＋ゴールド　受益証券</t>
  </si>
  <si>
    <t>iFreeETF FANG+GOLD</t>
  </si>
  <si>
    <t>526A</t>
  </si>
  <si>
    <t>ＪＰＸスタートアップ急成長１００ＥＴＦ　受益証券</t>
  </si>
  <si>
    <t>JPX Startup100 ETF</t>
  </si>
  <si>
    <t>530A</t>
  </si>
  <si>
    <t>ＮＺＡＭ　上場投信　東証ＲＥＩＴ指数（２・５・８・１１月決算型）　受益証券</t>
  </si>
  <si>
    <t>NZAM ETF J-REIT Index(2 5 8 11)</t>
  </si>
  <si>
    <t>531A</t>
  </si>
  <si>
    <t>ＮＺＡＭ　上場投信　日経平均高配当株５０　受益証券</t>
  </si>
  <si>
    <t>NZAM ETF Nikkei High Dividend 50</t>
  </si>
  <si>
    <t>532A</t>
  </si>
  <si>
    <t>ＮＺＡＭ　上場投信　ＴＯＰＩＸ高配当４０　受益証券</t>
  </si>
  <si>
    <t>NZAM ETF TOPIX High Dividend 40</t>
  </si>
  <si>
    <t>533A</t>
  </si>
  <si>
    <t>ＮＺＡＭ　上場投信　Ｓ＆Ｐ５００（為替ヘッジなし）　受益証券</t>
  </si>
  <si>
    <t>NZAM ETF S&amp;P500(Unhedged)</t>
  </si>
  <si>
    <t>534A</t>
  </si>
  <si>
    <t>ＮＺＡＭ　上場投信　ＮＡＳＤＡＱ１００（為替ヘッジなし）　受益証券</t>
  </si>
  <si>
    <t>NZAM ETF NASDAQ100(Unhedged)</t>
  </si>
  <si>
    <t>535A</t>
  </si>
  <si>
    <t>ＮＺＡＭ　上場投信　ＤＡＸ（為替ヘッジなし）　受益証券</t>
  </si>
  <si>
    <t>NZAM ETF DAX(Unhedged)</t>
  </si>
  <si>
    <t>536A</t>
  </si>
  <si>
    <t>ＮＺＡＭ　上場投信　先進国株式（ＭＳＣＩ－ＫＯＫＵＳＡＩ）（為替ヘッジなし）　受益証券</t>
  </si>
  <si>
    <t>NZAM ETF MSCI-KOKUSAI(Unhedged)</t>
  </si>
  <si>
    <t>537A</t>
  </si>
  <si>
    <t>ＮＺＡＭ　上場投信　全世界株式（ＭＳＣＩ　ＡＣＷＩ）（為替ヘッジなし）　受益証券</t>
  </si>
  <si>
    <t>NZAM ETF MSCI ACWI(Unhedged)</t>
  </si>
  <si>
    <t>538A</t>
  </si>
  <si>
    <t>ＮＺＡＭ　上場投信　米国国債７－１０年（為替ヘッジなし）　受益証券</t>
  </si>
  <si>
    <t>NZAM ETF US Treasury 7-10Y(Unhedged)</t>
  </si>
  <si>
    <t>539A</t>
  </si>
  <si>
    <t>ＮＺＡＭ　上場投信　海外債券（ＦＴＳＥ　ＷＧＢＩ除く日本）（為替ヘッジなし）　受益証券</t>
  </si>
  <si>
    <t>NZAM ETF FTSE WGBI ex Japan(Unhedged)</t>
  </si>
  <si>
    <t>540A</t>
  </si>
  <si>
    <t>上場インデックスファンド日経銀行株トップ１０　受益証券</t>
  </si>
  <si>
    <t>Listed Index Fund Nikkei Bank Stock Top 10</t>
  </si>
  <si>
    <t>541A</t>
  </si>
  <si>
    <t>Ｏｎｅ　ＥＴＦ　ＴＯＰＩＸ高配当株グロース指数　受益証券</t>
  </si>
  <si>
    <t>One ETF TOPIX High Dividend Growth Index</t>
  </si>
  <si>
    <t>552A</t>
  </si>
  <si>
    <t>ＭＡＸＩＳ米国ＡＩインフラ株上場投信　受益証券</t>
  </si>
  <si>
    <t>MAXIS US AI Infrastructure Equity ETF</t>
  </si>
  <si>
    <t>563A</t>
  </si>
  <si>
    <t>グローバルＸ　ＮＡＳＤＡＱ１００・デイリー・カバード・コール　ＥＴＦ　受益証券</t>
  </si>
  <si>
    <t>Global X Nasdaq 100 Daily Covered Call ETF</t>
  </si>
  <si>
    <t>564A</t>
  </si>
  <si>
    <t>グローバルＸ　Ｓ＆Ｐ先進国キャッシュフロー・トップ１００　ＥＴＦ　受益証券</t>
  </si>
  <si>
    <t>Global X S&amp;P Developed Cash Flow Top 100 ETF</t>
  </si>
  <si>
    <t>566A</t>
  </si>
  <si>
    <t>ｉＦｒｅｅＥＴＦ　ブルームバーグ日本株（除く金融）高配当５０指数　受益証券</t>
  </si>
  <si>
    <t>iFreeETF Bloomberg Japan ex-Financials High Dividend 50 Index</t>
  </si>
  <si>
    <t xml:space="preserve">新規上場  </t>
  </si>
  <si>
    <t xml:space="preserve">New Listing  </t>
  </si>
  <si>
    <t xml:space="preserve">2026/05/07  </t>
  </si>
  <si>
    <t>568A</t>
  </si>
  <si>
    <t>ｉシェアーズ　シルバー　ＥＴＦ　受益証券</t>
  </si>
  <si>
    <t>iShares Silver ETF</t>
  </si>
  <si>
    <t xml:space="preserve">2026/05/20  </t>
  </si>
  <si>
    <t>569A</t>
  </si>
  <si>
    <t>ｉシェアーズ　プラチナ　ＥＴＦ　受益証券</t>
  </si>
  <si>
    <t>iShares Platinum ETF</t>
  </si>
  <si>
    <t>570A</t>
  </si>
  <si>
    <t>ｉシェアーズ　日本国債０－１年　ＥＴＦ　受益証券</t>
  </si>
  <si>
    <t>iShares 0-1 Year Japan Government Bond ETF</t>
  </si>
  <si>
    <t xml:space="preserve">2026/05/27  </t>
  </si>
  <si>
    <t>571A</t>
  </si>
  <si>
    <t>ｉシェアーズ　日本国債１－３年　ＥＴＦ　受益証券</t>
  </si>
  <si>
    <t>iShares 1-3 Year Japan Government Bond ETF</t>
  </si>
  <si>
    <t>572A</t>
  </si>
  <si>
    <t>ｉシェアーズ　日本国債３－７年　ＥＴＦ　受益証券</t>
  </si>
  <si>
    <t>iShares 3-7 Year Japan Government Bond ETF</t>
  </si>
  <si>
    <t>573A</t>
  </si>
  <si>
    <t>ｉシェアーズ　日本国債２０年超　ＥＴＦ　受益証券</t>
  </si>
  <si>
    <t>iShares 20+ Year Japan Government Bond ETF</t>
  </si>
  <si>
    <t>576A</t>
  </si>
  <si>
    <t>グローバルＸ　チャイナテック・カバード・コール　ＥＴＦ　受益証券</t>
  </si>
  <si>
    <t>Global X China Tech Covered Call ETF</t>
  </si>
  <si>
    <t xml:space="preserve">2026/05/28  </t>
  </si>
  <si>
    <t>577A</t>
  </si>
  <si>
    <t>グローバルＸ　シルバー　ＥＴＦ　受益証券</t>
  </si>
  <si>
    <t>Global X Silver ETF</t>
  </si>
  <si>
    <t>578A</t>
  </si>
  <si>
    <t>グローバルＸ　シルバー　ＥＴＦ（為替ヘッジあり）　受益証券</t>
  </si>
  <si>
    <t>Global X Silver ETF (JPY Hedged)</t>
  </si>
  <si>
    <t>579A</t>
  </si>
  <si>
    <t>グローバルＸ　銀ビジネス　ＥＴＦ　受益証券</t>
  </si>
  <si>
    <t>Global X Silver Miners ETF</t>
  </si>
  <si>
    <t>580A</t>
  </si>
  <si>
    <t>グローバルＸ　銅ビジネス　ＥＴＦ　受益証券</t>
  </si>
  <si>
    <t>Global X Copper Miners ETF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</si>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</sst>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6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3987</f>
        <v>3987.0</v>
      </c>
      <c r="L7" s="34" t="s">
        <v>48</v>
      </c>
      <c r="M7" s="33" t="n">
        <f>4270</f>
        <v>4270.0</v>
      </c>
      <c r="N7" s="34" t="s">
        <v>49</v>
      </c>
      <c r="O7" s="33" t="n">
        <f>3954</f>
        <v>3954.0</v>
      </c>
      <c r="P7" s="34" t="s">
        <v>48</v>
      </c>
      <c r="Q7" s="33" t="n">
        <f>4237</f>
        <v>4237.0</v>
      </c>
      <c r="R7" s="34" t="s">
        <v>49</v>
      </c>
      <c r="S7" s="35" t="n">
        <f>4145.56</f>
        <v>4145.56</v>
      </c>
      <c r="T7" s="32" t="n">
        <f>4499830</f>
        <v>4499830.0</v>
      </c>
      <c r="U7" s="32" t="n">
        <f>1170130</f>
        <v>1170130.0</v>
      </c>
      <c r="V7" s="32" t="n">
        <f>18714282004</f>
        <v>1.8714282004E10</v>
      </c>
      <c r="W7" s="32" t="n">
        <f>4821895884</f>
        <v>4.821895884E9</v>
      </c>
      <c r="X7" s="36" t="n">
        <f>18</f>
        <v>18.0</v>
      </c>
    </row>
    <row r="8">
      <c r="A8" s="27" t="s">
        <v>42</v>
      </c>
      <c r="B8" s="27" t="s">
        <v>50</v>
      </c>
      <c r="C8" s="27" t="s">
        <v>51</v>
      </c>
      <c r="D8" s="27" t="s">
        <v>52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394.2</f>
        <v>394.2</v>
      </c>
      <c r="L8" s="34" t="s">
        <v>48</v>
      </c>
      <c r="M8" s="33" t="n">
        <f>422.6</f>
        <v>422.6</v>
      </c>
      <c r="N8" s="34" t="s">
        <v>49</v>
      </c>
      <c r="O8" s="33" t="n">
        <f>391.2</f>
        <v>391.2</v>
      </c>
      <c r="P8" s="34" t="s">
        <v>48</v>
      </c>
      <c r="Q8" s="33" t="n">
        <f>417.9</f>
        <v>417.9</v>
      </c>
      <c r="R8" s="34" t="s">
        <v>49</v>
      </c>
      <c r="S8" s="35" t="n">
        <f>410.11</f>
        <v>410.11</v>
      </c>
      <c r="T8" s="32" t="n">
        <f>613683730</f>
        <v>6.1368373E8</v>
      </c>
      <c r="U8" s="32" t="n">
        <f>344840230</f>
        <v>3.4484023E8</v>
      </c>
      <c r="V8" s="32" t="n">
        <f>253018150368</f>
        <v>2.53018150368E11</v>
      </c>
      <c r="W8" s="32" t="n">
        <f>142619343888</f>
        <v>1.42619343888E11</v>
      </c>
      <c r="X8" s="36" t="n">
        <f>18</f>
        <v>18.0</v>
      </c>
    </row>
    <row r="9">
      <c r="A9" s="27" t="s">
        <v>42</v>
      </c>
      <c r="B9" s="27" t="s">
        <v>53</v>
      </c>
      <c r="C9" s="27" t="s">
        <v>54</v>
      </c>
      <c r="D9" s="27" t="s">
        <v>55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3898</f>
        <v>3898.0</v>
      </c>
      <c r="L9" s="34" t="s">
        <v>48</v>
      </c>
      <c r="M9" s="33" t="n">
        <f>4176</f>
        <v>4176.0</v>
      </c>
      <c r="N9" s="34" t="s">
        <v>49</v>
      </c>
      <c r="O9" s="33" t="n">
        <f>3865</f>
        <v>3865.0</v>
      </c>
      <c r="P9" s="34" t="s">
        <v>48</v>
      </c>
      <c r="Q9" s="33" t="n">
        <f>4133</f>
        <v>4133.0</v>
      </c>
      <c r="R9" s="34" t="s">
        <v>49</v>
      </c>
      <c r="S9" s="35" t="n">
        <f>4052.44</f>
        <v>4052.44</v>
      </c>
      <c r="T9" s="32" t="n">
        <f>17886136</f>
        <v>1.7886136E7</v>
      </c>
      <c r="U9" s="32" t="n">
        <f>11563413</f>
        <v>1.1563413E7</v>
      </c>
      <c r="V9" s="32" t="n">
        <f>72592354620</f>
        <v>7.259235462E10</v>
      </c>
      <c r="W9" s="32" t="n">
        <f>46824654684</f>
        <v>4.6824654684E10</v>
      </c>
      <c r="X9" s="36" t="n">
        <f>18</f>
        <v>18.0</v>
      </c>
    </row>
    <row r="10">
      <c r="A10" s="27" t="s">
        <v>42</v>
      </c>
      <c r="B10" s="27" t="s">
        <v>56</v>
      </c>
      <c r="C10" s="27" t="s">
        <v>57</v>
      </c>
      <c r="D10" s="27" t="s">
        <v>58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55050</f>
        <v>55050.0</v>
      </c>
      <c r="L10" s="34" t="s">
        <v>48</v>
      </c>
      <c r="M10" s="33" t="n">
        <f>56500</f>
        <v>56500.0</v>
      </c>
      <c r="N10" s="34" t="s">
        <v>59</v>
      </c>
      <c r="O10" s="33" t="n">
        <f>53980</f>
        <v>53980.0</v>
      </c>
      <c r="P10" s="34" t="s">
        <v>60</v>
      </c>
      <c r="Q10" s="33" t="n">
        <f>54710</f>
        <v>54710.0</v>
      </c>
      <c r="R10" s="34" t="s">
        <v>49</v>
      </c>
      <c r="S10" s="35" t="n">
        <f>54929.44</f>
        <v>54929.44</v>
      </c>
      <c r="T10" s="32" t="n">
        <f>2159</f>
        <v>2159.0</v>
      </c>
      <c r="U10" s="32" t="str">
        <f>"－"</f>
        <v>－</v>
      </c>
      <c r="V10" s="32" t="n">
        <f>119008660</f>
        <v>1.1900866E8</v>
      </c>
      <c r="W10" s="32" t="str">
        <f>"－"</f>
        <v>－</v>
      </c>
      <c r="X10" s="36" t="n">
        <f>18</f>
        <v>18.0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1958</f>
        <v>1958.0</v>
      </c>
      <c r="L11" s="34" t="s">
        <v>48</v>
      </c>
      <c r="M11" s="33" t="n">
        <f>2072</f>
        <v>2072.0</v>
      </c>
      <c r="N11" s="34" t="s">
        <v>49</v>
      </c>
      <c r="O11" s="33" t="n">
        <f>1933</f>
        <v>1933.0</v>
      </c>
      <c r="P11" s="34" t="s">
        <v>48</v>
      </c>
      <c r="Q11" s="33" t="n">
        <f>2038</f>
        <v>2038.0</v>
      </c>
      <c r="R11" s="34" t="s">
        <v>49</v>
      </c>
      <c r="S11" s="35" t="n">
        <f>2018.78</f>
        <v>2018.78</v>
      </c>
      <c r="T11" s="32" t="n">
        <f>807365</f>
        <v>807365.0</v>
      </c>
      <c r="U11" s="32" t="n">
        <f>222650</f>
        <v>222650.0</v>
      </c>
      <c r="V11" s="32" t="n">
        <f>1639814031</f>
        <v>1.639814031E9</v>
      </c>
      <c r="W11" s="32" t="n">
        <f>456882485</f>
        <v>4.56882485E8</v>
      </c>
      <c r="X11" s="36" t="n">
        <f>18</f>
        <v>18.0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725</f>
        <v>725.0</v>
      </c>
      <c r="L12" s="34" t="s">
        <v>67</v>
      </c>
      <c r="M12" s="33" t="n">
        <f>744.9</f>
        <v>744.9</v>
      </c>
      <c r="N12" s="34" t="s">
        <v>68</v>
      </c>
      <c r="O12" s="33" t="n">
        <f>708</f>
        <v>708.0</v>
      </c>
      <c r="P12" s="34" t="s">
        <v>69</v>
      </c>
      <c r="Q12" s="33" t="n">
        <f>729.9</f>
        <v>729.9</v>
      </c>
      <c r="R12" s="34" t="s">
        <v>70</v>
      </c>
      <c r="S12" s="35" t="n">
        <f>723.21</f>
        <v>723.21</v>
      </c>
      <c r="T12" s="32" t="n">
        <f>48000</f>
        <v>48000.0</v>
      </c>
      <c r="U12" s="32" t="str">
        <f>"－"</f>
        <v>－</v>
      </c>
      <c r="V12" s="32" t="n">
        <f>34741500</f>
        <v>3.47415E7</v>
      </c>
      <c r="W12" s="32" t="str">
        <f>"－"</f>
        <v>－</v>
      </c>
      <c r="X12" s="36" t="n">
        <f>13</f>
        <v>13.0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62180</f>
        <v>62180.0</v>
      </c>
      <c r="L13" s="34" t="s">
        <v>48</v>
      </c>
      <c r="M13" s="33" t="n">
        <f>69340</f>
        <v>69340.0</v>
      </c>
      <c r="N13" s="34" t="s">
        <v>49</v>
      </c>
      <c r="O13" s="33" t="n">
        <f>61810</f>
        <v>61810.0</v>
      </c>
      <c r="P13" s="34" t="s">
        <v>69</v>
      </c>
      <c r="Q13" s="33" t="n">
        <f>69340</f>
        <v>69340.0</v>
      </c>
      <c r="R13" s="34" t="s">
        <v>49</v>
      </c>
      <c r="S13" s="35" t="n">
        <f>65469.44</f>
        <v>65469.44</v>
      </c>
      <c r="T13" s="32" t="n">
        <f>2568332</f>
        <v>2568332.0</v>
      </c>
      <c r="U13" s="32" t="n">
        <f>1725947</f>
        <v>1725947.0</v>
      </c>
      <c r="V13" s="32" t="n">
        <f>168334544115</f>
        <v>1.68334544115E11</v>
      </c>
      <c r="W13" s="32" t="n">
        <f>113259362885</f>
        <v>1.13259362885E11</v>
      </c>
      <c r="X13" s="36" t="n">
        <f>18</f>
        <v>18.0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62450</f>
        <v>62450.0</v>
      </c>
      <c r="L14" s="34" t="s">
        <v>48</v>
      </c>
      <c r="M14" s="33" t="n">
        <f>69580</f>
        <v>69580.0</v>
      </c>
      <c r="N14" s="34" t="s">
        <v>49</v>
      </c>
      <c r="O14" s="33" t="n">
        <f>62080</f>
        <v>62080.0</v>
      </c>
      <c r="P14" s="34" t="s">
        <v>69</v>
      </c>
      <c r="Q14" s="33" t="n">
        <f>69310</f>
        <v>69310.0</v>
      </c>
      <c r="R14" s="34" t="s">
        <v>49</v>
      </c>
      <c r="S14" s="35" t="n">
        <f>65710.56</f>
        <v>65710.56</v>
      </c>
      <c r="T14" s="32" t="n">
        <f>7569113</f>
        <v>7569113.0</v>
      </c>
      <c r="U14" s="32" t="n">
        <f>800922</f>
        <v>800922.0</v>
      </c>
      <c r="V14" s="32" t="n">
        <f>497842190718</f>
        <v>4.97842190718E11</v>
      </c>
      <c r="W14" s="32" t="n">
        <f>52876591118</f>
        <v>5.2876591118E10</v>
      </c>
      <c r="X14" s="36" t="n">
        <f>18</f>
        <v>18.0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11805</f>
        <v>11805.0</v>
      </c>
      <c r="L15" s="34" t="s">
        <v>48</v>
      </c>
      <c r="M15" s="33" t="n">
        <f>12500</f>
        <v>12500.0</v>
      </c>
      <c r="N15" s="34" t="s">
        <v>59</v>
      </c>
      <c r="O15" s="33" t="n">
        <f>11575</f>
        <v>11575.0</v>
      </c>
      <c r="P15" s="34" t="s">
        <v>48</v>
      </c>
      <c r="Q15" s="33" t="n">
        <f>12300</f>
        <v>12300.0</v>
      </c>
      <c r="R15" s="34" t="s">
        <v>49</v>
      </c>
      <c r="S15" s="35" t="n">
        <f>12111.39</f>
        <v>12111.39</v>
      </c>
      <c r="T15" s="32" t="n">
        <f>11657</f>
        <v>11657.0</v>
      </c>
      <c r="U15" s="32" t="str">
        <f>"－"</f>
        <v>－</v>
      </c>
      <c r="V15" s="32" t="n">
        <f>141888075</f>
        <v>1.41888075E8</v>
      </c>
      <c r="W15" s="32" t="str">
        <f>"－"</f>
        <v>－</v>
      </c>
      <c r="X15" s="36" t="n">
        <f>18</f>
        <v>18.0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331.5</f>
        <v>331.5</v>
      </c>
      <c r="L16" s="34" t="s">
        <v>48</v>
      </c>
      <c r="M16" s="33" t="n">
        <f>335.2</f>
        <v>335.2</v>
      </c>
      <c r="N16" s="34" t="s">
        <v>67</v>
      </c>
      <c r="O16" s="33" t="n">
        <f>298.2</f>
        <v>298.2</v>
      </c>
      <c r="P16" s="34" t="s">
        <v>83</v>
      </c>
      <c r="Q16" s="33" t="n">
        <f>303.7</f>
        <v>303.7</v>
      </c>
      <c r="R16" s="34" t="s">
        <v>49</v>
      </c>
      <c r="S16" s="35" t="n">
        <f>311.99</f>
        <v>311.99</v>
      </c>
      <c r="T16" s="32" t="n">
        <f>2286080</f>
        <v>2286080.0</v>
      </c>
      <c r="U16" s="32" t="n">
        <f>1481330</f>
        <v>1481330.0</v>
      </c>
      <c r="V16" s="32" t="n">
        <f>711217379</f>
        <v>7.11217379E8</v>
      </c>
      <c r="W16" s="32" t="n">
        <f>459331297</f>
        <v>4.59331297E8</v>
      </c>
      <c r="X16" s="36" t="n">
        <f>18</f>
        <v>18.0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66720</f>
        <v>66720.0</v>
      </c>
      <c r="L17" s="34" t="s">
        <v>48</v>
      </c>
      <c r="M17" s="33" t="n">
        <f>68930</f>
        <v>68930.0</v>
      </c>
      <c r="N17" s="34" t="s">
        <v>87</v>
      </c>
      <c r="O17" s="33" t="n">
        <f>63960</f>
        <v>63960.0</v>
      </c>
      <c r="P17" s="34" t="s">
        <v>70</v>
      </c>
      <c r="Q17" s="33" t="n">
        <f>66070</f>
        <v>66070.0</v>
      </c>
      <c r="R17" s="34" t="s">
        <v>49</v>
      </c>
      <c r="S17" s="35" t="n">
        <f>66581.11</f>
        <v>66581.11</v>
      </c>
      <c r="T17" s="32" t="n">
        <f>225768</f>
        <v>225768.0</v>
      </c>
      <c r="U17" s="32" t="n">
        <f>1</f>
        <v>1.0</v>
      </c>
      <c r="V17" s="32" t="n">
        <f>15040905490</f>
        <v>1.504090549E10</v>
      </c>
      <c r="W17" s="32" t="n">
        <f>59990</f>
        <v>59990.0</v>
      </c>
      <c r="X17" s="36" t="n">
        <f>18</f>
        <v>18.0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17200</f>
        <v>17200.0</v>
      </c>
      <c r="L18" s="34" t="s">
        <v>48</v>
      </c>
      <c r="M18" s="33" t="n">
        <f>17770</f>
        <v>17770.0</v>
      </c>
      <c r="N18" s="34" t="s">
        <v>87</v>
      </c>
      <c r="O18" s="33" t="n">
        <f>16480</f>
        <v>16480.0</v>
      </c>
      <c r="P18" s="34" t="s">
        <v>70</v>
      </c>
      <c r="Q18" s="33" t="n">
        <f>17010</f>
        <v>17010.0</v>
      </c>
      <c r="R18" s="34" t="s">
        <v>49</v>
      </c>
      <c r="S18" s="35" t="n">
        <f>17158.89</f>
        <v>17158.89</v>
      </c>
      <c r="T18" s="32" t="n">
        <f>714429</f>
        <v>714429.0</v>
      </c>
      <c r="U18" s="32" t="n">
        <f>66566</f>
        <v>66566.0</v>
      </c>
      <c r="V18" s="32" t="n">
        <f>12282425238</f>
        <v>1.2282425238E10</v>
      </c>
      <c r="W18" s="32" t="n">
        <f>1164178458</f>
        <v>1.164178458E9</v>
      </c>
      <c r="X18" s="36" t="n">
        <f>18</f>
        <v>18.0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6208</f>
        <v>6208.0</v>
      </c>
      <c r="L19" s="34" t="s">
        <v>48</v>
      </c>
      <c r="M19" s="33" t="n">
        <f>6924</f>
        <v>6924.0</v>
      </c>
      <c r="N19" s="34" t="s">
        <v>49</v>
      </c>
      <c r="O19" s="33" t="n">
        <f>6175</f>
        <v>6175.0</v>
      </c>
      <c r="P19" s="34" t="s">
        <v>69</v>
      </c>
      <c r="Q19" s="33" t="n">
        <f>6888</f>
        <v>6888.0</v>
      </c>
      <c r="R19" s="34" t="s">
        <v>49</v>
      </c>
      <c r="S19" s="35" t="n">
        <f>6536.78</f>
        <v>6536.78</v>
      </c>
      <c r="T19" s="32" t="n">
        <f>17783574</f>
        <v>1.7783574E7</v>
      </c>
      <c r="U19" s="32" t="n">
        <f>4309856</f>
        <v>4309856.0</v>
      </c>
      <c r="V19" s="32" t="n">
        <f>116143325096</f>
        <v>1.16143325096E11</v>
      </c>
      <c r="W19" s="32" t="n">
        <f>28191727393</f>
        <v>2.8191727393E10</v>
      </c>
      <c r="X19" s="36" t="n">
        <f>18</f>
        <v>18.0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62500</f>
        <v>62500.0</v>
      </c>
      <c r="L20" s="34" t="s">
        <v>48</v>
      </c>
      <c r="M20" s="33" t="n">
        <f>69650</f>
        <v>69650.0</v>
      </c>
      <c r="N20" s="34" t="s">
        <v>68</v>
      </c>
      <c r="O20" s="33" t="n">
        <f>62160</f>
        <v>62160.0</v>
      </c>
      <c r="P20" s="34" t="s">
        <v>69</v>
      </c>
      <c r="Q20" s="33" t="n">
        <f>69450</f>
        <v>69450.0</v>
      </c>
      <c r="R20" s="34" t="s">
        <v>49</v>
      </c>
      <c r="S20" s="35" t="n">
        <f>65801.11</f>
        <v>65801.11</v>
      </c>
      <c r="T20" s="32" t="n">
        <f>1697716</f>
        <v>1697716.0</v>
      </c>
      <c r="U20" s="32" t="n">
        <f>894295</f>
        <v>894295.0</v>
      </c>
      <c r="V20" s="32" t="n">
        <f>113702889233</f>
        <v>1.13702889233E11</v>
      </c>
      <c r="W20" s="32" t="n">
        <f>61061217783</f>
        <v>6.1061217783E10</v>
      </c>
      <c r="X20" s="36" t="n">
        <f>18</f>
        <v>18.0</v>
      </c>
    </row>
    <row r="21">
      <c r="A21" s="27" t="s">
        <v>42</v>
      </c>
      <c r="B21" s="27" t="s">
        <v>97</v>
      </c>
      <c r="C21" s="27" t="s">
        <v>98</v>
      </c>
      <c r="D21" s="27" t="s">
        <v>99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1070</f>
        <v>1070.0</v>
      </c>
      <c r="L21" s="34" t="s">
        <v>48</v>
      </c>
      <c r="M21" s="33" t="n">
        <f>1080</f>
        <v>1080.0</v>
      </c>
      <c r="N21" s="34" t="s">
        <v>100</v>
      </c>
      <c r="O21" s="33" t="n">
        <f>1057</f>
        <v>1057.0</v>
      </c>
      <c r="P21" s="34" t="s">
        <v>67</v>
      </c>
      <c r="Q21" s="33" t="n">
        <f>1077</f>
        <v>1077.0</v>
      </c>
      <c r="R21" s="34" t="s">
        <v>49</v>
      </c>
      <c r="S21" s="35" t="n">
        <f>1072</f>
        <v>1072.0</v>
      </c>
      <c r="T21" s="32" t="n">
        <f>38747164</f>
        <v>3.8747164E7</v>
      </c>
      <c r="U21" s="32" t="n">
        <f>35425469</f>
        <v>3.5425469E7</v>
      </c>
      <c r="V21" s="32" t="n">
        <f>41667063024</f>
        <v>4.1667063024E10</v>
      </c>
      <c r="W21" s="32" t="n">
        <f>38110137887</f>
        <v>3.8110137887E10</v>
      </c>
      <c r="X21" s="36" t="n">
        <f>18</f>
        <v>18.0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2041</f>
        <v>2041.0</v>
      </c>
      <c r="L22" s="34" t="s">
        <v>48</v>
      </c>
      <c r="M22" s="33" t="n">
        <f>2048.5</f>
        <v>2048.5</v>
      </c>
      <c r="N22" s="34" t="s">
        <v>48</v>
      </c>
      <c r="O22" s="33" t="n">
        <f>1924</f>
        <v>1924.0</v>
      </c>
      <c r="P22" s="34" t="s">
        <v>104</v>
      </c>
      <c r="Q22" s="33" t="n">
        <f>1946</f>
        <v>1946.0</v>
      </c>
      <c r="R22" s="34" t="s">
        <v>49</v>
      </c>
      <c r="S22" s="35" t="n">
        <f>1964.25</f>
        <v>1964.25</v>
      </c>
      <c r="T22" s="32" t="n">
        <f>19324750</f>
        <v>1.932475E7</v>
      </c>
      <c r="U22" s="32" t="n">
        <f>3921040</f>
        <v>3921040.0</v>
      </c>
      <c r="V22" s="32" t="n">
        <f>37945620526</f>
        <v>3.7945620526E10</v>
      </c>
      <c r="W22" s="32" t="n">
        <f>7615577986</f>
        <v>7.615577986E9</v>
      </c>
      <c r="X22" s="36" t="n">
        <f>18</f>
        <v>18.0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1914</f>
        <v>1914.0</v>
      </c>
      <c r="L23" s="34" t="s">
        <v>48</v>
      </c>
      <c r="M23" s="33" t="n">
        <f>1918</f>
        <v>1918.0</v>
      </c>
      <c r="N23" s="34" t="s">
        <v>48</v>
      </c>
      <c r="O23" s="33" t="n">
        <f>1813</f>
        <v>1813.0</v>
      </c>
      <c r="P23" s="34" t="s">
        <v>104</v>
      </c>
      <c r="Q23" s="33" t="n">
        <f>1837</f>
        <v>1837.0</v>
      </c>
      <c r="R23" s="34" t="s">
        <v>49</v>
      </c>
      <c r="S23" s="35" t="n">
        <f>1852.78</f>
        <v>1852.78</v>
      </c>
      <c r="T23" s="32" t="n">
        <f>1981732</f>
        <v>1981732.0</v>
      </c>
      <c r="U23" s="32" t="n">
        <f>1104562</f>
        <v>1104562.0</v>
      </c>
      <c r="V23" s="32" t="n">
        <f>3688479196</f>
        <v>3.688479196E9</v>
      </c>
      <c r="W23" s="32" t="n">
        <f>2057441365</f>
        <v>2.057441365E9</v>
      </c>
      <c r="X23" s="36" t="n">
        <f>18</f>
        <v>18.0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62110</f>
        <v>62110.0</v>
      </c>
      <c r="L24" s="34" t="s">
        <v>48</v>
      </c>
      <c r="M24" s="33" t="n">
        <f>69180</f>
        <v>69180.0</v>
      </c>
      <c r="N24" s="34" t="s">
        <v>49</v>
      </c>
      <c r="O24" s="33" t="n">
        <f>61700</f>
        <v>61700.0</v>
      </c>
      <c r="P24" s="34" t="s">
        <v>69</v>
      </c>
      <c r="Q24" s="33" t="n">
        <f>68930</f>
        <v>68930.0</v>
      </c>
      <c r="R24" s="34" t="s">
        <v>49</v>
      </c>
      <c r="S24" s="35" t="n">
        <f>65343.33</f>
        <v>65343.33</v>
      </c>
      <c r="T24" s="32" t="n">
        <f>795853</f>
        <v>795853.0</v>
      </c>
      <c r="U24" s="32" t="n">
        <f>367424</f>
        <v>367424.0</v>
      </c>
      <c r="V24" s="32" t="n">
        <f>51965207103</f>
        <v>5.1965207103E10</v>
      </c>
      <c r="W24" s="32" t="n">
        <f>24031882013</f>
        <v>2.4031882013E10</v>
      </c>
      <c r="X24" s="36" t="n">
        <f>18</f>
        <v>18.0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3895</f>
        <v>3895.0</v>
      </c>
      <c r="L25" s="34" t="s">
        <v>48</v>
      </c>
      <c r="M25" s="33" t="n">
        <f>4173</f>
        <v>4173.0</v>
      </c>
      <c r="N25" s="34" t="s">
        <v>49</v>
      </c>
      <c r="O25" s="33" t="n">
        <f>3864</f>
        <v>3864.0</v>
      </c>
      <c r="P25" s="34" t="s">
        <v>48</v>
      </c>
      <c r="Q25" s="33" t="n">
        <f>4130</f>
        <v>4130.0</v>
      </c>
      <c r="R25" s="34" t="s">
        <v>49</v>
      </c>
      <c r="S25" s="35" t="n">
        <f>4050.5</f>
        <v>4050.5</v>
      </c>
      <c r="T25" s="32" t="n">
        <f>1393605</f>
        <v>1393605.0</v>
      </c>
      <c r="U25" s="32" t="n">
        <f>387789</f>
        <v>387789.0</v>
      </c>
      <c r="V25" s="32" t="n">
        <f>5639213672</f>
        <v>5.639213672E9</v>
      </c>
      <c r="W25" s="32" t="n">
        <f>1563696419</f>
        <v>1.563696419E9</v>
      </c>
      <c r="X25" s="36" t="n">
        <f>18</f>
        <v>18.0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17765</f>
        <v>17765.0</v>
      </c>
      <c r="L26" s="34" t="s">
        <v>48</v>
      </c>
      <c r="M26" s="33" t="n">
        <f>17820</f>
        <v>17820.0</v>
      </c>
      <c r="N26" s="34" t="s">
        <v>117</v>
      </c>
      <c r="O26" s="33" t="n">
        <f>17560</f>
        <v>17560.0</v>
      </c>
      <c r="P26" s="34" t="s">
        <v>69</v>
      </c>
      <c r="Q26" s="33" t="n">
        <f>17720</f>
        <v>17720.0</v>
      </c>
      <c r="R26" s="34" t="s">
        <v>49</v>
      </c>
      <c r="S26" s="35" t="n">
        <f>17662.94</f>
        <v>17662.94</v>
      </c>
      <c r="T26" s="32" t="n">
        <f>496</f>
        <v>496.0</v>
      </c>
      <c r="U26" s="32" t="str">
        <f>"－"</f>
        <v>－</v>
      </c>
      <c r="V26" s="32" t="n">
        <f>8764935</f>
        <v>8764935.0</v>
      </c>
      <c r="W26" s="32" t="str">
        <f>"－"</f>
        <v>－</v>
      </c>
      <c r="X26" s="36" t="n">
        <f>17</f>
        <v>17.0</v>
      </c>
    </row>
    <row r="27">
      <c r="A27" s="27" t="s">
        <v>42</v>
      </c>
      <c r="B27" s="27" t="s">
        <v>118</v>
      </c>
      <c r="C27" s="27" t="s">
        <v>119</v>
      </c>
      <c r="D27" s="27" t="s">
        <v>120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132.6</f>
        <v>132.6</v>
      </c>
      <c r="L27" s="34" t="s">
        <v>48</v>
      </c>
      <c r="M27" s="33" t="n">
        <f>134.8</f>
        <v>134.8</v>
      </c>
      <c r="N27" s="34" t="s">
        <v>48</v>
      </c>
      <c r="O27" s="33" t="n">
        <f>114.6</f>
        <v>114.6</v>
      </c>
      <c r="P27" s="34" t="s">
        <v>49</v>
      </c>
      <c r="Q27" s="33" t="n">
        <f>116.3</f>
        <v>116.3</v>
      </c>
      <c r="R27" s="34" t="s">
        <v>49</v>
      </c>
      <c r="S27" s="35" t="n">
        <f>122.16</f>
        <v>122.16</v>
      </c>
      <c r="T27" s="32" t="n">
        <f>120550930</f>
        <v>1.2055093E8</v>
      </c>
      <c r="U27" s="32" t="n">
        <f>504070</f>
        <v>504070.0</v>
      </c>
      <c r="V27" s="32" t="n">
        <f>14685472713</f>
        <v>1.4685472713E10</v>
      </c>
      <c r="W27" s="32" t="n">
        <f>62258332</f>
        <v>6.2258332E7</v>
      </c>
      <c r="X27" s="36" t="n">
        <f>18</f>
        <v>18.0</v>
      </c>
    </row>
    <row r="28">
      <c r="A28" s="27" t="s">
        <v>42</v>
      </c>
      <c r="B28" s="27" t="s">
        <v>121</v>
      </c>
      <c r="C28" s="27" t="s">
        <v>122</v>
      </c>
      <c r="D28" s="27" t="s">
        <v>123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3759</f>
        <v>3759.0</v>
      </c>
      <c r="L28" s="34" t="s">
        <v>48</v>
      </c>
      <c r="M28" s="33" t="n">
        <f>3797</f>
        <v>3797.0</v>
      </c>
      <c r="N28" s="34" t="s">
        <v>48</v>
      </c>
      <c r="O28" s="33" t="n">
        <f>2946</f>
        <v>2946.0</v>
      </c>
      <c r="P28" s="34" t="s">
        <v>49</v>
      </c>
      <c r="Q28" s="33" t="n">
        <f>2958</f>
        <v>2958.0</v>
      </c>
      <c r="R28" s="34" t="s">
        <v>49</v>
      </c>
      <c r="S28" s="35" t="n">
        <f>3348.83</f>
        <v>3348.83</v>
      </c>
      <c r="T28" s="32" t="n">
        <f>154113143</f>
        <v>1.54113143E8</v>
      </c>
      <c r="U28" s="32" t="n">
        <f>2034612</f>
        <v>2034612.0</v>
      </c>
      <c r="V28" s="32" t="n">
        <f>514162507042</f>
        <v>5.14162507042E11</v>
      </c>
      <c r="W28" s="32" t="n">
        <f>6739744963</f>
        <v>6.739744963E9</v>
      </c>
      <c r="X28" s="36" t="n">
        <f>18</f>
        <v>18.0</v>
      </c>
    </row>
    <row r="29">
      <c r="A29" s="27" t="s">
        <v>42</v>
      </c>
      <c r="B29" s="27" t="s">
        <v>124</v>
      </c>
      <c r="C29" s="27" t="s">
        <v>125</v>
      </c>
      <c r="D29" s="27" t="s">
        <v>126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112500</f>
        <v>112500.0</v>
      </c>
      <c r="L29" s="34" t="s">
        <v>48</v>
      </c>
      <c r="M29" s="33" t="n">
        <f>138550</f>
        <v>138550.0</v>
      </c>
      <c r="N29" s="34" t="s">
        <v>49</v>
      </c>
      <c r="O29" s="33" t="n">
        <f>110500</f>
        <v>110500.0</v>
      </c>
      <c r="P29" s="34" t="s">
        <v>69</v>
      </c>
      <c r="Q29" s="33" t="n">
        <f>138000</f>
        <v>138000.0</v>
      </c>
      <c r="R29" s="34" t="s">
        <v>49</v>
      </c>
      <c r="S29" s="35" t="n">
        <f>124002.78</f>
        <v>124002.78</v>
      </c>
      <c r="T29" s="32" t="n">
        <f>268934</f>
        <v>268934.0</v>
      </c>
      <c r="U29" s="32" t="n">
        <f>2215</f>
        <v>2215.0</v>
      </c>
      <c r="V29" s="32" t="n">
        <f>33580722722</f>
        <v>3.3580722722E10</v>
      </c>
      <c r="W29" s="32" t="n">
        <f>278820472</f>
        <v>2.78820472E8</v>
      </c>
      <c r="X29" s="36" t="n">
        <f>18</f>
        <v>18.0</v>
      </c>
    </row>
    <row r="30">
      <c r="A30" s="27" t="s">
        <v>42</v>
      </c>
      <c r="B30" s="27" t="s">
        <v>127</v>
      </c>
      <c r="C30" s="27" t="s">
        <v>128</v>
      </c>
      <c r="D30" s="27" t="s">
        <v>129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92.2</f>
        <v>92.2</v>
      </c>
      <c r="L30" s="34" t="s">
        <v>48</v>
      </c>
      <c r="M30" s="33" t="n">
        <f>93.2</f>
        <v>93.2</v>
      </c>
      <c r="N30" s="34" t="s">
        <v>48</v>
      </c>
      <c r="O30" s="33" t="n">
        <f>72.4</f>
        <v>72.4</v>
      </c>
      <c r="P30" s="34" t="s">
        <v>49</v>
      </c>
      <c r="Q30" s="33" t="n">
        <f>72.7</f>
        <v>72.7</v>
      </c>
      <c r="R30" s="34" t="s">
        <v>49</v>
      </c>
      <c r="S30" s="35" t="n">
        <f>82.24</f>
        <v>82.24</v>
      </c>
      <c r="T30" s="32" t="n">
        <f>3047368990</f>
        <v>3.04736899E9</v>
      </c>
      <c r="U30" s="32" t="n">
        <f>34982210</f>
        <v>3.498221E7</v>
      </c>
      <c r="V30" s="32" t="n">
        <f>248667445237</f>
        <v>2.48667445237E11</v>
      </c>
      <c r="W30" s="32" t="n">
        <f>2841656715</f>
        <v>2.841656715E9</v>
      </c>
      <c r="X30" s="36" t="n">
        <f>18</f>
        <v>18.0</v>
      </c>
    </row>
    <row r="31">
      <c r="A31" s="27" t="s">
        <v>42</v>
      </c>
      <c r="B31" s="27" t="s">
        <v>130</v>
      </c>
      <c r="C31" s="27" t="s">
        <v>131</v>
      </c>
      <c r="D31" s="27" t="s">
        <v>132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3504</f>
        <v>3504.0</v>
      </c>
      <c r="L31" s="34" t="s">
        <v>48</v>
      </c>
      <c r="M31" s="33" t="n">
        <f>3742</f>
        <v>3742.0</v>
      </c>
      <c r="N31" s="34" t="s">
        <v>49</v>
      </c>
      <c r="O31" s="33" t="n">
        <f>3475</f>
        <v>3475.0</v>
      </c>
      <c r="P31" s="34" t="s">
        <v>48</v>
      </c>
      <c r="Q31" s="33" t="n">
        <f>3731</f>
        <v>3731.0</v>
      </c>
      <c r="R31" s="34" t="s">
        <v>49</v>
      </c>
      <c r="S31" s="35" t="n">
        <f>3637.89</f>
        <v>3637.89</v>
      </c>
      <c r="T31" s="32" t="n">
        <f>1319407</f>
        <v>1319407.0</v>
      </c>
      <c r="U31" s="32" t="n">
        <f>1112847</f>
        <v>1112847.0</v>
      </c>
      <c r="V31" s="32" t="n">
        <f>4774946201</f>
        <v>4.774946201E9</v>
      </c>
      <c r="W31" s="32" t="n">
        <f>4028428034</f>
        <v>4.028428034E9</v>
      </c>
      <c r="X31" s="36" t="n">
        <f>18</f>
        <v>18.0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3634</f>
        <v>3634.0</v>
      </c>
      <c r="L32" s="34" t="s">
        <v>48</v>
      </c>
      <c r="M32" s="33" t="n">
        <f>4469</f>
        <v>4469.0</v>
      </c>
      <c r="N32" s="34" t="s">
        <v>68</v>
      </c>
      <c r="O32" s="33" t="n">
        <f>3564</f>
        <v>3564.0</v>
      </c>
      <c r="P32" s="34" t="s">
        <v>69</v>
      </c>
      <c r="Q32" s="33" t="n">
        <f>4438</f>
        <v>4438.0</v>
      </c>
      <c r="R32" s="34" t="s">
        <v>49</v>
      </c>
      <c r="S32" s="35" t="n">
        <f>3998.22</f>
        <v>3998.22</v>
      </c>
      <c r="T32" s="32" t="n">
        <f>8060909</f>
        <v>8060909.0</v>
      </c>
      <c r="U32" s="32" t="n">
        <f>148411</f>
        <v>148411.0</v>
      </c>
      <c r="V32" s="32" t="n">
        <f>32214581881</f>
        <v>3.2214581881E10</v>
      </c>
      <c r="W32" s="32" t="n">
        <f>602345378</f>
        <v>6.02345378E8</v>
      </c>
      <c r="X32" s="36" t="n">
        <f>18</f>
        <v>18.0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95</f>
        <v>95.0</v>
      </c>
      <c r="L33" s="34" t="s">
        <v>48</v>
      </c>
      <c r="M33" s="33" t="n">
        <f>96</f>
        <v>96.0</v>
      </c>
      <c r="N33" s="34" t="s">
        <v>48</v>
      </c>
      <c r="O33" s="33" t="n">
        <f>74</f>
        <v>74.0</v>
      </c>
      <c r="P33" s="34" t="s">
        <v>68</v>
      </c>
      <c r="Q33" s="33" t="n">
        <f>74</f>
        <v>74.0</v>
      </c>
      <c r="R33" s="34" t="s">
        <v>49</v>
      </c>
      <c r="S33" s="35" t="n">
        <f>84.17</f>
        <v>84.17</v>
      </c>
      <c r="T33" s="32" t="n">
        <f>160353110</f>
        <v>1.6035311E8</v>
      </c>
      <c r="U33" s="32" t="n">
        <f>1065802</f>
        <v>1065802.0</v>
      </c>
      <c r="V33" s="32" t="n">
        <f>13481708185</f>
        <v>1.3481708185E10</v>
      </c>
      <c r="W33" s="32" t="n">
        <f>88285778</f>
        <v>8.8285778E7</v>
      </c>
      <c r="X33" s="36" t="n">
        <f>18</f>
        <v>18.0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2608</f>
        <v>2608.0</v>
      </c>
      <c r="L34" s="34" t="s">
        <v>48</v>
      </c>
      <c r="M34" s="33" t="n">
        <f>2970</f>
        <v>2970.0</v>
      </c>
      <c r="N34" s="34" t="s">
        <v>49</v>
      </c>
      <c r="O34" s="33" t="n">
        <f>2558</f>
        <v>2558.0</v>
      </c>
      <c r="P34" s="34" t="s">
        <v>48</v>
      </c>
      <c r="Q34" s="33" t="n">
        <f>2909</f>
        <v>2909.0</v>
      </c>
      <c r="R34" s="34" t="s">
        <v>49</v>
      </c>
      <c r="S34" s="35" t="n">
        <f>2810.94</f>
        <v>2810.94</v>
      </c>
      <c r="T34" s="32" t="n">
        <f>1826426</f>
        <v>1826426.0</v>
      </c>
      <c r="U34" s="32" t="n">
        <f>37181</f>
        <v>37181.0</v>
      </c>
      <c r="V34" s="32" t="n">
        <f>5101635499</f>
        <v>5.101635499E9</v>
      </c>
      <c r="W34" s="32" t="n">
        <f>105349756</f>
        <v>1.05349756E8</v>
      </c>
      <c r="X34" s="36" t="n">
        <f>18</f>
        <v>18.0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191</f>
        <v>191.0</v>
      </c>
      <c r="L35" s="34" t="s">
        <v>48</v>
      </c>
      <c r="M35" s="33" t="n">
        <f>196</f>
        <v>196.0</v>
      </c>
      <c r="N35" s="34" t="s">
        <v>48</v>
      </c>
      <c r="O35" s="33" t="n">
        <f>166</f>
        <v>166.0</v>
      </c>
      <c r="P35" s="34" t="s">
        <v>49</v>
      </c>
      <c r="Q35" s="33" t="n">
        <f>169</f>
        <v>169.0</v>
      </c>
      <c r="R35" s="34" t="s">
        <v>49</v>
      </c>
      <c r="S35" s="35" t="n">
        <f>177.33</f>
        <v>177.33</v>
      </c>
      <c r="T35" s="32" t="n">
        <f>4413719</f>
        <v>4413719.0</v>
      </c>
      <c r="U35" s="32" t="n">
        <f>110</f>
        <v>110.0</v>
      </c>
      <c r="V35" s="32" t="n">
        <f>784227280</f>
        <v>7.8422728E8</v>
      </c>
      <c r="W35" s="32" t="n">
        <f>20160</f>
        <v>20160.0</v>
      </c>
      <c r="X35" s="36" t="n">
        <f>18</f>
        <v>18.0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60380</f>
        <v>60380.0</v>
      </c>
      <c r="L36" s="34" t="s">
        <v>48</v>
      </c>
      <c r="M36" s="33" t="n">
        <f>67220</f>
        <v>67220.0</v>
      </c>
      <c r="N36" s="34" t="s">
        <v>49</v>
      </c>
      <c r="O36" s="33" t="n">
        <f>60000</f>
        <v>60000.0</v>
      </c>
      <c r="P36" s="34" t="s">
        <v>69</v>
      </c>
      <c r="Q36" s="33" t="n">
        <f>67170</f>
        <v>67170.0</v>
      </c>
      <c r="R36" s="34" t="s">
        <v>49</v>
      </c>
      <c r="S36" s="35" t="n">
        <f>63566.11</f>
        <v>63566.11</v>
      </c>
      <c r="T36" s="32" t="n">
        <f>169764</f>
        <v>169764.0</v>
      </c>
      <c r="U36" s="32" t="n">
        <f>83542</f>
        <v>83542.0</v>
      </c>
      <c r="V36" s="32" t="n">
        <f>10715309071</f>
        <v>1.0715309071E10</v>
      </c>
      <c r="W36" s="32" t="n">
        <f>5248061641</f>
        <v>5.248061641E9</v>
      </c>
      <c r="X36" s="36" t="n">
        <f>18</f>
        <v>18.0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60180</f>
        <v>60180.0</v>
      </c>
      <c r="L37" s="34" t="s">
        <v>48</v>
      </c>
      <c r="M37" s="33" t="n">
        <f>67230</f>
        <v>67230.0</v>
      </c>
      <c r="N37" s="34" t="s">
        <v>49</v>
      </c>
      <c r="O37" s="33" t="n">
        <f>60000</f>
        <v>60000.0</v>
      </c>
      <c r="P37" s="34" t="s">
        <v>69</v>
      </c>
      <c r="Q37" s="33" t="n">
        <f>67150</f>
        <v>67150.0</v>
      </c>
      <c r="R37" s="34" t="s">
        <v>49</v>
      </c>
      <c r="S37" s="35" t="n">
        <f>63495</f>
        <v>63495.0</v>
      </c>
      <c r="T37" s="32" t="n">
        <f>104863</f>
        <v>104863.0</v>
      </c>
      <c r="U37" s="32" t="n">
        <f>78800</f>
        <v>78800.0</v>
      </c>
      <c r="V37" s="32" t="n">
        <f>6526335563</f>
        <v>6.526335563E9</v>
      </c>
      <c r="W37" s="32" t="n">
        <f>4893676573</f>
        <v>4.893676573E9</v>
      </c>
      <c r="X37" s="36" t="n">
        <f>18</f>
        <v>18.0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1931</f>
        <v>1931.0</v>
      </c>
      <c r="L38" s="34" t="s">
        <v>48</v>
      </c>
      <c r="M38" s="33" t="n">
        <f>1946.5</f>
        <v>1946.5</v>
      </c>
      <c r="N38" s="34" t="s">
        <v>67</v>
      </c>
      <c r="O38" s="33" t="n">
        <f>1843</f>
        <v>1843.0</v>
      </c>
      <c r="P38" s="34" t="s">
        <v>104</v>
      </c>
      <c r="Q38" s="33" t="n">
        <f>1893.5</f>
        <v>1893.5</v>
      </c>
      <c r="R38" s="34" t="s">
        <v>49</v>
      </c>
      <c r="S38" s="35" t="n">
        <f>1882.83</f>
        <v>1882.83</v>
      </c>
      <c r="T38" s="32" t="n">
        <f>28748570</f>
        <v>2.874857E7</v>
      </c>
      <c r="U38" s="32" t="n">
        <f>1930340</f>
        <v>1930340.0</v>
      </c>
      <c r="V38" s="32" t="n">
        <f>53814804489</f>
        <v>5.3814804489E10</v>
      </c>
      <c r="W38" s="32" t="n">
        <f>3616211149</f>
        <v>3.616211149E9</v>
      </c>
      <c r="X38" s="36" t="n">
        <f>18</f>
        <v>18.0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2919</f>
        <v>2919.0</v>
      </c>
      <c r="L39" s="34" t="s">
        <v>48</v>
      </c>
      <c r="M39" s="33" t="n">
        <f>3020</f>
        <v>3020.0</v>
      </c>
      <c r="N39" s="34" t="s">
        <v>49</v>
      </c>
      <c r="O39" s="33" t="n">
        <f>2840</f>
        <v>2840.0</v>
      </c>
      <c r="P39" s="34" t="s">
        <v>48</v>
      </c>
      <c r="Q39" s="33" t="n">
        <f>3020</f>
        <v>3020.0</v>
      </c>
      <c r="R39" s="34" t="s">
        <v>49</v>
      </c>
      <c r="S39" s="35" t="n">
        <f>2929.67</f>
        <v>2929.67</v>
      </c>
      <c r="T39" s="32" t="n">
        <f>6624</f>
        <v>6624.0</v>
      </c>
      <c r="U39" s="32" t="n">
        <f>28</f>
        <v>28.0</v>
      </c>
      <c r="V39" s="32" t="n">
        <f>19385336</f>
        <v>1.9385336E7</v>
      </c>
      <c r="W39" s="32" t="n">
        <f>82232</f>
        <v>82232.0</v>
      </c>
      <c r="X39" s="36" t="n">
        <f>18</f>
        <v>18.0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2000</f>
        <v>2000.0</v>
      </c>
      <c r="L40" s="34" t="s">
        <v>48</v>
      </c>
      <c r="M40" s="33" t="n">
        <f>2017</f>
        <v>2017.0</v>
      </c>
      <c r="N40" s="34" t="s">
        <v>69</v>
      </c>
      <c r="O40" s="33" t="n">
        <f>1927</f>
        <v>1927.0</v>
      </c>
      <c r="P40" s="34" t="s">
        <v>48</v>
      </c>
      <c r="Q40" s="33" t="n">
        <f>1990</f>
        <v>1990.0</v>
      </c>
      <c r="R40" s="34" t="s">
        <v>49</v>
      </c>
      <c r="S40" s="35" t="n">
        <f>1995.56</f>
        <v>1995.56</v>
      </c>
      <c r="T40" s="32" t="n">
        <f>16968</f>
        <v>16968.0</v>
      </c>
      <c r="U40" s="32" t="n">
        <f>10</f>
        <v>10.0</v>
      </c>
      <c r="V40" s="32" t="n">
        <f>33868027</f>
        <v>3.3868027E7</v>
      </c>
      <c r="W40" s="32" t="n">
        <f>19910</f>
        <v>19910.0</v>
      </c>
      <c r="X40" s="36" t="n">
        <f>18</f>
        <v>18.0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1443</f>
        <v>1443.0</v>
      </c>
      <c r="L41" s="34" t="s">
        <v>48</v>
      </c>
      <c r="M41" s="33" t="n">
        <f>1450</f>
        <v>1450.0</v>
      </c>
      <c r="N41" s="34" t="s">
        <v>48</v>
      </c>
      <c r="O41" s="33" t="n">
        <f>1285</f>
        <v>1285.0</v>
      </c>
      <c r="P41" s="34" t="s">
        <v>68</v>
      </c>
      <c r="Q41" s="33" t="n">
        <f>1291</f>
        <v>1291.0</v>
      </c>
      <c r="R41" s="34" t="s">
        <v>49</v>
      </c>
      <c r="S41" s="35" t="n">
        <f>1366.61</f>
        <v>1366.61</v>
      </c>
      <c r="T41" s="32" t="n">
        <f>4136578</f>
        <v>4136578.0</v>
      </c>
      <c r="U41" s="32" t="n">
        <f>2609601</f>
        <v>2609601.0</v>
      </c>
      <c r="V41" s="32" t="n">
        <f>5559137621</f>
        <v>5.559137621E9</v>
      </c>
      <c r="W41" s="32" t="n">
        <f>3462592465</f>
        <v>3.462592465E9</v>
      </c>
      <c r="X41" s="36" t="n">
        <f>18</f>
        <v>18.0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1965</f>
        <v>1965.0</v>
      </c>
      <c r="L42" s="34" t="s">
        <v>48</v>
      </c>
      <c r="M42" s="33" t="n">
        <f>1977</f>
        <v>1977.0</v>
      </c>
      <c r="N42" s="34" t="s">
        <v>48</v>
      </c>
      <c r="O42" s="33" t="n">
        <f>1827</f>
        <v>1827.0</v>
      </c>
      <c r="P42" s="34" t="s">
        <v>49</v>
      </c>
      <c r="Q42" s="33" t="n">
        <f>1850</f>
        <v>1850.0</v>
      </c>
      <c r="R42" s="34" t="s">
        <v>49</v>
      </c>
      <c r="S42" s="35" t="n">
        <f>1885.39</f>
        <v>1885.39</v>
      </c>
      <c r="T42" s="32" t="n">
        <f>1545053</f>
        <v>1545053.0</v>
      </c>
      <c r="U42" s="32" t="n">
        <f>1274361</f>
        <v>1274361.0</v>
      </c>
      <c r="V42" s="32" t="n">
        <f>2922881542</f>
        <v>2.922881542E9</v>
      </c>
      <c r="W42" s="32" t="n">
        <f>2412302134</f>
        <v>2.412302134E9</v>
      </c>
      <c r="X42" s="36" t="n">
        <f>18</f>
        <v>18.0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70260</f>
        <v>70260.0</v>
      </c>
      <c r="L43" s="34" t="s">
        <v>48</v>
      </c>
      <c r="M43" s="33" t="n">
        <f>86500</f>
        <v>86500.0</v>
      </c>
      <c r="N43" s="34" t="s">
        <v>68</v>
      </c>
      <c r="O43" s="33" t="n">
        <f>69000</f>
        <v>69000.0</v>
      </c>
      <c r="P43" s="34" t="s">
        <v>69</v>
      </c>
      <c r="Q43" s="33" t="n">
        <f>85970</f>
        <v>85970.0</v>
      </c>
      <c r="R43" s="34" t="s">
        <v>49</v>
      </c>
      <c r="S43" s="35" t="n">
        <f>77477.78</f>
        <v>77477.78</v>
      </c>
      <c r="T43" s="32" t="n">
        <f>3497263</f>
        <v>3497263.0</v>
      </c>
      <c r="U43" s="32" t="n">
        <f>11348</f>
        <v>11348.0</v>
      </c>
      <c r="V43" s="32" t="n">
        <f>270659780699</f>
        <v>2.70659780699E11</v>
      </c>
      <c r="W43" s="32" t="n">
        <f>899839219</f>
        <v>8.99839219E8</v>
      </c>
      <c r="X43" s="36" t="n">
        <f>18</f>
        <v>18.0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151</f>
        <v>151.0</v>
      </c>
      <c r="L44" s="34" t="s">
        <v>48</v>
      </c>
      <c r="M44" s="33" t="n">
        <f>153</f>
        <v>153.0</v>
      </c>
      <c r="N44" s="34" t="s">
        <v>48</v>
      </c>
      <c r="O44" s="33" t="n">
        <f>118</f>
        <v>118.0</v>
      </c>
      <c r="P44" s="34" t="s">
        <v>49</v>
      </c>
      <c r="Q44" s="33" t="n">
        <f>119</f>
        <v>119.0</v>
      </c>
      <c r="R44" s="34" t="s">
        <v>49</v>
      </c>
      <c r="S44" s="35" t="n">
        <f>135.11</f>
        <v>135.11</v>
      </c>
      <c r="T44" s="32" t="n">
        <f>262041226</f>
        <v>2.62041226E8</v>
      </c>
      <c r="U44" s="32" t="n">
        <f>5474018</f>
        <v>5474018.0</v>
      </c>
      <c r="V44" s="32" t="n">
        <f>35364616089</f>
        <v>3.5364616089E10</v>
      </c>
      <c r="W44" s="32" t="n">
        <f>729591367</f>
        <v>7.29591367E8</v>
      </c>
      <c r="X44" s="36" t="n">
        <f>18</f>
        <v>18.0</v>
      </c>
    </row>
    <row r="45">
      <c r="A45" s="27" t="s">
        <v>42</v>
      </c>
      <c r="B45" s="27" t="s">
        <v>172</v>
      </c>
      <c r="C45" s="27" t="s">
        <v>173</v>
      </c>
      <c r="D45" s="27" t="s">
        <v>174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240</f>
        <v>240.0</v>
      </c>
      <c r="L45" s="34" t="s">
        <v>48</v>
      </c>
      <c r="M45" s="33" t="n">
        <f>244</f>
        <v>244.0</v>
      </c>
      <c r="N45" s="34" t="s">
        <v>48</v>
      </c>
      <c r="O45" s="33" t="n">
        <f>210</f>
        <v>210.0</v>
      </c>
      <c r="P45" s="34" t="s">
        <v>49</v>
      </c>
      <c r="Q45" s="33" t="n">
        <f>213</f>
        <v>213.0</v>
      </c>
      <c r="R45" s="34" t="s">
        <v>49</v>
      </c>
      <c r="S45" s="35" t="n">
        <f>224.44</f>
        <v>224.44</v>
      </c>
      <c r="T45" s="32" t="n">
        <f>97990</f>
        <v>97990.0</v>
      </c>
      <c r="U45" s="32" t="str">
        <f>"－"</f>
        <v>－</v>
      </c>
      <c r="V45" s="32" t="n">
        <f>21777795</f>
        <v>2.1777795E7</v>
      </c>
      <c r="W45" s="32" t="str">
        <f>"－"</f>
        <v>－</v>
      </c>
      <c r="X45" s="36" t="n">
        <f>18</f>
        <v>18.0</v>
      </c>
    </row>
    <row r="46">
      <c r="A46" s="27" t="s">
        <v>42</v>
      </c>
      <c r="B46" s="27" t="s">
        <v>175</v>
      </c>
      <c r="C46" s="27" t="s">
        <v>176</v>
      </c>
      <c r="D46" s="27" t="s">
        <v>177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229.9</f>
        <v>229.9</v>
      </c>
      <c r="L46" s="34" t="s">
        <v>48</v>
      </c>
      <c r="M46" s="33" t="n">
        <f>232</f>
        <v>232.0</v>
      </c>
      <c r="N46" s="34" t="s">
        <v>48</v>
      </c>
      <c r="O46" s="33" t="n">
        <f>199.7</f>
        <v>199.7</v>
      </c>
      <c r="P46" s="34" t="s">
        <v>49</v>
      </c>
      <c r="Q46" s="33" t="n">
        <f>200.1</f>
        <v>200.1</v>
      </c>
      <c r="R46" s="34" t="s">
        <v>49</v>
      </c>
      <c r="S46" s="35" t="n">
        <f>211.84</f>
        <v>211.84</v>
      </c>
      <c r="T46" s="32" t="n">
        <f>189410</f>
        <v>189410.0</v>
      </c>
      <c r="U46" s="32" t="n">
        <f>5440</f>
        <v>5440.0</v>
      </c>
      <c r="V46" s="32" t="n">
        <f>40335509</f>
        <v>4.0335509E7</v>
      </c>
      <c r="W46" s="32" t="n">
        <f>1219980</f>
        <v>1219980.0</v>
      </c>
      <c r="X46" s="36" t="n">
        <f>18</f>
        <v>18.0</v>
      </c>
    </row>
    <row r="47">
      <c r="A47" s="27" t="s">
        <v>42</v>
      </c>
      <c r="B47" s="27" t="s">
        <v>178</v>
      </c>
      <c r="C47" s="27" t="s">
        <v>179</v>
      </c>
      <c r="D47" s="27" t="s">
        <v>180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95</f>
        <v>95.0</v>
      </c>
      <c r="L47" s="34" t="s">
        <v>48</v>
      </c>
      <c r="M47" s="33" t="n">
        <f>96</f>
        <v>96.0</v>
      </c>
      <c r="N47" s="34" t="s">
        <v>48</v>
      </c>
      <c r="O47" s="33" t="n">
        <f>82</f>
        <v>82.0</v>
      </c>
      <c r="P47" s="34" t="s">
        <v>49</v>
      </c>
      <c r="Q47" s="33" t="n">
        <f>84</f>
        <v>84.0</v>
      </c>
      <c r="R47" s="34" t="s">
        <v>49</v>
      </c>
      <c r="S47" s="35" t="n">
        <f>87.33</f>
        <v>87.33</v>
      </c>
      <c r="T47" s="32" t="n">
        <f>223724</f>
        <v>223724.0</v>
      </c>
      <c r="U47" s="32" t="str">
        <f>"－"</f>
        <v>－</v>
      </c>
      <c r="V47" s="32" t="n">
        <f>19474290</f>
        <v>1.947429E7</v>
      </c>
      <c r="W47" s="32" t="str">
        <f>"－"</f>
        <v>－</v>
      </c>
      <c r="X47" s="36" t="n">
        <f>18</f>
        <v>18.0</v>
      </c>
    </row>
    <row r="48">
      <c r="A48" s="27" t="s">
        <v>42</v>
      </c>
      <c r="B48" s="27" t="s">
        <v>181</v>
      </c>
      <c r="C48" s="27" t="s">
        <v>182</v>
      </c>
      <c r="D48" s="27" t="s">
        <v>183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3819</f>
        <v>3819.0</v>
      </c>
      <c r="L48" s="34" t="s">
        <v>48</v>
      </c>
      <c r="M48" s="33" t="n">
        <f>4092</f>
        <v>4092.0</v>
      </c>
      <c r="N48" s="34" t="s">
        <v>49</v>
      </c>
      <c r="O48" s="33" t="n">
        <f>3795</f>
        <v>3795.0</v>
      </c>
      <c r="P48" s="34" t="s">
        <v>48</v>
      </c>
      <c r="Q48" s="33" t="n">
        <f>4081</f>
        <v>4081.0</v>
      </c>
      <c r="R48" s="34" t="s">
        <v>49</v>
      </c>
      <c r="S48" s="35" t="n">
        <f>3976.5</f>
        <v>3976.5</v>
      </c>
      <c r="T48" s="32" t="n">
        <f>3355050</f>
        <v>3355050.0</v>
      </c>
      <c r="U48" s="32" t="n">
        <f>3064240</f>
        <v>3064240.0</v>
      </c>
      <c r="V48" s="32" t="n">
        <f>13366389571</f>
        <v>1.3366389571E10</v>
      </c>
      <c r="W48" s="32" t="n">
        <f>12210614171</f>
        <v>1.2210614171E10</v>
      </c>
      <c r="X48" s="36" t="n">
        <f>18</f>
        <v>18.0</v>
      </c>
    </row>
    <row r="49">
      <c r="A49" s="27" t="s">
        <v>42</v>
      </c>
      <c r="B49" s="27" t="s">
        <v>184</v>
      </c>
      <c r="C49" s="27" t="s">
        <v>185</v>
      </c>
      <c r="D49" s="27" t="s">
        <v>186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34360</f>
        <v>34360.0</v>
      </c>
      <c r="L49" s="34" t="s">
        <v>48</v>
      </c>
      <c r="M49" s="33" t="n">
        <f>36960</f>
        <v>36960.0</v>
      </c>
      <c r="N49" s="34" t="s">
        <v>49</v>
      </c>
      <c r="O49" s="33" t="n">
        <f>34360</f>
        <v>34360.0</v>
      </c>
      <c r="P49" s="34" t="s">
        <v>48</v>
      </c>
      <c r="Q49" s="33" t="n">
        <f>36940</f>
        <v>36940.0</v>
      </c>
      <c r="R49" s="34" t="s">
        <v>49</v>
      </c>
      <c r="S49" s="35" t="n">
        <f>35907.78</f>
        <v>35907.78</v>
      </c>
      <c r="T49" s="32" t="n">
        <f>81426</f>
        <v>81426.0</v>
      </c>
      <c r="U49" s="32" t="n">
        <f>58805</f>
        <v>58805.0</v>
      </c>
      <c r="V49" s="32" t="n">
        <f>2921346628</f>
        <v>2.921346628E9</v>
      </c>
      <c r="W49" s="32" t="n">
        <f>2112969448</f>
        <v>2.112969448E9</v>
      </c>
      <c r="X49" s="36" t="n">
        <f>18</f>
        <v>18.0</v>
      </c>
    </row>
    <row r="50">
      <c r="A50" s="27" t="s">
        <v>42</v>
      </c>
      <c r="B50" s="27" t="s">
        <v>187</v>
      </c>
      <c r="C50" s="27" t="s">
        <v>188</v>
      </c>
      <c r="D50" s="27" t="s">
        <v>189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385.2</f>
        <v>385.2</v>
      </c>
      <c r="L50" s="34" t="s">
        <v>48</v>
      </c>
      <c r="M50" s="33" t="n">
        <f>412.9</f>
        <v>412.9</v>
      </c>
      <c r="N50" s="34" t="s">
        <v>49</v>
      </c>
      <c r="O50" s="33" t="n">
        <f>382.1</f>
        <v>382.1</v>
      </c>
      <c r="P50" s="34" t="s">
        <v>48</v>
      </c>
      <c r="Q50" s="33" t="n">
        <f>409.4</f>
        <v>409.4</v>
      </c>
      <c r="R50" s="34" t="s">
        <v>49</v>
      </c>
      <c r="S50" s="35" t="n">
        <f>400.54</f>
        <v>400.54</v>
      </c>
      <c r="T50" s="32" t="n">
        <f>98898530</f>
        <v>9.889853E7</v>
      </c>
      <c r="U50" s="32" t="n">
        <f>36428870</f>
        <v>3.642887E7</v>
      </c>
      <c r="V50" s="32" t="n">
        <f>39541471214</f>
        <v>3.9541471214E10</v>
      </c>
      <c r="W50" s="32" t="n">
        <f>14535854176</f>
        <v>1.4535854176E10</v>
      </c>
      <c r="X50" s="36" t="n">
        <f>18</f>
        <v>18.0</v>
      </c>
    </row>
    <row r="51">
      <c r="A51" s="27" t="s">
        <v>42</v>
      </c>
      <c r="B51" s="27" t="s">
        <v>190</v>
      </c>
      <c r="C51" s="27" t="s">
        <v>191</v>
      </c>
      <c r="D51" s="27" t="s">
        <v>192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1961</f>
        <v>1961.0</v>
      </c>
      <c r="L51" s="34" t="s">
        <v>48</v>
      </c>
      <c r="M51" s="33" t="n">
        <f>1964</f>
        <v>1964.0</v>
      </c>
      <c r="N51" s="34" t="s">
        <v>48</v>
      </c>
      <c r="O51" s="33" t="n">
        <f>1844</f>
        <v>1844.0</v>
      </c>
      <c r="P51" s="34" t="s">
        <v>104</v>
      </c>
      <c r="Q51" s="33" t="n">
        <f>1867</f>
        <v>1867.0</v>
      </c>
      <c r="R51" s="34" t="s">
        <v>49</v>
      </c>
      <c r="S51" s="35" t="n">
        <f>1882.83</f>
        <v>1882.83</v>
      </c>
      <c r="T51" s="32" t="n">
        <f>6916268</f>
        <v>6916268.0</v>
      </c>
      <c r="U51" s="32" t="n">
        <f>4178033</f>
        <v>4178033.0</v>
      </c>
      <c r="V51" s="32" t="n">
        <f>12978245782</f>
        <v>1.2978245782E10</v>
      </c>
      <c r="W51" s="32" t="n">
        <f>7810747847</f>
        <v>7.810747847E9</v>
      </c>
      <c r="X51" s="36" t="n">
        <f>18</f>
        <v>18.0</v>
      </c>
    </row>
    <row r="52">
      <c r="A52" s="27" t="s">
        <v>42</v>
      </c>
      <c r="B52" s="27" t="s">
        <v>193</v>
      </c>
      <c r="C52" s="27" t="s">
        <v>194</v>
      </c>
      <c r="D52" s="27" t="s">
        <v>195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3121</f>
        <v>3121.0</v>
      </c>
      <c r="L52" s="34" t="s">
        <v>48</v>
      </c>
      <c r="M52" s="33" t="n">
        <f>3240</f>
        <v>3240.0</v>
      </c>
      <c r="N52" s="34" t="s">
        <v>196</v>
      </c>
      <c r="O52" s="33" t="n">
        <f>3070</f>
        <v>3070.0</v>
      </c>
      <c r="P52" s="34" t="s">
        <v>87</v>
      </c>
      <c r="Q52" s="33" t="n">
        <f>3210</f>
        <v>3210.0</v>
      </c>
      <c r="R52" s="34" t="s">
        <v>49</v>
      </c>
      <c r="S52" s="35" t="n">
        <f>3177.61</f>
        <v>3177.61</v>
      </c>
      <c r="T52" s="32" t="n">
        <f>605063</f>
        <v>605063.0</v>
      </c>
      <c r="U52" s="32" t="n">
        <f>486589</f>
        <v>486589.0</v>
      </c>
      <c r="V52" s="32" t="n">
        <f>1913229971</f>
        <v>1.913229971E9</v>
      </c>
      <c r="W52" s="32" t="n">
        <f>1539771539</f>
        <v>1.539771539E9</v>
      </c>
      <c r="X52" s="36" t="n">
        <f>18</f>
        <v>18.0</v>
      </c>
    </row>
    <row r="53">
      <c r="A53" s="27" t="s">
        <v>42</v>
      </c>
      <c r="B53" s="27" t="s">
        <v>197</v>
      </c>
      <c r="C53" s="27" t="s">
        <v>198</v>
      </c>
      <c r="D53" s="27" t="s">
        <v>199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4916</f>
        <v>4916.0</v>
      </c>
      <c r="L53" s="34" t="s">
        <v>48</v>
      </c>
      <c r="M53" s="33" t="n">
        <f>5143</f>
        <v>5143.0</v>
      </c>
      <c r="N53" s="34" t="s">
        <v>117</v>
      </c>
      <c r="O53" s="33" t="n">
        <f>4888</f>
        <v>4888.0</v>
      </c>
      <c r="P53" s="34" t="s">
        <v>48</v>
      </c>
      <c r="Q53" s="33" t="n">
        <f>5060</f>
        <v>5060.0</v>
      </c>
      <c r="R53" s="34" t="s">
        <v>49</v>
      </c>
      <c r="S53" s="35" t="n">
        <f>5014.78</f>
        <v>5014.78</v>
      </c>
      <c r="T53" s="32" t="n">
        <f>2118466</f>
        <v>2118466.0</v>
      </c>
      <c r="U53" s="32" t="n">
        <f>930743</f>
        <v>930743.0</v>
      </c>
      <c r="V53" s="32" t="n">
        <f>10646016091</f>
        <v>1.0646016091E10</v>
      </c>
      <c r="W53" s="32" t="n">
        <f>4667703936</f>
        <v>4.667703936E9</v>
      </c>
      <c r="X53" s="36" t="n">
        <f>18</f>
        <v>18.0</v>
      </c>
    </row>
    <row r="54">
      <c r="A54" s="27" t="s">
        <v>42</v>
      </c>
      <c r="B54" s="27" t="s">
        <v>200</v>
      </c>
      <c r="C54" s="27" t="s">
        <v>201</v>
      </c>
      <c r="D54" s="27" t="s">
        <v>202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46260</f>
        <v>46260.0</v>
      </c>
      <c r="L54" s="34" t="s">
        <v>203</v>
      </c>
      <c r="M54" s="33" t="n">
        <f>52400</f>
        <v>52400.0</v>
      </c>
      <c r="N54" s="34" t="s">
        <v>204</v>
      </c>
      <c r="O54" s="33" t="n">
        <f>46000</f>
        <v>46000.0</v>
      </c>
      <c r="P54" s="34" t="s">
        <v>205</v>
      </c>
      <c r="Q54" s="33" t="n">
        <f>51810</f>
        <v>51810.0</v>
      </c>
      <c r="R54" s="34" t="s">
        <v>49</v>
      </c>
      <c r="S54" s="35" t="n">
        <f>49270</f>
        <v>49270.0</v>
      </c>
      <c r="T54" s="32" t="n">
        <f>57</f>
        <v>57.0</v>
      </c>
      <c r="U54" s="32" t="n">
        <f>11</f>
        <v>11.0</v>
      </c>
      <c r="V54" s="32" t="n">
        <f>2775600</f>
        <v>2775600.0</v>
      </c>
      <c r="W54" s="32" t="n">
        <f>511520</f>
        <v>511520.0</v>
      </c>
      <c r="X54" s="36" t="n">
        <f>8</f>
        <v>8.0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37560</f>
        <v>37560.0</v>
      </c>
      <c r="L55" s="34" t="s">
        <v>67</v>
      </c>
      <c r="M55" s="33" t="n">
        <f>38810</f>
        <v>38810.0</v>
      </c>
      <c r="N55" s="34" t="s">
        <v>49</v>
      </c>
      <c r="O55" s="33" t="n">
        <f>36680</f>
        <v>36680.0</v>
      </c>
      <c r="P55" s="34" t="s">
        <v>209</v>
      </c>
      <c r="Q55" s="33" t="n">
        <f>38810</f>
        <v>38810.0</v>
      </c>
      <c r="R55" s="34" t="s">
        <v>49</v>
      </c>
      <c r="S55" s="35" t="n">
        <f>37841.67</f>
        <v>37841.67</v>
      </c>
      <c r="T55" s="32" t="n">
        <f>131</f>
        <v>131.0</v>
      </c>
      <c r="U55" s="32" t="n">
        <f>2</f>
        <v>2.0</v>
      </c>
      <c r="V55" s="32" t="n">
        <f>4988205</f>
        <v>4988205.0</v>
      </c>
      <c r="W55" s="32" t="n">
        <f>76125</f>
        <v>76125.0</v>
      </c>
      <c r="X55" s="36" t="n">
        <f>12</f>
        <v>12.0</v>
      </c>
    </row>
    <row r="56">
      <c r="A56" s="27" t="s">
        <v>42</v>
      </c>
      <c r="B56" s="27" t="s">
        <v>210</v>
      </c>
      <c r="C56" s="27" t="s">
        <v>211</v>
      </c>
      <c r="D56" s="27" t="s">
        <v>212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3351</f>
        <v>3351.0</v>
      </c>
      <c r="L56" s="34" t="s">
        <v>48</v>
      </c>
      <c r="M56" s="33" t="n">
        <f>3522</f>
        <v>3522.0</v>
      </c>
      <c r="N56" s="34" t="s">
        <v>49</v>
      </c>
      <c r="O56" s="33" t="n">
        <f>3319</f>
        <v>3319.0</v>
      </c>
      <c r="P56" s="34" t="s">
        <v>48</v>
      </c>
      <c r="Q56" s="33" t="n">
        <f>3522</f>
        <v>3522.0</v>
      </c>
      <c r="R56" s="34" t="s">
        <v>49</v>
      </c>
      <c r="S56" s="35" t="n">
        <f>3453.15</f>
        <v>3453.15</v>
      </c>
      <c r="T56" s="32" t="n">
        <f>1154</f>
        <v>1154.0</v>
      </c>
      <c r="U56" s="32" t="n">
        <f>4</f>
        <v>4.0</v>
      </c>
      <c r="V56" s="32" t="n">
        <f>3915738</f>
        <v>3915738.0</v>
      </c>
      <c r="W56" s="32" t="n">
        <f>13844</f>
        <v>13844.0</v>
      </c>
      <c r="X56" s="36" t="n">
        <f>13</f>
        <v>13.0</v>
      </c>
    </row>
    <row r="57">
      <c r="A57" s="27" t="s">
        <v>42</v>
      </c>
      <c r="B57" s="27" t="s">
        <v>213</v>
      </c>
      <c r="C57" s="27" t="s">
        <v>214</v>
      </c>
      <c r="D57" s="27" t="s">
        <v>215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1582</f>
        <v>1582.0</v>
      </c>
      <c r="L57" s="34" t="s">
        <v>48</v>
      </c>
      <c r="M57" s="33" t="n">
        <f>1588</f>
        <v>1588.0</v>
      </c>
      <c r="N57" s="34" t="s">
        <v>67</v>
      </c>
      <c r="O57" s="33" t="n">
        <f>1551</f>
        <v>1551.0</v>
      </c>
      <c r="P57" s="34" t="s">
        <v>69</v>
      </c>
      <c r="Q57" s="33" t="n">
        <f>1576</f>
        <v>1576.0</v>
      </c>
      <c r="R57" s="34" t="s">
        <v>49</v>
      </c>
      <c r="S57" s="35" t="n">
        <f>1571.39</f>
        <v>1571.39</v>
      </c>
      <c r="T57" s="32" t="n">
        <f>5056464</f>
        <v>5056464.0</v>
      </c>
      <c r="U57" s="32" t="n">
        <f>3604451</f>
        <v>3604451.0</v>
      </c>
      <c r="V57" s="32" t="n">
        <f>7943783125</f>
        <v>7.943783125E9</v>
      </c>
      <c r="W57" s="32" t="n">
        <f>5658699115</f>
        <v>5.658699115E9</v>
      </c>
      <c r="X57" s="36" t="n">
        <f>18</f>
        <v>18.0</v>
      </c>
    </row>
    <row r="58">
      <c r="A58" s="27" t="s">
        <v>42</v>
      </c>
      <c r="B58" s="27" t="s">
        <v>216</v>
      </c>
      <c r="C58" s="27" t="s">
        <v>217</v>
      </c>
      <c r="D58" s="27" t="s">
        <v>218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3299</f>
        <v>3299.0</v>
      </c>
      <c r="L58" s="34" t="s">
        <v>48</v>
      </c>
      <c r="M58" s="33" t="n">
        <f>3494</f>
        <v>3494.0</v>
      </c>
      <c r="N58" s="34" t="s">
        <v>49</v>
      </c>
      <c r="O58" s="33" t="n">
        <f>3299</f>
        <v>3299.0</v>
      </c>
      <c r="P58" s="34" t="s">
        <v>48</v>
      </c>
      <c r="Q58" s="33" t="n">
        <f>3494</f>
        <v>3494.0</v>
      </c>
      <c r="R58" s="34" t="s">
        <v>49</v>
      </c>
      <c r="S58" s="35" t="n">
        <f>3419.92</f>
        <v>3419.92</v>
      </c>
      <c r="T58" s="32" t="n">
        <f>1063</f>
        <v>1063.0</v>
      </c>
      <c r="U58" s="32" t="str">
        <f>"－"</f>
        <v>－</v>
      </c>
      <c r="V58" s="32" t="n">
        <f>3586677</f>
        <v>3586677.0</v>
      </c>
      <c r="W58" s="32" t="str">
        <f>"－"</f>
        <v>－</v>
      </c>
      <c r="X58" s="36" t="n">
        <f>13</f>
        <v>13.0</v>
      </c>
    </row>
    <row r="59">
      <c r="A59" s="27" t="s">
        <v>42</v>
      </c>
      <c r="B59" s="27" t="s">
        <v>219</v>
      </c>
      <c r="C59" s="27" t="s">
        <v>220</v>
      </c>
      <c r="D59" s="27" t="s">
        <v>221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3285</f>
        <v>3285.0</v>
      </c>
      <c r="L59" s="34" t="s">
        <v>48</v>
      </c>
      <c r="M59" s="33" t="n">
        <f>3525</f>
        <v>3525.0</v>
      </c>
      <c r="N59" s="34" t="s">
        <v>49</v>
      </c>
      <c r="O59" s="33" t="n">
        <f>3285</f>
        <v>3285.0</v>
      </c>
      <c r="P59" s="34" t="s">
        <v>48</v>
      </c>
      <c r="Q59" s="33" t="n">
        <f>3525</f>
        <v>3525.0</v>
      </c>
      <c r="R59" s="34" t="s">
        <v>49</v>
      </c>
      <c r="S59" s="35" t="n">
        <f>3440.07</f>
        <v>3440.07</v>
      </c>
      <c r="T59" s="32" t="n">
        <f>2910</f>
        <v>2910.0</v>
      </c>
      <c r="U59" s="32" t="n">
        <f>10</f>
        <v>10.0</v>
      </c>
      <c r="V59" s="32" t="n">
        <f>10071280</f>
        <v>1.007128E7</v>
      </c>
      <c r="W59" s="32" t="n">
        <f>34490</f>
        <v>34490.0</v>
      </c>
      <c r="X59" s="36" t="n">
        <f>14</f>
        <v>14.0</v>
      </c>
    </row>
    <row r="60">
      <c r="A60" s="27" t="s">
        <v>42</v>
      </c>
      <c r="B60" s="27" t="s">
        <v>222</v>
      </c>
      <c r="C60" s="27" t="s">
        <v>223</v>
      </c>
      <c r="D60" s="27" t="s">
        <v>224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52000</f>
        <v>52000.0</v>
      </c>
      <c r="L60" s="34" t="s">
        <v>67</v>
      </c>
      <c r="M60" s="33" t="n">
        <f>52200</f>
        <v>52200.0</v>
      </c>
      <c r="N60" s="34" t="s">
        <v>67</v>
      </c>
      <c r="O60" s="33" t="n">
        <f>49600</f>
        <v>49600.0</v>
      </c>
      <c r="P60" s="34" t="s">
        <v>196</v>
      </c>
      <c r="Q60" s="33" t="n">
        <f>51500</f>
        <v>51500.0</v>
      </c>
      <c r="R60" s="34" t="s">
        <v>104</v>
      </c>
      <c r="S60" s="35" t="n">
        <f>50822.86</f>
        <v>50822.86</v>
      </c>
      <c r="T60" s="32" t="n">
        <f>233</f>
        <v>233.0</v>
      </c>
      <c r="U60" s="32" t="n">
        <f>1</f>
        <v>1.0</v>
      </c>
      <c r="V60" s="32" t="n">
        <f>11750200</f>
        <v>1.17502E7</v>
      </c>
      <c r="W60" s="32" t="n">
        <f>50000</f>
        <v>50000.0</v>
      </c>
      <c r="X60" s="36" t="n">
        <f>7</f>
        <v>7.0</v>
      </c>
    </row>
    <row r="61">
      <c r="A61" s="27" t="s">
        <v>42</v>
      </c>
      <c r="B61" s="27" t="s">
        <v>225</v>
      </c>
      <c r="C61" s="27" t="s">
        <v>226</v>
      </c>
      <c r="D61" s="27" t="s">
        <v>227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24245</f>
        <v>24245.0</v>
      </c>
      <c r="L61" s="34" t="s">
        <v>48</v>
      </c>
      <c r="M61" s="33" t="n">
        <f>24565</f>
        <v>24565.0</v>
      </c>
      <c r="N61" s="34" t="s">
        <v>49</v>
      </c>
      <c r="O61" s="33" t="n">
        <f>24070</f>
        <v>24070.0</v>
      </c>
      <c r="P61" s="34" t="s">
        <v>69</v>
      </c>
      <c r="Q61" s="33" t="n">
        <f>24520</f>
        <v>24520.0</v>
      </c>
      <c r="R61" s="34" t="s">
        <v>49</v>
      </c>
      <c r="S61" s="35" t="n">
        <f>24281.94</f>
        <v>24281.94</v>
      </c>
      <c r="T61" s="32" t="n">
        <f>75450</f>
        <v>75450.0</v>
      </c>
      <c r="U61" s="32" t="n">
        <f>37503</f>
        <v>37503.0</v>
      </c>
      <c r="V61" s="32" t="n">
        <f>1831257757</f>
        <v>1.831257757E9</v>
      </c>
      <c r="W61" s="32" t="n">
        <f>908730262</f>
        <v>9.08730262E8</v>
      </c>
      <c r="X61" s="36" t="n">
        <f>18</f>
        <v>18.0</v>
      </c>
    </row>
    <row r="62">
      <c r="A62" s="27" t="s">
        <v>42</v>
      </c>
      <c r="B62" s="27" t="s">
        <v>228</v>
      </c>
      <c r="C62" s="27" t="s">
        <v>229</v>
      </c>
      <c r="D62" s="27" t="s">
        <v>230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12250</f>
        <v>12250.0</v>
      </c>
      <c r="L62" s="34" t="s">
        <v>48</v>
      </c>
      <c r="M62" s="33" t="n">
        <f>12290</f>
        <v>12290.0</v>
      </c>
      <c r="N62" s="34" t="s">
        <v>67</v>
      </c>
      <c r="O62" s="33" t="n">
        <f>12010</f>
        <v>12010.0</v>
      </c>
      <c r="P62" s="34" t="s">
        <v>69</v>
      </c>
      <c r="Q62" s="33" t="n">
        <f>12205</f>
        <v>12205.0</v>
      </c>
      <c r="R62" s="34" t="s">
        <v>49</v>
      </c>
      <c r="S62" s="35" t="n">
        <f>12167.22</f>
        <v>12167.22</v>
      </c>
      <c r="T62" s="32" t="n">
        <f>369100</f>
        <v>369100.0</v>
      </c>
      <c r="U62" s="32" t="n">
        <f>298850</f>
        <v>298850.0</v>
      </c>
      <c r="V62" s="32" t="n">
        <f>4498972798</f>
        <v>4.498972798E9</v>
      </c>
      <c r="W62" s="32" t="n">
        <f>3638471193</f>
        <v>3.638471193E9</v>
      </c>
      <c r="X62" s="36" t="n">
        <f>18</f>
        <v>18.0</v>
      </c>
    </row>
    <row r="63">
      <c r="A63" s="27" t="s">
        <v>42</v>
      </c>
      <c r="B63" s="27" t="s">
        <v>231</v>
      </c>
      <c r="C63" s="27" t="s">
        <v>232</v>
      </c>
      <c r="D63" s="27" t="s">
        <v>233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1952</f>
        <v>1952.0</v>
      </c>
      <c r="L63" s="34" t="s">
        <v>48</v>
      </c>
      <c r="M63" s="33" t="n">
        <f>1958</f>
        <v>1958.0</v>
      </c>
      <c r="N63" s="34" t="s">
        <v>67</v>
      </c>
      <c r="O63" s="33" t="n">
        <f>1856</f>
        <v>1856.0</v>
      </c>
      <c r="P63" s="34" t="s">
        <v>104</v>
      </c>
      <c r="Q63" s="33" t="n">
        <f>1884</f>
        <v>1884.0</v>
      </c>
      <c r="R63" s="34" t="s">
        <v>49</v>
      </c>
      <c r="S63" s="35" t="n">
        <f>1894.39</f>
        <v>1894.39</v>
      </c>
      <c r="T63" s="32" t="n">
        <f>6701974</f>
        <v>6701974.0</v>
      </c>
      <c r="U63" s="32" t="n">
        <f>4600827</f>
        <v>4600827.0</v>
      </c>
      <c r="V63" s="32" t="n">
        <f>12730893005</f>
        <v>1.2730893005E10</v>
      </c>
      <c r="W63" s="32" t="n">
        <f>8734634713</f>
        <v>8.734634713E9</v>
      </c>
      <c r="X63" s="36" t="n">
        <f>18</f>
        <v>18.0</v>
      </c>
    </row>
    <row r="64">
      <c r="A64" s="27" t="s">
        <v>42</v>
      </c>
      <c r="B64" s="27" t="s">
        <v>234</v>
      </c>
      <c r="C64" s="27" t="s">
        <v>235</v>
      </c>
      <c r="D64" s="27" t="s">
        <v>236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3100</f>
        <v>3100.0</v>
      </c>
      <c r="L64" s="34" t="s">
        <v>48</v>
      </c>
      <c r="M64" s="33" t="n">
        <f>3290</f>
        <v>3290.0</v>
      </c>
      <c r="N64" s="34" t="s">
        <v>117</v>
      </c>
      <c r="O64" s="33" t="n">
        <f>3059</f>
        <v>3059.0</v>
      </c>
      <c r="P64" s="34" t="s">
        <v>48</v>
      </c>
      <c r="Q64" s="33" t="n">
        <f>3255</f>
        <v>3255.0</v>
      </c>
      <c r="R64" s="34" t="s">
        <v>49</v>
      </c>
      <c r="S64" s="35" t="n">
        <f>3217.22</f>
        <v>3217.22</v>
      </c>
      <c r="T64" s="32" t="n">
        <f>14674397</f>
        <v>1.4674397E7</v>
      </c>
      <c r="U64" s="32" t="n">
        <f>3377826</f>
        <v>3377826.0</v>
      </c>
      <c r="V64" s="32" t="n">
        <f>47127344070</f>
        <v>4.712734407E10</v>
      </c>
      <c r="W64" s="32" t="n">
        <f>10870638094</f>
        <v>1.0870638094E10</v>
      </c>
      <c r="X64" s="36" t="n">
        <f>18</f>
        <v>18.0</v>
      </c>
    </row>
    <row r="65">
      <c r="A65" s="27" t="s">
        <v>42</v>
      </c>
      <c r="B65" s="27" t="s">
        <v>237</v>
      </c>
      <c r="C65" s="27" t="s">
        <v>238</v>
      </c>
      <c r="D65" s="27" t="s">
        <v>239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7699</f>
        <v>7699.0</v>
      </c>
      <c r="L65" s="34" t="s">
        <v>67</v>
      </c>
      <c r="M65" s="33" t="n">
        <f>7699</f>
        <v>7699.0</v>
      </c>
      <c r="N65" s="34" t="s">
        <v>67</v>
      </c>
      <c r="O65" s="33" t="n">
        <f>7301</f>
        <v>7301.0</v>
      </c>
      <c r="P65" s="34" t="s">
        <v>69</v>
      </c>
      <c r="Q65" s="33" t="n">
        <f>7514</f>
        <v>7514.0</v>
      </c>
      <c r="R65" s="34" t="s">
        <v>49</v>
      </c>
      <c r="S65" s="35" t="n">
        <f>7597.25</f>
        <v>7597.25</v>
      </c>
      <c r="T65" s="32" t="n">
        <f>18</f>
        <v>18.0</v>
      </c>
      <c r="U65" s="32" t="str">
        <f>"－"</f>
        <v>－</v>
      </c>
      <c r="V65" s="32" t="n">
        <f>135697</f>
        <v>135697.0</v>
      </c>
      <c r="W65" s="32" t="str">
        <f>"－"</f>
        <v>－</v>
      </c>
      <c r="X65" s="36" t="n">
        <f>4</f>
        <v>4.0</v>
      </c>
    </row>
    <row r="66">
      <c r="A66" s="27" t="s">
        <v>42</v>
      </c>
      <c r="B66" s="27" t="s">
        <v>240</v>
      </c>
      <c r="C66" s="27" t="s">
        <v>241</v>
      </c>
      <c r="D66" s="27" t="s">
        <v>242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24615</f>
        <v>24615.0</v>
      </c>
      <c r="L66" s="34" t="s">
        <v>48</v>
      </c>
      <c r="M66" s="33" t="n">
        <f>26155</f>
        <v>26155.0</v>
      </c>
      <c r="N66" s="34" t="s">
        <v>204</v>
      </c>
      <c r="O66" s="33" t="n">
        <f>24455</f>
        <v>24455.0</v>
      </c>
      <c r="P66" s="34" t="s">
        <v>48</v>
      </c>
      <c r="Q66" s="33" t="n">
        <f>25880</f>
        <v>25880.0</v>
      </c>
      <c r="R66" s="34" t="s">
        <v>49</v>
      </c>
      <c r="S66" s="35" t="n">
        <f>25442.78</f>
        <v>25442.78</v>
      </c>
      <c r="T66" s="32" t="n">
        <f>4925</f>
        <v>4925.0</v>
      </c>
      <c r="U66" s="32" t="n">
        <f>18</f>
        <v>18.0</v>
      </c>
      <c r="V66" s="32" t="n">
        <f>125178358</f>
        <v>1.25178358E8</v>
      </c>
      <c r="W66" s="32" t="n">
        <f>457748</f>
        <v>457748.0</v>
      </c>
      <c r="X66" s="36" t="n">
        <f>18</f>
        <v>18.0</v>
      </c>
    </row>
    <row r="67">
      <c r="A67" s="27" t="s">
        <v>42</v>
      </c>
      <c r="B67" s="27" t="s">
        <v>243</v>
      </c>
      <c r="C67" s="27" t="s">
        <v>244</v>
      </c>
      <c r="D67" s="27" t="s">
        <v>245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40700</f>
        <v>40700.0</v>
      </c>
      <c r="L67" s="34" t="s">
        <v>48</v>
      </c>
      <c r="M67" s="33" t="n">
        <f>42770</f>
        <v>42770.0</v>
      </c>
      <c r="N67" s="34" t="s">
        <v>117</v>
      </c>
      <c r="O67" s="33" t="n">
        <f>40300</f>
        <v>40300.0</v>
      </c>
      <c r="P67" s="34" t="s">
        <v>48</v>
      </c>
      <c r="Q67" s="33" t="n">
        <f>42480</f>
        <v>42480.0</v>
      </c>
      <c r="R67" s="34" t="s">
        <v>49</v>
      </c>
      <c r="S67" s="35" t="n">
        <f>41981.67</f>
        <v>41981.67</v>
      </c>
      <c r="T67" s="32" t="n">
        <f>45175</f>
        <v>45175.0</v>
      </c>
      <c r="U67" s="32" t="n">
        <f>11866</f>
        <v>11866.0</v>
      </c>
      <c r="V67" s="32" t="n">
        <f>1890974455</f>
        <v>1.890974455E9</v>
      </c>
      <c r="W67" s="32" t="n">
        <f>494084525</f>
        <v>4.94084525E8</v>
      </c>
      <c r="X67" s="36" t="n">
        <f>18</f>
        <v>18.0</v>
      </c>
    </row>
    <row r="68">
      <c r="A68" s="27" t="s">
        <v>42</v>
      </c>
      <c r="B68" s="27" t="s">
        <v>246</v>
      </c>
      <c r="C68" s="27" t="s">
        <v>247</v>
      </c>
      <c r="D68" s="27" t="s">
        <v>248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11745</f>
        <v>11745.0</v>
      </c>
      <c r="L68" s="34" t="s">
        <v>48</v>
      </c>
      <c r="M68" s="33" t="n">
        <f>11840</f>
        <v>11840.0</v>
      </c>
      <c r="N68" s="34" t="s">
        <v>203</v>
      </c>
      <c r="O68" s="33" t="n">
        <f>11325</f>
        <v>11325.0</v>
      </c>
      <c r="P68" s="34" t="s">
        <v>60</v>
      </c>
      <c r="Q68" s="33" t="n">
        <f>11600</f>
        <v>11600.0</v>
      </c>
      <c r="R68" s="34" t="s">
        <v>49</v>
      </c>
      <c r="S68" s="35" t="n">
        <f>11614.17</f>
        <v>11614.17</v>
      </c>
      <c r="T68" s="32" t="n">
        <f>4564</f>
        <v>4564.0</v>
      </c>
      <c r="U68" s="32" t="n">
        <f>87</f>
        <v>87.0</v>
      </c>
      <c r="V68" s="32" t="n">
        <f>52894748</f>
        <v>5.2894748E7</v>
      </c>
      <c r="W68" s="32" t="n">
        <f>1004413</f>
        <v>1004413.0</v>
      </c>
      <c r="X68" s="36" t="n">
        <f>18</f>
        <v>18.0</v>
      </c>
    </row>
    <row r="69">
      <c r="A69" s="27" t="s">
        <v>42</v>
      </c>
      <c r="B69" s="27" t="s">
        <v>249</v>
      </c>
      <c r="C69" s="27" t="s">
        <v>250</v>
      </c>
      <c r="D69" s="27" t="s">
        <v>251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1684</f>
        <v>1684.0</v>
      </c>
      <c r="L69" s="34" t="s">
        <v>48</v>
      </c>
      <c r="M69" s="33" t="n">
        <f>1701</f>
        <v>1701.0</v>
      </c>
      <c r="N69" s="34" t="s">
        <v>204</v>
      </c>
      <c r="O69" s="33" t="n">
        <f>1655</f>
        <v>1655.0</v>
      </c>
      <c r="P69" s="34" t="s">
        <v>69</v>
      </c>
      <c r="Q69" s="33" t="n">
        <f>1693</f>
        <v>1693.0</v>
      </c>
      <c r="R69" s="34" t="s">
        <v>49</v>
      </c>
      <c r="S69" s="35" t="n">
        <f>1679.17</f>
        <v>1679.17</v>
      </c>
      <c r="T69" s="32" t="n">
        <f>1058450</f>
        <v>1058450.0</v>
      </c>
      <c r="U69" s="32" t="n">
        <f>559084</f>
        <v>559084.0</v>
      </c>
      <c r="V69" s="32" t="n">
        <f>1777582014</f>
        <v>1.777582014E9</v>
      </c>
      <c r="W69" s="32" t="n">
        <f>937257440</f>
        <v>9.3725744E8</v>
      </c>
      <c r="X69" s="36" t="n">
        <f>18</f>
        <v>18.0</v>
      </c>
    </row>
    <row r="70">
      <c r="A70" s="27" t="s">
        <v>42</v>
      </c>
      <c r="B70" s="27" t="s">
        <v>252</v>
      </c>
      <c r="C70" s="27" t="s">
        <v>253</v>
      </c>
      <c r="D70" s="27" t="s">
        <v>254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1756</f>
        <v>1756.0</v>
      </c>
      <c r="L70" s="34" t="s">
        <v>48</v>
      </c>
      <c r="M70" s="33" t="n">
        <f>1765</f>
        <v>1765.0</v>
      </c>
      <c r="N70" s="34" t="s">
        <v>67</v>
      </c>
      <c r="O70" s="33" t="n">
        <f>1741</f>
        <v>1741.0</v>
      </c>
      <c r="P70" s="34" t="s">
        <v>69</v>
      </c>
      <c r="Q70" s="33" t="n">
        <f>1763</f>
        <v>1763.0</v>
      </c>
      <c r="R70" s="34" t="s">
        <v>49</v>
      </c>
      <c r="S70" s="35" t="n">
        <f>1756.56</f>
        <v>1756.56</v>
      </c>
      <c r="T70" s="32" t="n">
        <f>249180</f>
        <v>249180.0</v>
      </c>
      <c r="U70" s="32" t="n">
        <f>7</f>
        <v>7.0</v>
      </c>
      <c r="V70" s="32" t="n">
        <f>437084799</f>
        <v>4.37084799E8</v>
      </c>
      <c r="W70" s="32" t="n">
        <f>12313</f>
        <v>12313.0</v>
      </c>
      <c r="X70" s="36" t="n">
        <f>18</f>
        <v>18.0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30500</f>
        <v>30500.0</v>
      </c>
      <c r="L71" s="34" t="s">
        <v>48</v>
      </c>
      <c r="M71" s="33" t="n">
        <f>32810</f>
        <v>32810.0</v>
      </c>
      <c r="N71" s="34" t="s">
        <v>49</v>
      </c>
      <c r="O71" s="33" t="n">
        <f>30470</f>
        <v>30470.0</v>
      </c>
      <c r="P71" s="34" t="s">
        <v>48</v>
      </c>
      <c r="Q71" s="33" t="n">
        <f>32810</f>
        <v>32810.0</v>
      </c>
      <c r="R71" s="34" t="s">
        <v>49</v>
      </c>
      <c r="S71" s="35" t="n">
        <f>31810.56</f>
        <v>31810.56</v>
      </c>
      <c r="T71" s="32" t="n">
        <f>27020</f>
        <v>27020.0</v>
      </c>
      <c r="U71" s="32" t="n">
        <f>22353</f>
        <v>22353.0</v>
      </c>
      <c r="V71" s="32" t="n">
        <f>855684457</f>
        <v>8.55684457E8</v>
      </c>
      <c r="W71" s="32" t="n">
        <f>706819687</f>
        <v>7.06819687E8</v>
      </c>
      <c r="X71" s="36" t="n">
        <f>18</f>
        <v>18.0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9054</f>
        <v>9054.0</v>
      </c>
      <c r="L72" s="34" t="s">
        <v>48</v>
      </c>
      <c r="M72" s="33" t="n">
        <f>9227</f>
        <v>9227.0</v>
      </c>
      <c r="N72" s="34" t="s">
        <v>104</v>
      </c>
      <c r="O72" s="33" t="n">
        <f>8825</f>
        <v>8825.0</v>
      </c>
      <c r="P72" s="34" t="s">
        <v>70</v>
      </c>
      <c r="Q72" s="33" t="n">
        <f>8900</f>
        <v>8900.0</v>
      </c>
      <c r="R72" s="34" t="s">
        <v>49</v>
      </c>
      <c r="S72" s="35" t="n">
        <f>9020.28</f>
        <v>9020.28</v>
      </c>
      <c r="T72" s="32" t="n">
        <f>4428</f>
        <v>4428.0</v>
      </c>
      <c r="U72" s="32" t="n">
        <f>3</f>
        <v>3.0</v>
      </c>
      <c r="V72" s="32" t="n">
        <f>39776204</f>
        <v>3.9776204E7</v>
      </c>
      <c r="W72" s="32" t="n">
        <f>27140</f>
        <v>27140.0</v>
      </c>
      <c r="X72" s="36" t="n">
        <f>18</f>
        <v>18.0</v>
      </c>
    </row>
    <row r="73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21815</f>
        <v>21815.0</v>
      </c>
      <c r="L73" s="34" t="s">
        <v>48</v>
      </c>
      <c r="M73" s="33" t="n">
        <f>22490</f>
        <v>22490.0</v>
      </c>
      <c r="N73" s="34" t="s">
        <v>87</v>
      </c>
      <c r="O73" s="33" t="n">
        <f>20725</f>
        <v>20725.0</v>
      </c>
      <c r="P73" s="34" t="s">
        <v>70</v>
      </c>
      <c r="Q73" s="33" t="n">
        <f>21435</f>
        <v>21435.0</v>
      </c>
      <c r="R73" s="34" t="s">
        <v>49</v>
      </c>
      <c r="S73" s="35" t="n">
        <f>21681.67</f>
        <v>21681.67</v>
      </c>
      <c r="T73" s="32" t="n">
        <f>6437539</f>
        <v>6437539.0</v>
      </c>
      <c r="U73" s="32" t="n">
        <f>52404</f>
        <v>52404.0</v>
      </c>
      <c r="V73" s="32" t="n">
        <f>139412815898</f>
        <v>1.39412815898E11</v>
      </c>
      <c r="W73" s="32" t="n">
        <f>1141267548</f>
        <v>1.141267548E9</v>
      </c>
      <c r="X73" s="36" t="n">
        <f>18</f>
        <v>18.0</v>
      </c>
    </row>
    <row r="7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9067</f>
        <v>9067.0</v>
      </c>
      <c r="L74" s="34" t="s">
        <v>48</v>
      </c>
      <c r="M74" s="33" t="n">
        <f>9878</f>
        <v>9878.0</v>
      </c>
      <c r="N74" s="34" t="s">
        <v>59</v>
      </c>
      <c r="O74" s="33" t="n">
        <f>8691</f>
        <v>8691.0</v>
      </c>
      <c r="P74" s="34" t="s">
        <v>70</v>
      </c>
      <c r="Q74" s="33" t="n">
        <f>8855</f>
        <v>8855.0</v>
      </c>
      <c r="R74" s="34" t="s">
        <v>49</v>
      </c>
      <c r="S74" s="35" t="n">
        <f>9200.5</f>
        <v>9200.5</v>
      </c>
      <c r="T74" s="32" t="n">
        <f>698527</f>
        <v>698527.0</v>
      </c>
      <c r="U74" s="32" t="n">
        <f>493</f>
        <v>493.0</v>
      </c>
      <c r="V74" s="32" t="n">
        <f>6464706398</f>
        <v>6.464706398E9</v>
      </c>
      <c r="W74" s="32" t="n">
        <f>4536508</f>
        <v>4536508.0</v>
      </c>
      <c r="X74" s="36" t="n">
        <f>18</f>
        <v>18.0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34400</f>
        <v>34400.0</v>
      </c>
      <c r="L75" s="34" t="s">
        <v>48</v>
      </c>
      <c r="M75" s="33" t="n">
        <f>41120</f>
        <v>41120.0</v>
      </c>
      <c r="N75" s="34" t="s">
        <v>59</v>
      </c>
      <c r="O75" s="33" t="n">
        <f>33660</f>
        <v>33660.0</v>
      </c>
      <c r="P75" s="34" t="s">
        <v>70</v>
      </c>
      <c r="Q75" s="33" t="n">
        <f>35450</f>
        <v>35450.0</v>
      </c>
      <c r="R75" s="34" t="s">
        <v>49</v>
      </c>
      <c r="S75" s="35" t="n">
        <f>36405</f>
        <v>36405.0</v>
      </c>
      <c r="T75" s="32" t="n">
        <f>2224633</f>
        <v>2224633.0</v>
      </c>
      <c r="U75" s="32" t="n">
        <f>25058</f>
        <v>25058.0</v>
      </c>
      <c r="V75" s="32" t="n">
        <f>82098369787</f>
        <v>8.2098369787E10</v>
      </c>
      <c r="W75" s="32" t="n">
        <f>917827197</f>
        <v>9.17827197E8</v>
      </c>
      <c r="X75" s="36" t="n">
        <f>18</f>
        <v>18.0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68500</f>
        <v>68500.0</v>
      </c>
      <c r="L76" s="34" t="s">
        <v>48</v>
      </c>
      <c r="M76" s="33" t="n">
        <f>69800</f>
        <v>69800.0</v>
      </c>
      <c r="N76" s="34" t="s">
        <v>67</v>
      </c>
      <c r="O76" s="33" t="n">
        <f>61790</f>
        <v>61790.0</v>
      </c>
      <c r="P76" s="34" t="s">
        <v>69</v>
      </c>
      <c r="Q76" s="33" t="n">
        <f>63680</f>
        <v>63680.0</v>
      </c>
      <c r="R76" s="34" t="s">
        <v>49</v>
      </c>
      <c r="S76" s="35" t="n">
        <f>65116.11</f>
        <v>65116.11</v>
      </c>
      <c r="T76" s="32" t="n">
        <f>12406</f>
        <v>12406.0</v>
      </c>
      <c r="U76" s="32" t="n">
        <f>456</f>
        <v>456.0</v>
      </c>
      <c r="V76" s="32" t="n">
        <f>809546986</f>
        <v>8.09546986E8</v>
      </c>
      <c r="W76" s="32" t="n">
        <f>29605336</f>
        <v>2.9605336E7</v>
      </c>
      <c r="X76" s="36" t="n">
        <f>18</f>
        <v>18.0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276</v>
      </c>
      <c r="F77" s="29" t="s">
        <v>277</v>
      </c>
      <c r="G77" s="30" t="s">
        <v>46</v>
      </c>
      <c r="H77" s="31"/>
      <c r="I77" s="31" t="s">
        <v>47</v>
      </c>
      <c r="J77" s="32" t="n">
        <v>10.0</v>
      </c>
      <c r="K77" s="33" t="n">
        <f>43710</f>
        <v>43710.0</v>
      </c>
      <c r="L77" s="34" t="s">
        <v>48</v>
      </c>
      <c r="M77" s="33" t="n">
        <f>47460</f>
        <v>47460.0</v>
      </c>
      <c r="N77" s="34" t="s">
        <v>117</v>
      </c>
      <c r="O77" s="33" t="n">
        <f>43600</f>
        <v>43600.0</v>
      </c>
      <c r="P77" s="34" t="s">
        <v>48</v>
      </c>
      <c r="Q77" s="33" t="n">
        <f>47130</f>
        <v>47130.0</v>
      </c>
      <c r="R77" s="34" t="s">
        <v>196</v>
      </c>
      <c r="S77" s="35" t="n">
        <f>46202.5</f>
        <v>46202.5</v>
      </c>
      <c r="T77" s="32" t="n">
        <f>502770</f>
        <v>502770.0</v>
      </c>
      <c r="U77" s="32" t="n">
        <f>20412</f>
        <v>20412.0</v>
      </c>
      <c r="V77" s="32" t="n">
        <f>23192192583</f>
        <v>2.3192192583E10</v>
      </c>
      <c r="W77" s="32" t="n">
        <f>954931763</f>
        <v>9.54931763E8</v>
      </c>
      <c r="X77" s="36" t="n">
        <f>12</f>
        <v>12.0</v>
      </c>
    </row>
    <row r="78">
      <c r="A78" s="27" t="s">
        <v>42</v>
      </c>
      <c r="B78" s="27" t="s">
        <v>273</v>
      </c>
      <c r="C78" s="27" t="s">
        <v>274</v>
      </c>
      <c r="D78" s="27" t="s">
        <v>275</v>
      </c>
      <c r="E78" s="28" t="s">
        <v>276</v>
      </c>
      <c r="F78" s="29" t="s">
        <v>277</v>
      </c>
      <c r="G78" s="30" t="s">
        <v>46</v>
      </c>
      <c r="H78" s="31"/>
      <c r="I78" s="31" t="s">
        <v>47</v>
      </c>
      <c r="J78" s="32" t="n">
        <v>10.0</v>
      </c>
      <c r="K78" s="33" t="n">
        <f>237</f>
        <v>237.0</v>
      </c>
      <c r="L78" s="34" t="s">
        <v>100</v>
      </c>
      <c r="M78" s="33" t="n">
        <f>247.4</f>
        <v>247.4</v>
      </c>
      <c r="N78" s="34" t="s">
        <v>204</v>
      </c>
      <c r="O78" s="33" t="n">
        <f>236.8</f>
        <v>236.8</v>
      </c>
      <c r="P78" s="34" t="s">
        <v>100</v>
      </c>
      <c r="Q78" s="33" t="n">
        <f>243.2</f>
        <v>243.2</v>
      </c>
      <c r="R78" s="34" t="s">
        <v>49</v>
      </c>
      <c r="S78" s="35" t="n">
        <f>242.03</f>
        <v>242.03</v>
      </c>
      <c r="T78" s="32" t="n">
        <f>39879240</f>
        <v>3.987924E7</v>
      </c>
      <c r="U78" s="32" t="n">
        <f>6520700</f>
        <v>6520700.0</v>
      </c>
      <c r="V78" s="32" t="n">
        <f>9625240643</f>
        <v>9.625240643E9</v>
      </c>
      <c r="W78" s="32" t="n">
        <f>1574760134</f>
        <v>1.574760134E9</v>
      </c>
      <c r="X78" s="36" t="n">
        <f>6</f>
        <v>6.0</v>
      </c>
    </row>
    <row r="79">
      <c r="A79" s="27" t="s">
        <v>42</v>
      </c>
      <c r="B79" s="27" t="s">
        <v>278</v>
      </c>
      <c r="C79" s="27" t="s">
        <v>279</v>
      </c>
      <c r="D79" s="27" t="s">
        <v>280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76410</f>
        <v>76410.0</v>
      </c>
      <c r="L79" s="34" t="s">
        <v>48</v>
      </c>
      <c r="M79" s="33" t="n">
        <f>79270</f>
        <v>79270.0</v>
      </c>
      <c r="N79" s="34" t="s">
        <v>104</v>
      </c>
      <c r="O79" s="33" t="n">
        <f>75720</f>
        <v>75720.0</v>
      </c>
      <c r="P79" s="34" t="s">
        <v>203</v>
      </c>
      <c r="Q79" s="33" t="n">
        <f>79010</f>
        <v>79010.0</v>
      </c>
      <c r="R79" s="34" t="s">
        <v>49</v>
      </c>
      <c r="S79" s="35" t="n">
        <f>77420</f>
        <v>77420.0</v>
      </c>
      <c r="T79" s="32" t="n">
        <f>24479</f>
        <v>24479.0</v>
      </c>
      <c r="U79" s="32" t="n">
        <f>4382</f>
        <v>4382.0</v>
      </c>
      <c r="V79" s="32" t="n">
        <f>1885793860</f>
        <v>1.88579386E9</v>
      </c>
      <c r="W79" s="32" t="n">
        <f>336005620</f>
        <v>3.3600562E8</v>
      </c>
      <c r="X79" s="36" t="n">
        <f>18</f>
        <v>18.0</v>
      </c>
    </row>
    <row r="80">
      <c r="A80" s="27" t="s">
        <v>42</v>
      </c>
      <c r="B80" s="27" t="s">
        <v>281</v>
      </c>
      <c r="C80" s="27" t="s">
        <v>282</v>
      </c>
      <c r="D80" s="27" t="s">
        <v>283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12300</f>
        <v>12300.0</v>
      </c>
      <c r="L80" s="34" t="s">
        <v>48</v>
      </c>
      <c r="M80" s="33" t="n">
        <f>13105</f>
        <v>13105.0</v>
      </c>
      <c r="N80" s="34" t="s">
        <v>49</v>
      </c>
      <c r="O80" s="33" t="n">
        <f>12300</f>
        <v>12300.0</v>
      </c>
      <c r="P80" s="34" t="s">
        <v>48</v>
      </c>
      <c r="Q80" s="33" t="n">
        <f>13100</f>
        <v>13100.0</v>
      </c>
      <c r="R80" s="34" t="s">
        <v>49</v>
      </c>
      <c r="S80" s="35" t="n">
        <f>12771.39</f>
        <v>12771.39</v>
      </c>
      <c r="T80" s="32" t="n">
        <f>666249</f>
        <v>666249.0</v>
      </c>
      <c r="U80" s="32" t="n">
        <f>166089</f>
        <v>166089.0</v>
      </c>
      <c r="V80" s="32" t="n">
        <f>8502541858</f>
        <v>8.502541858E9</v>
      </c>
      <c r="W80" s="32" t="n">
        <f>2129346718</f>
        <v>2.129346718E9</v>
      </c>
      <c r="X80" s="36" t="n">
        <f>18</f>
        <v>18.0</v>
      </c>
    </row>
    <row r="81">
      <c r="A81" s="27" t="s">
        <v>42</v>
      </c>
      <c r="B81" s="27" t="s">
        <v>284</v>
      </c>
      <c r="C81" s="27" t="s">
        <v>285</v>
      </c>
      <c r="D81" s="27" t="s">
        <v>286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7639</f>
        <v>7639.0</v>
      </c>
      <c r="L81" s="34" t="s">
        <v>48</v>
      </c>
      <c r="M81" s="33" t="n">
        <f>8085</f>
        <v>8085.0</v>
      </c>
      <c r="N81" s="34" t="s">
        <v>49</v>
      </c>
      <c r="O81" s="33" t="n">
        <f>7639</f>
        <v>7639.0</v>
      </c>
      <c r="P81" s="34" t="s">
        <v>48</v>
      </c>
      <c r="Q81" s="33" t="n">
        <f>8079</f>
        <v>8079.0</v>
      </c>
      <c r="R81" s="34" t="s">
        <v>49</v>
      </c>
      <c r="S81" s="35" t="n">
        <f>7866.44</f>
        <v>7866.44</v>
      </c>
      <c r="T81" s="32" t="n">
        <f>110166</f>
        <v>110166.0</v>
      </c>
      <c r="U81" s="32" t="n">
        <f>17740</f>
        <v>17740.0</v>
      </c>
      <c r="V81" s="32" t="n">
        <f>865910369</f>
        <v>8.65910369E8</v>
      </c>
      <c r="W81" s="32" t="n">
        <f>142613027</f>
        <v>1.42613027E8</v>
      </c>
      <c r="X81" s="36" t="n">
        <f>18</f>
        <v>18.0</v>
      </c>
    </row>
    <row r="82">
      <c r="A82" s="27" t="s">
        <v>42</v>
      </c>
      <c r="B82" s="27" t="s">
        <v>287</v>
      </c>
      <c r="C82" s="27" t="s">
        <v>288</v>
      </c>
      <c r="D82" s="27" t="s">
        <v>289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6929</f>
        <v>6929.0</v>
      </c>
      <c r="L82" s="34" t="s">
        <v>48</v>
      </c>
      <c r="M82" s="33" t="n">
        <f>7302</f>
        <v>7302.0</v>
      </c>
      <c r="N82" s="34" t="s">
        <v>59</v>
      </c>
      <c r="O82" s="33" t="n">
        <f>6795</f>
        <v>6795.0</v>
      </c>
      <c r="P82" s="34" t="s">
        <v>48</v>
      </c>
      <c r="Q82" s="33" t="n">
        <f>7133</f>
        <v>7133.0</v>
      </c>
      <c r="R82" s="34" t="s">
        <v>49</v>
      </c>
      <c r="S82" s="35" t="n">
        <f>7082.5</f>
        <v>7082.5</v>
      </c>
      <c r="T82" s="32" t="n">
        <f>3820</f>
        <v>3820.0</v>
      </c>
      <c r="U82" s="32" t="n">
        <f>350</f>
        <v>350.0</v>
      </c>
      <c r="V82" s="32" t="n">
        <f>27039089</f>
        <v>2.7039089E7</v>
      </c>
      <c r="W82" s="32" t="n">
        <f>2497319</f>
        <v>2497319.0</v>
      </c>
      <c r="X82" s="36" t="n">
        <f>18</f>
        <v>18.0</v>
      </c>
    </row>
    <row r="83">
      <c r="A83" s="27" t="s">
        <v>42</v>
      </c>
      <c r="B83" s="27" t="s">
        <v>290</v>
      </c>
      <c r="C83" s="27" t="s">
        <v>291</v>
      </c>
      <c r="D83" s="27" t="s">
        <v>292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6390</f>
        <v>6390.0</v>
      </c>
      <c r="L83" s="34" t="s">
        <v>48</v>
      </c>
      <c r="M83" s="33" t="n">
        <f>6759</f>
        <v>6759.0</v>
      </c>
      <c r="N83" s="34" t="s">
        <v>49</v>
      </c>
      <c r="O83" s="33" t="n">
        <f>6386</f>
        <v>6386.0</v>
      </c>
      <c r="P83" s="34" t="s">
        <v>48</v>
      </c>
      <c r="Q83" s="33" t="n">
        <f>6748</f>
        <v>6748.0</v>
      </c>
      <c r="R83" s="34" t="s">
        <v>49</v>
      </c>
      <c r="S83" s="35" t="n">
        <f>6590.78</f>
        <v>6590.78</v>
      </c>
      <c r="T83" s="32" t="n">
        <f>40168</f>
        <v>40168.0</v>
      </c>
      <c r="U83" s="32" t="n">
        <f>1801</f>
        <v>1801.0</v>
      </c>
      <c r="V83" s="32" t="n">
        <f>265035995</f>
        <v>2.65035995E8</v>
      </c>
      <c r="W83" s="32" t="n">
        <f>11916480</f>
        <v>1.191648E7</v>
      </c>
      <c r="X83" s="36" t="n">
        <f>18</f>
        <v>18.0</v>
      </c>
    </row>
    <row r="84">
      <c r="A84" s="27" t="s">
        <v>42</v>
      </c>
      <c r="B84" s="27" t="s">
        <v>293</v>
      </c>
      <c r="C84" s="27" t="s">
        <v>294</v>
      </c>
      <c r="D84" s="27" t="s">
        <v>295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2493</f>
        <v>2493.0</v>
      </c>
      <c r="L84" s="34" t="s">
        <v>48</v>
      </c>
      <c r="M84" s="33" t="n">
        <f>2544</f>
        <v>2544.0</v>
      </c>
      <c r="N84" s="34" t="s">
        <v>49</v>
      </c>
      <c r="O84" s="33" t="n">
        <f>2413</f>
        <v>2413.0</v>
      </c>
      <c r="P84" s="34" t="s">
        <v>69</v>
      </c>
      <c r="Q84" s="33" t="n">
        <f>2533</f>
        <v>2533.0</v>
      </c>
      <c r="R84" s="34" t="s">
        <v>49</v>
      </c>
      <c r="S84" s="35" t="n">
        <f>2478</f>
        <v>2478.0</v>
      </c>
      <c r="T84" s="32" t="n">
        <f>55157</f>
        <v>55157.0</v>
      </c>
      <c r="U84" s="32" t="n">
        <f>916</f>
        <v>916.0</v>
      </c>
      <c r="V84" s="32" t="n">
        <f>137189565</f>
        <v>1.37189565E8</v>
      </c>
      <c r="W84" s="32" t="n">
        <f>2260511</f>
        <v>2260511.0</v>
      </c>
      <c r="X84" s="36" t="n">
        <f>18</f>
        <v>18.0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113200</f>
        <v>113200.0</v>
      </c>
      <c r="L85" s="34" t="s">
        <v>48</v>
      </c>
      <c r="M85" s="33" t="n">
        <f>120450</f>
        <v>120450.0</v>
      </c>
      <c r="N85" s="34" t="s">
        <v>49</v>
      </c>
      <c r="O85" s="33" t="n">
        <f>113150</f>
        <v>113150.0</v>
      </c>
      <c r="P85" s="34" t="s">
        <v>48</v>
      </c>
      <c r="Q85" s="33" t="n">
        <f>120450</f>
        <v>120450.0</v>
      </c>
      <c r="R85" s="34" t="s">
        <v>49</v>
      </c>
      <c r="S85" s="35" t="n">
        <f>117425</f>
        <v>117425.0</v>
      </c>
      <c r="T85" s="32" t="n">
        <f>41367</f>
        <v>41367.0</v>
      </c>
      <c r="U85" s="32" t="n">
        <f>1791</f>
        <v>1791.0</v>
      </c>
      <c r="V85" s="32" t="n">
        <f>4850915317</f>
        <v>4.850915317E9</v>
      </c>
      <c r="W85" s="32" t="n">
        <f>210153767</f>
        <v>2.10153767E8</v>
      </c>
      <c r="X85" s="36" t="n">
        <f>18</f>
        <v>18.0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4394</f>
        <v>4394.0</v>
      </c>
      <c r="L86" s="34" t="s">
        <v>48</v>
      </c>
      <c r="M86" s="33" t="n">
        <f>4789</f>
        <v>4789.0</v>
      </c>
      <c r="N86" s="34" t="s">
        <v>70</v>
      </c>
      <c r="O86" s="33" t="n">
        <f>4361</f>
        <v>4361.0</v>
      </c>
      <c r="P86" s="34" t="s">
        <v>48</v>
      </c>
      <c r="Q86" s="33" t="n">
        <f>4690</f>
        <v>4690.0</v>
      </c>
      <c r="R86" s="34" t="s">
        <v>49</v>
      </c>
      <c r="S86" s="35" t="n">
        <f>4527.56</f>
        <v>4527.56</v>
      </c>
      <c r="T86" s="32" t="n">
        <f>8000</f>
        <v>8000.0</v>
      </c>
      <c r="U86" s="32" t="n">
        <f>1</f>
        <v>1.0</v>
      </c>
      <c r="V86" s="32" t="n">
        <f>36331824</f>
        <v>3.6331824E7</v>
      </c>
      <c r="W86" s="32" t="n">
        <f>4495</f>
        <v>4495.0</v>
      </c>
      <c r="X86" s="36" t="n">
        <f>18</f>
        <v>18.0</v>
      </c>
    </row>
    <row r="87">
      <c r="A87" s="27" t="s">
        <v>42</v>
      </c>
      <c r="B87" s="27" t="s">
        <v>302</v>
      </c>
      <c r="C87" s="27" t="s">
        <v>303</v>
      </c>
      <c r="D87" s="27" t="s">
        <v>304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6856</f>
        <v>6856.0</v>
      </c>
      <c r="L87" s="34" t="s">
        <v>48</v>
      </c>
      <c r="M87" s="33" t="n">
        <f>7088</f>
        <v>7088.0</v>
      </c>
      <c r="N87" s="34" t="s">
        <v>87</v>
      </c>
      <c r="O87" s="33" t="n">
        <f>6700</f>
        <v>6700.0</v>
      </c>
      <c r="P87" s="34" t="s">
        <v>49</v>
      </c>
      <c r="Q87" s="33" t="n">
        <f>6737</f>
        <v>6737.0</v>
      </c>
      <c r="R87" s="34" t="s">
        <v>49</v>
      </c>
      <c r="S87" s="35" t="n">
        <f>6859.78</f>
        <v>6859.78</v>
      </c>
      <c r="T87" s="32" t="n">
        <f>6898</f>
        <v>6898.0</v>
      </c>
      <c r="U87" s="32" t="n">
        <f>2</f>
        <v>2.0</v>
      </c>
      <c r="V87" s="32" t="n">
        <f>47469177</f>
        <v>4.7469177E7</v>
      </c>
      <c r="W87" s="32" t="n">
        <f>13860</f>
        <v>13860.0</v>
      </c>
      <c r="X87" s="36" t="n">
        <f>18</f>
        <v>18.0</v>
      </c>
    </row>
    <row r="88">
      <c r="A88" s="27" t="s">
        <v>42</v>
      </c>
      <c r="B88" s="27" t="s">
        <v>305</v>
      </c>
      <c r="C88" s="27" t="s">
        <v>306</v>
      </c>
      <c r="D88" s="27" t="s">
        <v>307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2346</f>
        <v>2346.0</v>
      </c>
      <c r="L88" s="34" t="s">
        <v>48</v>
      </c>
      <c r="M88" s="33" t="n">
        <f>2736</f>
        <v>2736.0</v>
      </c>
      <c r="N88" s="34" t="s">
        <v>68</v>
      </c>
      <c r="O88" s="33" t="n">
        <f>2346</f>
        <v>2346.0</v>
      </c>
      <c r="P88" s="34" t="s">
        <v>48</v>
      </c>
      <c r="Q88" s="33" t="n">
        <f>2660</f>
        <v>2660.0</v>
      </c>
      <c r="R88" s="34" t="s">
        <v>49</v>
      </c>
      <c r="S88" s="35" t="n">
        <f>2516.33</f>
        <v>2516.33</v>
      </c>
      <c r="T88" s="32" t="n">
        <f>557436</f>
        <v>557436.0</v>
      </c>
      <c r="U88" s="32" t="n">
        <f>190015</f>
        <v>190015.0</v>
      </c>
      <c r="V88" s="32" t="n">
        <f>1405226795</f>
        <v>1.405226795E9</v>
      </c>
      <c r="W88" s="32" t="n">
        <f>467278675</f>
        <v>4.67278675E8</v>
      </c>
      <c r="X88" s="36" t="n">
        <f>18</f>
        <v>18.0</v>
      </c>
    </row>
    <row r="89">
      <c r="A89" s="27" t="s">
        <v>42</v>
      </c>
      <c r="B89" s="27" t="s">
        <v>308</v>
      </c>
      <c r="C89" s="27" t="s">
        <v>309</v>
      </c>
      <c r="D89" s="27" t="s">
        <v>310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54690</f>
        <v>54690.0</v>
      </c>
      <c r="L89" s="34" t="s">
        <v>48</v>
      </c>
      <c r="M89" s="33" t="n">
        <f>54880</f>
        <v>54880.0</v>
      </c>
      <c r="N89" s="34" t="s">
        <v>48</v>
      </c>
      <c r="O89" s="33" t="n">
        <f>52400</f>
        <v>52400.0</v>
      </c>
      <c r="P89" s="34" t="s">
        <v>68</v>
      </c>
      <c r="Q89" s="33" t="n">
        <f>53440</f>
        <v>53440.0</v>
      </c>
      <c r="R89" s="34" t="s">
        <v>49</v>
      </c>
      <c r="S89" s="35" t="n">
        <f>53251.11</f>
        <v>53251.11</v>
      </c>
      <c r="T89" s="32" t="n">
        <f>14785</f>
        <v>14785.0</v>
      </c>
      <c r="U89" s="32" t="n">
        <f>5403</f>
        <v>5403.0</v>
      </c>
      <c r="V89" s="32" t="n">
        <f>790564245</f>
        <v>7.90564245E8</v>
      </c>
      <c r="W89" s="32" t="n">
        <f>289095295</f>
        <v>2.89095295E8</v>
      </c>
      <c r="X89" s="36" t="n">
        <f>18</f>
        <v>18.0</v>
      </c>
    </row>
    <row r="90">
      <c r="A90" s="27" t="s">
        <v>42</v>
      </c>
      <c r="B90" s="27" t="s">
        <v>311</v>
      </c>
      <c r="C90" s="27" t="s">
        <v>312</v>
      </c>
      <c r="D90" s="27" t="s">
        <v>313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843.8</f>
        <v>843.8</v>
      </c>
      <c r="L90" s="34" t="s">
        <v>48</v>
      </c>
      <c r="M90" s="33" t="n">
        <f>962.6</f>
        <v>962.6</v>
      </c>
      <c r="N90" s="34" t="s">
        <v>49</v>
      </c>
      <c r="O90" s="33" t="n">
        <f>828.6</f>
        <v>828.6</v>
      </c>
      <c r="P90" s="34" t="s">
        <v>48</v>
      </c>
      <c r="Q90" s="33" t="n">
        <f>948.8</f>
        <v>948.8</v>
      </c>
      <c r="R90" s="34" t="s">
        <v>49</v>
      </c>
      <c r="S90" s="35" t="n">
        <f>909.61</f>
        <v>909.61</v>
      </c>
      <c r="T90" s="32" t="n">
        <f>116834160</f>
        <v>1.1683416E8</v>
      </c>
      <c r="U90" s="32" t="n">
        <f>290450</f>
        <v>290450.0</v>
      </c>
      <c r="V90" s="32" t="n">
        <f>106593197994</f>
        <v>1.06593197994E11</v>
      </c>
      <c r="W90" s="32" t="n">
        <f>263056756</f>
        <v>2.63056756E8</v>
      </c>
      <c r="X90" s="36" t="n">
        <f>18</f>
        <v>18.0</v>
      </c>
    </row>
    <row r="91">
      <c r="A91" s="27" t="s">
        <v>42</v>
      </c>
      <c r="B91" s="27" t="s">
        <v>314</v>
      </c>
      <c r="C91" s="27" t="s">
        <v>315</v>
      </c>
      <c r="D91" s="27" t="s">
        <v>316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10.0</v>
      </c>
      <c r="K91" s="33" t="n">
        <f>820</f>
        <v>820.0</v>
      </c>
      <c r="L91" s="34" t="s">
        <v>48</v>
      </c>
      <c r="M91" s="33" t="n">
        <f>827</f>
        <v>827.0</v>
      </c>
      <c r="N91" s="34" t="s">
        <v>48</v>
      </c>
      <c r="O91" s="33" t="n">
        <f>764</f>
        <v>764.0</v>
      </c>
      <c r="P91" s="34" t="s">
        <v>49</v>
      </c>
      <c r="Q91" s="33" t="n">
        <f>769.3</f>
        <v>769.3</v>
      </c>
      <c r="R91" s="34" t="s">
        <v>49</v>
      </c>
      <c r="S91" s="35" t="n">
        <f>787.62</f>
        <v>787.62</v>
      </c>
      <c r="T91" s="32" t="n">
        <f>2062510</f>
        <v>2062510.0</v>
      </c>
      <c r="U91" s="32" t="n">
        <f>10450</f>
        <v>10450.0</v>
      </c>
      <c r="V91" s="32" t="n">
        <f>1627455416</f>
        <v>1.627455416E9</v>
      </c>
      <c r="W91" s="32" t="n">
        <f>8256329</f>
        <v>8256329.0</v>
      </c>
      <c r="X91" s="36" t="n">
        <f>18</f>
        <v>18.0</v>
      </c>
    </row>
    <row r="92">
      <c r="A92" s="27" t="s">
        <v>42</v>
      </c>
      <c r="B92" s="27" t="s">
        <v>317</v>
      </c>
      <c r="C92" s="27" t="s">
        <v>318</v>
      </c>
      <c r="D92" s="27" t="s">
        <v>319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58940</f>
        <v>58940.0</v>
      </c>
      <c r="L92" s="34" t="s">
        <v>48</v>
      </c>
      <c r="M92" s="33" t="n">
        <f>72510</f>
        <v>72510.0</v>
      </c>
      <c r="N92" s="34" t="s">
        <v>49</v>
      </c>
      <c r="O92" s="33" t="n">
        <f>57900</f>
        <v>57900.0</v>
      </c>
      <c r="P92" s="34" t="s">
        <v>69</v>
      </c>
      <c r="Q92" s="33" t="n">
        <f>72090</f>
        <v>72090.0</v>
      </c>
      <c r="R92" s="34" t="s">
        <v>49</v>
      </c>
      <c r="S92" s="35" t="n">
        <f>64978.89</f>
        <v>64978.89</v>
      </c>
      <c r="T92" s="32" t="n">
        <f>62880052</f>
        <v>6.2880052E7</v>
      </c>
      <c r="U92" s="32" t="n">
        <f>667967</f>
        <v>667967.0</v>
      </c>
      <c r="V92" s="32" t="n">
        <f>4092146991941</f>
        <v>4.092146991941E12</v>
      </c>
      <c r="W92" s="32" t="n">
        <f>43836893381</f>
        <v>4.3836893381E10</v>
      </c>
      <c r="X92" s="36" t="n">
        <f>18</f>
        <v>18.0</v>
      </c>
    </row>
    <row r="93">
      <c r="A93" s="27" t="s">
        <v>42</v>
      </c>
      <c r="B93" s="27" t="s">
        <v>320</v>
      </c>
      <c r="C93" s="27" t="s">
        <v>321</v>
      </c>
      <c r="D93" s="27" t="s">
        <v>322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338</f>
        <v>338.0</v>
      </c>
      <c r="L93" s="34" t="s">
        <v>48</v>
      </c>
      <c r="M93" s="33" t="n">
        <f>341</f>
        <v>341.0</v>
      </c>
      <c r="N93" s="34" t="s">
        <v>48</v>
      </c>
      <c r="O93" s="33" t="n">
        <f>301</f>
        <v>301.0</v>
      </c>
      <c r="P93" s="34" t="s">
        <v>49</v>
      </c>
      <c r="Q93" s="33" t="n">
        <f>302</f>
        <v>302.0</v>
      </c>
      <c r="R93" s="34" t="s">
        <v>49</v>
      </c>
      <c r="S93" s="35" t="n">
        <f>320.89</f>
        <v>320.89</v>
      </c>
      <c r="T93" s="32" t="n">
        <f>35151803</f>
        <v>3.5151803E7</v>
      </c>
      <c r="U93" s="32" t="n">
        <f>4817124</f>
        <v>4817124.0</v>
      </c>
      <c r="V93" s="32" t="n">
        <f>11299134167</f>
        <v>1.1299134167E10</v>
      </c>
      <c r="W93" s="32" t="n">
        <f>1537181304</f>
        <v>1.537181304E9</v>
      </c>
      <c r="X93" s="36" t="n">
        <f>18</f>
        <v>18.0</v>
      </c>
    </row>
    <row r="94">
      <c r="A94" s="27" t="s">
        <v>42</v>
      </c>
      <c r="B94" s="27" t="s">
        <v>323</v>
      </c>
      <c r="C94" s="27" t="s">
        <v>324</v>
      </c>
      <c r="D94" s="27" t="s">
        <v>325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7492</f>
        <v>7492.0</v>
      </c>
      <c r="L94" s="34" t="s">
        <v>48</v>
      </c>
      <c r="M94" s="33" t="n">
        <f>8025</f>
        <v>8025.0</v>
      </c>
      <c r="N94" s="34" t="s">
        <v>59</v>
      </c>
      <c r="O94" s="33" t="n">
        <f>6745</f>
        <v>6745.0</v>
      </c>
      <c r="P94" s="34" t="s">
        <v>70</v>
      </c>
      <c r="Q94" s="33" t="n">
        <f>7007</f>
        <v>7007.0</v>
      </c>
      <c r="R94" s="34" t="s">
        <v>49</v>
      </c>
      <c r="S94" s="35" t="n">
        <f>7372.5</f>
        <v>7372.5</v>
      </c>
      <c r="T94" s="32" t="n">
        <f>71880</f>
        <v>71880.0</v>
      </c>
      <c r="U94" s="32" t="str">
        <f>"－"</f>
        <v>－</v>
      </c>
      <c r="V94" s="32" t="n">
        <f>532172130</f>
        <v>5.3217213E8</v>
      </c>
      <c r="W94" s="32" t="str">
        <f>"－"</f>
        <v>－</v>
      </c>
      <c r="X94" s="36" t="n">
        <f>18</f>
        <v>18.0</v>
      </c>
    </row>
    <row r="95">
      <c r="A95" s="27" t="s">
        <v>42</v>
      </c>
      <c r="B95" s="27" t="s">
        <v>326</v>
      </c>
      <c r="C95" s="27" t="s">
        <v>327</v>
      </c>
      <c r="D95" s="27" t="s">
        <v>328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7934</f>
        <v>7934.0</v>
      </c>
      <c r="L95" s="34" t="s">
        <v>48</v>
      </c>
      <c r="M95" s="33" t="n">
        <f>8612</f>
        <v>8612.0</v>
      </c>
      <c r="N95" s="34" t="s">
        <v>70</v>
      </c>
      <c r="O95" s="33" t="n">
        <f>7800</f>
        <v>7800.0</v>
      </c>
      <c r="P95" s="34" t="s">
        <v>59</v>
      </c>
      <c r="Q95" s="33" t="n">
        <f>8407</f>
        <v>8407.0</v>
      </c>
      <c r="R95" s="34" t="s">
        <v>49</v>
      </c>
      <c r="S95" s="35" t="n">
        <f>8155.17</f>
        <v>8155.17</v>
      </c>
      <c r="T95" s="32" t="n">
        <f>7920</f>
        <v>7920.0</v>
      </c>
      <c r="U95" s="32" t="str">
        <f>"－"</f>
        <v>－</v>
      </c>
      <c r="V95" s="32" t="n">
        <f>64860170</f>
        <v>6.486017E7</v>
      </c>
      <c r="W95" s="32" t="str">
        <f>"－"</f>
        <v>－</v>
      </c>
      <c r="X95" s="36" t="n">
        <f>18</f>
        <v>18.0</v>
      </c>
    </row>
    <row r="96">
      <c r="A96" s="27" t="s">
        <v>42</v>
      </c>
      <c r="B96" s="27" t="s">
        <v>329</v>
      </c>
      <c r="C96" s="27" t="s">
        <v>330</v>
      </c>
      <c r="D96" s="27" t="s">
        <v>331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52120</f>
        <v>52120.0</v>
      </c>
      <c r="L96" s="34" t="s">
        <v>48</v>
      </c>
      <c r="M96" s="33" t="n">
        <f>55290</f>
        <v>55290.0</v>
      </c>
      <c r="N96" s="34" t="s">
        <v>117</v>
      </c>
      <c r="O96" s="33" t="n">
        <f>51560</f>
        <v>51560.0</v>
      </c>
      <c r="P96" s="34" t="s">
        <v>48</v>
      </c>
      <c r="Q96" s="33" t="n">
        <f>54830</f>
        <v>54830.0</v>
      </c>
      <c r="R96" s="34" t="s">
        <v>49</v>
      </c>
      <c r="S96" s="35" t="n">
        <f>54102.78</f>
        <v>54102.78</v>
      </c>
      <c r="T96" s="32" t="n">
        <f>127673</f>
        <v>127673.0</v>
      </c>
      <c r="U96" s="32" t="n">
        <f>72561</f>
        <v>72561.0</v>
      </c>
      <c r="V96" s="32" t="n">
        <f>6912133564</f>
        <v>6.912133564E9</v>
      </c>
      <c r="W96" s="32" t="n">
        <f>3938282754</f>
        <v>3.938282754E9</v>
      </c>
      <c r="X96" s="36" t="n">
        <f>18</f>
        <v>18.0</v>
      </c>
    </row>
    <row r="97">
      <c r="A97" s="27" t="s">
        <v>42</v>
      </c>
      <c r="B97" s="27" t="s">
        <v>332</v>
      </c>
      <c r="C97" s="27" t="s">
        <v>333</v>
      </c>
      <c r="D97" s="27" t="s">
        <v>334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4782</f>
        <v>4782.0</v>
      </c>
      <c r="L97" s="34" t="s">
        <v>48</v>
      </c>
      <c r="M97" s="33" t="n">
        <f>5342</f>
        <v>5342.0</v>
      </c>
      <c r="N97" s="34" t="s">
        <v>49</v>
      </c>
      <c r="O97" s="33" t="n">
        <f>4760</f>
        <v>4760.0</v>
      </c>
      <c r="P97" s="34" t="s">
        <v>69</v>
      </c>
      <c r="Q97" s="33" t="n">
        <f>5334</f>
        <v>5334.0</v>
      </c>
      <c r="R97" s="34" t="s">
        <v>49</v>
      </c>
      <c r="S97" s="35" t="n">
        <f>5045.83</f>
        <v>5045.83</v>
      </c>
      <c r="T97" s="32" t="n">
        <f>259974</f>
        <v>259974.0</v>
      </c>
      <c r="U97" s="32" t="n">
        <f>78941</f>
        <v>78941.0</v>
      </c>
      <c r="V97" s="32" t="n">
        <f>1313624040</f>
        <v>1.31362404E9</v>
      </c>
      <c r="W97" s="32" t="n">
        <f>401330581</f>
        <v>4.01330581E8</v>
      </c>
      <c r="X97" s="36" t="n">
        <f>18</f>
        <v>18.0</v>
      </c>
    </row>
    <row r="98">
      <c r="A98" s="27" t="s">
        <v>42</v>
      </c>
      <c r="B98" s="27" t="s">
        <v>335</v>
      </c>
      <c r="C98" s="27" t="s">
        <v>336</v>
      </c>
      <c r="D98" s="27" t="s">
        <v>337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636.8</f>
        <v>636.8</v>
      </c>
      <c r="L98" s="34" t="s">
        <v>48</v>
      </c>
      <c r="M98" s="33" t="n">
        <f>783.7</f>
        <v>783.7</v>
      </c>
      <c r="N98" s="34" t="s">
        <v>49</v>
      </c>
      <c r="O98" s="33" t="n">
        <f>625.3</f>
        <v>625.3</v>
      </c>
      <c r="P98" s="34" t="s">
        <v>69</v>
      </c>
      <c r="Q98" s="33" t="n">
        <f>779.4</f>
        <v>779.4</v>
      </c>
      <c r="R98" s="34" t="s">
        <v>49</v>
      </c>
      <c r="S98" s="35" t="n">
        <f>702.15</f>
        <v>702.15</v>
      </c>
      <c r="T98" s="32" t="n">
        <f>303544510</f>
        <v>3.0354451E8</v>
      </c>
      <c r="U98" s="32" t="n">
        <f>10384190</f>
        <v>1.038419E7</v>
      </c>
      <c r="V98" s="32" t="n">
        <f>212704498826</f>
        <v>2.12704498826E11</v>
      </c>
      <c r="W98" s="32" t="n">
        <f>7349915314</f>
        <v>7.349915314E9</v>
      </c>
      <c r="X98" s="36" t="n">
        <f>18</f>
        <v>18.0</v>
      </c>
    </row>
    <row r="99">
      <c r="A99" s="27" t="s">
        <v>42</v>
      </c>
      <c r="B99" s="27" t="s">
        <v>338</v>
      </c>
      <c r="C99" s="27" t="s">
        <v>339</v>
      </c>
      <c r="D99" s="27" t="s">
        <v>340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900.9</f>
        <v>900.9</v>
      </c>
      <c r="L99" s="34" t="s">
        <v>48</v>
      </c>
      <c r="M99" s="33" t="n">
        <f>905</f>
        <v>905.0</v>
      </c>
      <c r="N99" s="34" t="s">
        <v>48</v>
      </c>
      <c r="O99" s="33" t="n">
        <f>801.6</f>
        <v>801.6</v>
      </c>
      <c r="P99" s="34" t="s">
        <v>49</v>
      </c>
      <c r="Q99" s="33" t="n">
        <f>804</f>
        <v>804.0</v>
      </c>
      <c r="R99" s="34" t="s">
        <v>49</v>
      </c>
      <c r="S99" s="35" t="n">
        <f>852.59</f>
        <v>852.59</v>
      </c>
      <c r="T99" s="32" t="n">
        <f>8615970</f>
        <v>8615970.0</v>
      </c>
      <c r="U99" s="32" t="n">
        <f>1403990</f>
        <v>1403990.0</v>
      </c>
      <c r="V99" s="32" t="n">
        <f>7341657301</f>
        <v>7.341657301E9</v>
      </c>
      <c r="W99" s="32" t="n">
        <f>1194687749</f>
        <v>1.194687749E9</v>
      </c>
      <c r="X99" s="36" t="n">
        <f>18</f>
        <v>18.0</v>
      </c>
    </row>
    <row r="100">
      <c r="A100" s="27" t="s">
        <v>42</v>
      </c>
      <c r="B100" s="27" t="s">
        <v>341</v>
      </c>
      <c r="C100" s="27" t="s">
        <v>342</v>
      </c>
      <c r="D100" s="27" t="s">
        <v>343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2515</f>
        <v>2515.0</v>
      </c>
      <c r="L100" s="34" t="s">
        <v>48</v>
      </c>
      <c r="M100" s="33" t="n">
        <f>2687</f>
        <v>2687.0</v>
      </c>
      <c r="N100" s="34" t="s">
        <v>70</v>
      </c>
      <c r="O100" s="33" t="n">
        <f>2515</f>
        <v>2515.0</v>
      </c>
      <c r="P100" s="34" t="s">
        <v>48</v>
      </c>
      <c r="Q100" s="33" t="n">
        <f>2673.5</f>
        <v>2673.5</v>
      </c>
      <c r="R100" s="34" t="s">
        <v>49</v>
      </c>
      <c r="S100" s="35" t="n">
        <f>2613.75</f>
        <v>2613.75</v>
      </c>
      <c r="T100" s="32" t="n">
        <f>1610</f>
        <v>1610.0</v>
      </c>
      <c r="U100" s="32" t="n">
        <f>100</f>
        <v>100.0</v>
      </c>
      <c r="V100" s="32" t="n">
        <f>4202505</f>
        <v>4202505.0</v>
      </c>
      <c r="W100" s="32" t="n">
        <f>263700</f>
        <v>263700.0</v>
      </c>
      <c r="X100" s="36" t="n">
        <f>18</f>
        <v>18.0</v>
      </c>
    </row>
    <row r="101">
      <c r="A101" s="27" t="s">
        <v>42</v>
      </c>
      <c r="B101" s="27" t="s">
        <v>344</v>
      </c>
      <c r="C101" s="27" t="s">
        <v>345</v>
      </c>
      <c r="D101" s="27" t="s">
        <v>346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2957</f>
        <v>2957.0</v>
      </c>
      <c r="L101" s="34" t="s">
        <v>48</v>
      </c>
      <c r="M101" s="33" t="n">
        <f>3130</f>
        <v>3130.0</v>
      </c>
      <c r="N101" s="34" t="s">
        <v>49</v>
      </c>
      <c r="O101" s="33" t="n">
        <f>2900</f>
        <v>2900.0</v>
      </c>
      <c r="P101" s="34" t="s">
        <v>48</v>
      </c>
      <c r="Q101" s="33" t="n">
        <f>3130</f>
        <v>3130.0</v>
      </c>
      <c r="R101" s="34" t="s">
        <v>49</v>
      </c>
      <c r="S101" s="35" t="n">
        <f>3003.29</f>
        <v>3003.29</v>
      </c>
      <c r="T101" s="32" t="n">
        <f>1619</f>
        <v>1619.0</v>
      </c>
      <c r="U101" s="32" t="str">
        <f>"－"</f>
        <v>－</v>
      </c>
      <c r="V101" s="32" t="n">
        <f>4920360</f>
        <v>4920360.0</v>
      </c>
      <c r="W101" s="32" t="str">
        <f>"－"</f>
        <v>－</v>
      </c>
      <c r="X101" s="36" t="n">
        <f>17</f>
        <v>17.0</v>
      </c>
    </row>
    <row r="102">
      <c r="A102" s="27" t="s">
        <v>42</v>
      </c>
      <c r="B102" s="27" t="s">
        <v>347</v>
      </c>
      <c r="C102" s="27" t="s">
        <v>348</v>
      </c>
      <c r="D102" s="27" t="s">
        <v>349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34040</f>
        <v>34040.0</v>
      </c>
      <c r="L102" s="34" t="s">
        <v>48</v>
      </c>
      <c r="M102" s="33" t="n">
        <f>36310</f>
        <v>36310.0</v>
      </c>
      <c r="N102" s="34" t="s">
        <v>49</v>
      </c>
      <c r="O102" s="33" t="n">
        <f>33750</f>
        <v>33750.0</v>
      </c>
      <c r="P102" s="34" t="s">
        <v>48</v>
      </c>
      <c r="Q102" s="33" t="n">
        <f>36100</f>
        <v>36100.0</v>
      </c>
      <c r="R102" s="34" t="s">
        <v>49</v>
      </c>
      <c r="S102" s="35" t="n">
        <f>35266.67</f>
        <v>35266.67</v>
      </c>
      <c r="T102" s="32" t="n">
        <f>157971</f>
        <v>157971.0</v>
      </c>
      <c r="U102" s="32" t="n">
        <f>86329</f>
        <v>86329.0</v>
      </c>
      <c r="V102" s="32" t="n">
        <f>5578004195</f>
        <v>5.578004195E9</v>
      </c>
      <c r="W102" s="32" t="n">
        <f>3053931715</f>
        <v>3.053931715E9</v>
      </c>
      <c r="X102" s="36" t="n">
        <f>18</f>
        <v>18.0</v>
      </c>
    </row>
    <row r="103">
      <c r="A103" s="27" t="s">
        <v>42</v>
      </c>
      <c r="B103" s="27" t="s">
        <v>350</v>
      </c>
      <c r="C103" s="27" t="s">
        <v>351</v>
      </c>
      <c r="D103" s="27" t="s">
        <v>352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3151</f>
        <v>3151.0</v>
      </c>
      <c r="L103" s="34" t="s">
        <v>48</v>
      </c>
      <c r="M103" s="33" t="n">
        <f>3360</f>
        <v>3360.0</v>
      </c>
      <c r="N103" s="34" t="s">
        <v>49</v>
      </c>
      <c r="O103" s="33" t="n">
        <f>3124</f>
        <v>3124.0</v>
      </c>
      <c r="P103" s="34" t="s">
        <v>48</v>
      </c>
      <c r="Q103" s="33" t="n">
        <f>3347</f>
        <v>3347.0</v>
      </c>
      <c r="R103" s="34" t="s">
        <v>49</v>
      </c>
      <c r="S103" s="35" t="n">
        <f>3261.06</f>
        <v>3261.06</v>
      </c>
      <c r="T103" s="32" t="n">
        <f>246028</f>
        <v>246028.0</v>
      </c>
      <c r="U103" s="32" t="n">
        <f>112407</f>
        <v>112407.0</v>
      </c>
      <c r="V103" s="32" t="n">
        <f>792282318</f>
        <v>7.92282318E8</v>
      </c>
      <c r="W103" s="32" t="n">
        <f>358807250</f>
        <v>3.5880725E8</v>
      </c>
      <c r="X103" s="36" t="n">
        <f>18</f>
        <v>18.0</v>
      </c>
    </row>
    <row r="104">
      <c r="A104" s="27" t="s">
        <v>42</v>
      </c>
      <c r="B104" s="27" t="s">
        <v>353</v>
      </c>
      <c r="C104" s="27" t="s">
        <v>354</v>
      </c>
      <c r="D104" s="27" t="s">
        <v>355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35200</f>
        <v>35200.0</v>
      </c>
      <c r="L104" s="34" t="s">
        <v>48</v>
      </c>
      <c r="M104" s="33" t="n">
        <f>37610</f>
        <v>37610.0</v>
      </c>
      <c r="N104" s="34" t="s">
        <v>49</v>
      </c>
      <c r="O104" s="33" t="n">
        <f>34920</f>
        <v>34920.0</v>
      </c>
      <c r="P104" s="34" t="s">
        <v>48</v>
      </c>
      <c r="Q104" s="33" t="n">
        <f>37560</f>
        <v>37560.0</v>
      </c>
      <c r="R104" s="34" t="s">
        <v>49</v>
      </c>
      <c r="S104" s="35" t="n">
        <f>36535</f>
        <v>36535.0</v>
      </c>
      <c r="T104" s="32" t="n">
        <f>24064</f>
        <v>24064.0</v>
      </c>
      <c r="U104" s="32" t="n">
        <f>7475</f>
        <v>7475.0</v>
      </c>
      <c r="V104" s="32" t="n">
        <f>877861933</f>
        <v>8.77861933E8</v>
      </c>
      <c r="W104" s="32" t="n">
        <f>272840003</f>
        <v>2.72840003E8</v>
      </c>
      <c r="X104" s="36" t="n">
        <f>18</f>
        <v>18.0</v>
      </c>
    </row>
    <row r="105">
      <c r="A105" s="27" t="s">
        <v>42</v>
      </c>
      <c r="B105" s="27" t="s">
        <v>356</v>
      </c>
      <c r="C105" s="27" t="s">
        <v>357</v>
      </c>
      <c r="D105" s="27" t="s">
        <v>358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1918</f>
        <v>1918.0</v>
      </c>
      <c r="L105" s="34" t="s">
        <v>48</v>
      </c>
      <c r="M105" s="33" t="n">
        <f>1928</f>
        <v>1928.0</v>
      </c>
      <c r="N105" s="34" t="s">
        <v>67</v>
      </c>
      <c r="O105" s="33" t="n">
        <f>1819</f>
        <v>1819.0</v>
      </c>
      <c r="P105" s="34" t="s">
        <v>69</v>
      </c>
      <c r="Q105" s="33" t="n">
        <f>1860</f>
        <v>1860.0</v>
      </c>
      <c r="R105" s="34" t="s">
        <v>49</v>
      </c>
      <c r="S105" s="35" t="n">
        <f>1863.22</f>
        <v>1863.22</v>
      </c>
      <c r="T105" s="32" t="n">
        <f>2115772</f>
        <v>2115772.0</v>
      </c>
      <c r="U105" s="32" t="n">
        <f>1392010</f>
        <v>1392010.0</v>
      </c>
      <c r="V105" s="32" t="n">
        <f>3969754381</f>
        <v>3.969754381E9</v>
      </c>
      <c r="W105" s="32" t="n">
        <f>2618822259</f>
        <v>2.618822259E9</v>
      </c>
      <c r="X105" s="36" t="n">
        <f>18</f>
        <v>18.0</v>
      </c>
    </row>
    <row r="106">
      <c r="A106" s="27" t="s">
        <v>42</v>
      </c>
      <c r="B106" s="27" t="s">
        <v>359</v>
      </c>
      <c r="C106" s="27" t="s">
        <v>360</v>
      </c>
      <c r="D106" s="27" t="s">
        <v>361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2800</f>
        <v>2800.0</v>
      </c>
      <c r="L106" s="34" t="s">
        <v>48</v>
      </c>
      <c r="M106" s="33" t="n">
        <f>3045</f>
        <v>3045.0</v>
      </c>
      <c r="N106" s="34" t="s">
        <v>49</v>
      </c>
      <c r="O106" s="33" t="n">
        <f>2800</f>
        <v>2800.0</v>
      </c>
      <c r="P106" s="34" t="s">
        <v>48</v>
      </c>
      <c r="Q106" s="33" t="n">
        <f>3045</f>
        <v>3045.0</v>
      </c>
      <c r="R106" s="34" t="s">
        <v>49</v>
      </c>
      <c r="S106" s="35" t="n">
        <f>2882.2</f>
        <v>2882.2</v>
      </c>
      <c r="T106" s="32" t="n">
        <f>180</f>
        <v>180.0</v>
      </c>
      <c r="U106" s="32" t="n">
        <f>18</f>
        <v>18.0</v>
      </c>
      <c r="V106" s="32" t="n">
        <f>516090</f>
        <v>516090.0</v>
      </c>
      <c r="W106" s="32" t="n">
        <f>52596</f>
        <v>52596.0</v>
      </c>
      <c r="X106" s="36" t="n">
        <f>10</f>
        <v>10.0</v>
      </c>
    </row>
    <row r="107">
      <c r="A107" s="27" t="s">
        <v>42</v>
      </c>
      <c r="B107" s="27" t="s">
        <v>362</v>
      </c>
      <c r="C107" s="27" t="s">
        <v>363</v>
      </c>
      <c r="D107" s="27" t="s">
        <v>364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1938</f>
        <v>1938.0</v>
      </c>
      <c r="L107" s="34" t="s">
        <v>48</v>
      </c>
      <c r="M107" s="33" t="n">
        <f>1949</f>
        <v>1949.0</v>
      </c>
      <c r="N107" s="34" t="s">
        <v>67</v>
      </c>
      <c r="O107" s="33" t="n">
        <f>1844</f>
        <v>1844.0</v>
      </c>
      <c r="P107" s="34" t="s">
        <v>104</v>
      </c>
      <c r="Q107" s="33" t="n">
        <f>1872</f>
        <v>1872.0</v>
      </c>
      <c r="R107" s="34" t="s">
        <v>49</v>
      </c>
      <c r="S107" s="35" t="n">
        <f>1881.39</f>
        <v>1881.39</v>
      </c>
      <c r="T107" s="32" t="n">
        <f>5708463</f>
        <v>5708463.0</v>
      </c>
      <c r="U107" s="32" t="n">
        <f>3501833</f>
        <v>3501833.0</v>
      </c>
      <c r="V107" s="32" t="n">
        <f>10844674425</f>
        <v>1.0844674425E10</v>
      </c>
      <c r="W107" s="32" t="n">
        <f>6688162238</f>
        <v>6.688162238E9</v>
      </c>
      <c r="X107" s="36" t="n">
        <f>18</f>
        <v>18.0</v>
      </c>
    </row>
    <row r="108">
      <c r="A108" s="27" t="s">
        <v>42</v>
      </c>
      <c r="B108" s="27" t="s">
        <v>365</v>
      </c>
      <c r="C108" s="27" t="s">
        <v>366</v>
      </c>
      <c r="D108" s="27" t="s">
        <v>367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34880</f>
        <v>34880.0</v>
      </c>
      <c r="L108" s="34" t="s">
        <v>48</v>
      </c>
      <c r="M108" s="33" t="n">
        <f>37140</f>
        <v>37140.0</v>
      </c>
      <c r="N108" s="34" t="s">
        <v>49</v>
      </c>
      <c r="O108" s="33" t="n">
        <f>34800</f>
        <v>34800.0</v>
      </c>
      <c r="P108" s="34" t="s">
        <v>48</v>
      </c>
      <c r="Q108" s="33" t="n">
        <f>37130</f>
        <v>37130.0</v>
      </c>
      <c r="R108" s="34" t="s">
        <v>49</v>
      </c>
      <c r="S108" s="35" t="n">
        <f>36169.44</f>
        <v>36169.44</v>
      </c>
      <c r="T108" s="32" t="n">
        <f>48704</f>
        <v>48704.0</v>
      </c>
      <c r="U108" s="32" t="n">
        <f>46959</f>
        <v>46959.0</v>
      </c>
      <c r="V108" s="32" t="n">
        <f>1770329206</f>
        <v>1.770329206E9</v>
      </c>
      <c r="W108" s="32" t="n">
        <f>1707769586</f>
        <v>1.707769586E9</v>
      </c>
      <c r="X108" s="36" t="n">
        <f>18</f>
        <v>18.0</v>
      </c>
    </row>
    <row r="109">
      <c r="A109" s="27" t="s">
        <v>42</v>
      </c>
      <c r="B109" s="27" t="s">
        <v>368</v>
      </c>
      <c r="C109" s="27" t="s">
        <v>369</v>
      </c>
      <c r="D109" s="27" t="s">
        <v>370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672.5</f>
        <v>672.5</v>
      </c>
      <c r="L109" s="34" t="s">
        <v>48</v>
      </c>
      <c r="M109" s="33" t="n">
        <f>718.4</f>
        <v>718.4</v>
      </c>
      <c r="N109" s="34" t="s">
        <v>49</v>
      </c>
      <c r="O109" s="33" t="n">
        <f>666.4</f>
        <v>666.4</v>
      </c>
      <c r="P109" s="34" t="s">
        <v>48</v>
      </c>
      <c r="Q109" s="33" t="n">
        <f>715.7</f>
        <v>715.7</v>
      </c>
      <c r="R109" s="34" t="s">
        <v>49</v>
      </c>
      <c r="S109" s="35" t="n">
        <f>695.72</f>
        <v>695.72</v>
      </c>
      <c r="T109" s="32" t="n">
        <f>1317820</f>
        <v>1317820.0</v>
      </c>
      <c r="U109" s="32" t="n">
        <f>600010</f>
        <v>600010.0</v>
      </c>
      <c r="V109" s="32" t="n">
        <f>914700419</f>
        <v>9.14700419E8</v>
      </c>
      <c r="W109" s="32" t="n">
        <f>415905244</f>
        <v>4.15905244E8</v>
      </c>
      <c r="X109" s="36" t="n">
        <f>18</f>
        <v>18.0</v>
      </c>
    </row>
    <row r="110">
      <c r="A110" s="27" t="s">
        <v>42</v>
      </c>
      <c r="B110" s="27" t="s">
        <v>371</v>
      </c>
      <c r="C110" s="27" t="s">
        <v>372</v>
      </c>
      <c r="D110" s="27" t="s">
        <v>373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616.6</f>
        <v>616.6</v>
      </c>
      <c r="L110" s="34" t="s">
        <v>48</v>
      </c>
      <c r="M110" s="33" t="n">
        <f>686.6</f>
        <v>686.6</v>
      </c>
      <c r="N110" s="34" t="s">
        <v>196</v>
      </c>
      <c r="O110" s="33" t="n">
        <f>607</f>
        <v>607.0</v>
      </c>
      <c r="P110" s="34" t="s">
        <v>48</v>
      </c>
      <c r="Q110" s="33" t="n">
        <f>656.1</f>
        <v>656.1</v>
      </c>
      <c r="R110" s="34" t="s">
        <v>49</v>
      </c>
      <c r="S110" s="35" t="n">
        <f>650.29</f>
        <v>650.29</v>
      </c>
      <c r="T110" s="32" t="n">
        <f>56934020</f>
        <v>5.693402E7</v>
      </c>
      <c r="U110" s="32" t="n">
        <f>6893160</f>
        <v>6893160.0</v>
      </c>
      <c r="V110" s="32" t="n">
        <f>37152146075</f>
        <v>3.7152146075E10</v>
      </c>
      <c r="W110" s="32" t="n">
        <f>4440808411</f>
        <v>4.440808411E9</v>
      </c>
      <c r="X110" s="36" t="n">
        <f>18</f>
        <v>18.0</v>
      </c>
    </row>
    <row r="111">
      <c r="A111" s="27" t="s">
        <v>42</v>
      </c>
      <c r="B111" s="27" t="s">
        <v>374</v>
      </c>
      <c r="C111" s="27" t="s">
        <v>375</v>
      </c>
      <c r="D111" s="27" t="s">
        <v>376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44360</f>
        <v>44360.0</v>
      </c>
      <c r="L111" s="34" t="s">
        <v>48</v>
      </c>
      <c r="M111" s="33" t="n">
        <f>47700</f>
        <v>47700.0</v>
      </c>
      <c r="N111" s="34" t="s">
        <v>69</v>
      </c>
      <c r="O111" s="33" t="n">
        <f>43750</f>
        <v>43750.0</v>
      </c>
      <c r="P111" s="34" t="s">
        <v>209</v>
      </c>
      <c r="Q111" s="33" t="n">
        <f>45500</f>
        <v>45500.0</v>
      </c>
      <c r="R111" s="34" t="s">
        <v>49</v>
      </c>
      <c r="S111" s="35" t="n">
        <f>45417.22</f>
        <v>45417.22</v>
      </c>
      <c r="T111" s="32" t="n">
        <f>10536</f>
        <v>10536.0</v>
      </c>
      <c r="U111" s="32" t="n">
        <f>190</f>
        <v>190.0</v>
      </c>
      <c r="V111" s="32" t="n">
        <f>480004484</f>
        <v>4.80004484E8</v>
      </c>
      <c r="W111" s="32" t="n">
        <f>8623364</f>
        <v>8623364.0</v>
      </c>
      <c r="X111" s="36" t="n">
        <f>18</f>
        <v>18.0</v>
      </c>
    </row>
    <row r="112">
      <c r="A112" s="27" t="s">
        <v>42</v>
      </c>
      <c r="B112" s="27" t="s">
        <v>377</v>
      </c>
      <c r="C112" s="27" t="s">
        <v>378</v>
      </c>
      <c r="D112" s="27" t="s">
        <v>379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36090</f>
        <v>36090.0</v>
      </c>
      <c r="L112" s="34" t="s">
        <v>48</v>
      </c>
      <c r="M112" s="33" t="n">
        <f>36950</f>
        <v>36950.0</v>
      </c>
      <c r="N112" s="34" t="s">
        <v>83</v>
      </c>
      <c r="O112" s="33" t="n">
        <f>33360</f>
        <v>33360.0</v>
      </c>
      <c r="P112" s="34" t="s">
        <v>104</v>
      </c>
      <c r="Q112" s="33" t="n">
        <f>34020</f>
        <v>34020.0</v>
      </c>
      <c r="R112" s="34" t="s">
        <v>49</v>
      </c>
      <c r="S112" s="35" t="n">
        <f>35221.67</f>
        <v>35221.67</v>
      </c>
      <c r="T112" s="32" t="n">
        <f>36685</f>
        <v>36685.0</v>
      </c>
      <c r="U112" s="32" t="n">
        <f>1727</f>
        <v>1727.0</v>
      </c>
      <c r="V112" s="32" t="n">
        <f>1296079050</f>
        <v>1.29607905E9</v>
      </c>
      <c r="W112" s="32" t="n">
        <f>60525180</f>
        <v>6.052518E7</v>
      </c>
      <c r="X112" s="36" t="n">
        <f>18</f>
        <v>18.0</v>
      </c>
    </row>
    <row r="113">
      <c r="A113" s="27" t="s">
        <v>42</v>
      </c>
      <c r="B113" s="27" t="s">
        <v>380</v>
      </c>
      <c r="C113" s="27" t="s">
        <v>381</v>
      </c>
      <c r="D113" s="27" t="s">
        <v>382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48760</f>
        <v>48760.0</v>
      </c>
      <c r="L113" s="34" t="s">
        <v>48</v>
      </c>
      <c r="M113" s="33" t="n">
        <f>51970</f>
        <v>51970.0</v>
      </c>
      <c r="N113" s="34" t="s">
        <v>87</v>
      </c>
      <c r="O113" s="33" t="n">
        <f>46170</f>
        <v>46170.0</v>
      </c>
      <c r="P113" s="34" t="s">
        <v>69</v>
      </c>
      <c r="Q113" s="33" t="n">
        <f>49590</f>
        <v>49590.0</v>
      </c>
      <c r="R113" s="34" t="s">
        <v>49</v>
      </c>
      <c r="S113" s="35" t="n">
        <f>48805.56</f>
        <v>48805.56</v>
      </c>
      <c r="T113" s="32" t="n">
        <f>51692</f>
        <v>51692.0</v>
      </c>
      <c r="U113" s="32" t="n">
        <f>25486</f>
        <v>25486.0</v>
      </c>
      <c r="V113" s="32" t="n">
        <f>2518422278</f>
        <v>2.518422278E9</v>
      </c>
      <c r="W113" s="32" t="n">
        <f>1228472978</f>
        <v>1.228472978E9</v>
      </c>
      <c r="X113" s="36" t="n">
        <f>18</f>
        <v>18.0</v>
      </c>
    </row>
    <row r="114">
      <c r="A114" s="27" t="s">
        <v>42</v>
      </c>
      <c r="B114" s="27" t="s">
        <v>383</v>
      </c>
      <c r="C114" s="27" t="s">
        <v>384</v>
      </c>
      <c r="D114" s="27" t="s">
        <v>385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36000</f>
        <v>36000.0</v>
      </c>
      <c r="L114" s="34" t="s">
        <v>48</v>
      </c>
      <c r="M114" s="33" t="n">
        <f>39640</f>
        <v>39640.0</v>
      </c>
      <c r="N114" s="34" t="s">
        <v>49</v>
      </c>
      <c r="O114" s="33" t="n">
        <f>35480</f>
        <v>35480.0</v>
      </c>
      <c r="P114" s="34" t="s">
        <v>48</v>
      </c>
      <c r="Q114" s="33" t="n">
        <f>39300</f>
        <v>39300.0</v>
      </c>
      <c r="R114" s="34" t="s">
        <v>49</v>
      </c>
      <c r="S114" s="35" t="n">
        <f>37633.89</f>
        <v>37633.89</v>
      </c>
      <c r="T114" s="32" t="n">
        <f>10747</f>
        <v>10747.0</v>
      </c>
      <c r="U114" s="32" t="n">
        <f>292</f>
        <v>292.0</v>
      </c>
      <c r="V114" s="32" t="n">
        <f>404520118</f>
        <v>4.04520118E8</v>
      </c>
      <c r="W114" s="32" t="n">
        <f>11013778</f>
        <v>1.1013778E7</v>
      </c>
      <c r="X114" s="36" t="n">
        <f>18</f>
        <v>18.0</v>
      </c>
    </row>
    <row r="115">
      <c r="A115" s="27" t="s">
        <v>42</v>
      </c>
      <c r="B115" s="27" t="s">
        <v>386</v>
      </c>
      <c r="C115" s="27" t="s">
        <v>387</v>
      </c>
      <c r="D115" s="27" t="s">
        <v>388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30450</f>
        <v>30450.0</v>
      </c>
      <c r="L115" s="34" t="s">
        <v>48</v>
      </c>
      <c r="M115" s="33" t="n">
        <f>31010</f>
        <v>31010.0</v>
      </c>
      <c r="N115" s="34" t="s">
        <v>196</v>
      </c>
      <c r="O115" s="33" t="n">
        <f>29550</f>
        <v>29550.0</v>
      </c>
      <c r="P115" s="34" t="s">
        <v>68</v>
      </c>
      <c r="Q115" s="33" t="n">
        <f>30180</f>
        <v>30180.0</v>
      </c>
      <c r="R115" s="34" t="s">
        <v>49</v>
      </c>
      <c r="S115" s="35" t="n">
        <f>30265.83</f>
        <v>30265.83</v>
      </c>
      <c r="T115" s="32" t="n">
        <f>28008</f>
        <v>28008.0</v>
      </c>
      <c r="U115" s="32" t="n">
        <f>11511</f>
        <v>11511.0</v>
      </c>
      <c r="V115" s="32" t="n">
        <f>848213596</f>
        <v>8.48213596E8</v>
      </c>
      <c r="W115" s="32" t="n">
        <f>348400091</f>
        <v>3.48400091E8</v>
      </c>
      <c r="X115" s="36" t="n">
        <f>18</f>
        <v>18.0</v>
      </c>
    </row>
    <row r="116">
      <c r="A116" s="27" t="s">
        <v>42</v>
      </c>
      <c r="B116" s="27" t="s">
        <v>389</v>
      </c>
      <c r="C116" s="27" t="s">
        <v>390</v>
      </c>
      <c r="D116" s="27" t="s">
        <v>391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32950</f>
        <v>32950.0</v>
      </c>
      <c r="L116" s="34" t="s">
        <v>48</v>
      </c>
      <c r="M116" s="33" t="n">
        <f>34920</f>
        <v>34920.0</v>
      </c>
      <c r="N116" s="34" t="s">
        <v>49</v>
      </c>
      <c r="O116" s="33" t="n">
        <f>32000</f>
        <v>32000.0</v>
      </c>
      <c r="P116" s="34" t="s">
        <v>203</v>
      </c>
      <c r="Q116" s="33" t="n">
        <f>34540</f>
        <v>34540.0</v>
      </c>
      <c r="R116" s="34" t="s">
        <v>49</v>
      </c>
      <c r="S116" s="35" t="n">
        <f>33453.89</f>
        <v>33453.89</v>
      </c>
      <c r="T116" s="32" t="n">
        <f>33893</f>
        <v>33893.0</v>
      </c>
      <c r="U116" s="32" t="n">
        <f>1715</f>
        <v>1715.0</v>
      </c>
      <c r="V116" s="32" t="n">
        <f>1128995732</f>
        <v>1.128995732E9</v>
      </c>
      <c r="W116" s="32" t="n">
        <f>57245972</f>
        <v>5.7245972E7</v>
      </c>
      <c r="X116" s="36" t="n">
        <f>18</f>
        <v>18.0</v>
      </c>
    </row>
    <row r="117">
      <c r="A117" s="27" t="s">
        <v>42</v>
      </c>
      <c r="B117" s="27" t="s">
        <v>392</v>
      </c>
      <c r="C117" s="27" t="s">
        <v>393</v>
      </c>
      <c r="D117" s="27" t="s">
        <v>394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71000</f>
        <v>71000.0</v>
      </c>
      <c r="L117" s="34" t="s">
        <v>48</v>
      </c>
      <c r="M117" s="33" t="n">
        <f>86040</f>
        <v>86040.0</v>
      </c>
      <c r="N117" s="34" t="s">
        <v>59</v>
      </c>
      <c r="O117" s="33" t="n">
        <f>63940</f>
        <v>63940.0</v>
      </c>
      <c r="P117" s="34" t="s">
        <v>69</v>
      </c>
      <c r="Q117" s="33" t="n">
        <f>71300</f>
        <v>71300.0</v>
      </c>
      <c r="R117" s="34" t="s">
        <v>49</v>
      </c>
      <c r="S117" s="35" t="n">
        <f>73742.78</f>
        <v>73742.78</v>
      </c>
      <c r="T117" s="32" t="n">
        <f>153691</f>
        <v>153691.0</v>
      </c>
      <c r="U117" s="32" t="n">
        <f>17954</f>
        <v>17954.0</v>
      </c>
      <c r="V117" s="32" t="n">
        <f>11331538909</f>
        <v>1.1331538909E10</v>
      </c>
      <c r="W117" s="32" t="n">
        <f>1259268359</f>
        <v>1.259268359E9</v>
      </c>
      <c r="X117" s="36" t="n">
        <f>18</f>
        <v>18.0</v>
      </c>
    </row>
    <row r="118">
      <c r="A118" s="27" t="s">
        <v>42</v>
      </c>
      <c r="B118" s="27" t="s">
        <v>395</v>
      </c>
      <c r="C118" s="27" t="s">
        <v>396</v>
      </c>
      <c r="D118" s="27" t="s">
        <v>397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90090</f>
        <v>90090.0</v>
      </c>
      <c r="L118" s="34" t="s">
        <v>48</v>
      </c>
      <c r="M118" s="33" t="n">
        <f>95180</f>
        <v>95180.0</v>
      </c>
      <c r="N118" s="34" t="s">
        <v>203</v>
      </c>
      <c r="O118" s="33" t="n">
        <f>83700</f>
        <v>83700.0</v>
      </c>
      <c r="P118" s="34" t="s">
        <v>69</v>
      </c>
      <c r="Q118" s="33" t="n">
        <f>87470</f>
        <v>87470.0</v>
      </c>
      <c r="R118" s="34" t="s">
        <v>49</v>
      </c>
      <c r="S118" s="35" t="n">
        <f>89330.56</f>
        <v>89330.56</v>
      </c>
      <c r="T118" s="32" t="n">
        <f>6712</f>
        <v>6712.0</v>
      </c>
      <c r="U118" s="32" t="n">
        <f>166</f>
        <v>166.0</v>
      </c>
      <c r="V118" s="32" t="n">
        <f>603399646</f>
        <v>6.03399646E8</v>
      </c>
      <c r="W118" s="32" t="n">
        <f>14843036</f>
        <v>1.4843036E7</v>
      </c>
      <c r="X118" s="36" t="n">
        <f>18</f>
        <v>18.0</v>
      </c>
    </row>
    <row r="119">
      <c r="A119" s="27" t="s">
        <v>42</v>
      </c>
      <c r="B119" s="27" t="s">
        <v>398</v>
      </c>
      <c r="C119" s="27" t="s">
        <v>399</v>
      </c>
      <c r="D119" s="27" t="s">
        <v>400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56500</f>
        <v>56500.0</v>
      </c>
      <c r="L119" s="34" t="s">
        <v>48</v>
      </c>
      <c r="M119" s="33" t="n">
        <f>66490</f>
        <v>66490.0</v>
      </c>
      <c r="N119" s="34" t="s">
        <v>49</v>
      </c>
      <c r="O119" s="33" t="n">
        <f>56430</f>
        <v>56430.0</v>
      </c>
      <c r="P119" s="34" t="s">
        <v>48</v>
      </c>
      <c r="Q119" s="33" t="n">
        <f>66100</f>
        <v>66100.0</v>
      </c>
      <c r="R119" s="34" t="s">
        <v>49</v>
      </c>
      <c r="S119" s="35" t="n">
        <f>61360.56</f>
        <v>61360.56</v>
      </c>
      <c r="T119" s="32" t="n">
        <f>40356</f>
        <v>40356.0</v>
      </c>
      <c r="U119" s="32" t="n">
        <f>16608</f>
        <v>16608.0</v>
      </c>
      <c r="V119" s="32" t="n">
        <f>2500308999</f>
        <v>2.500308999E9</v>
      </c>
      <c r="W119" s="32" t="n">
        <f>1034781809</f>
        <v>1.034781809E9</v>
      </c>
      <c r="X119" s="36" t="n">
        <f>18</f>
        <v>18.0</v>
      </c>
    </row>
    <row r="120">
      <c r="A120" s="27" t="s">
        <v>42</v>
      </c>
      <c r="B120" s="27" t="s">
        <v>401</v>
      </c>
      <c r="C120" s="27" t="s">
        <v>402</v>
      </c>
      <c r="D120" s="27" t="s">
        <v>403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39270</f>
        <v>39270.0</v>
      </c>
      <c r="L120" s="34" t="s">
        <v>48</v>
      </c>
      <c r="M120" s="33" t="n">
        <f>44840</f>
        <v>44840.0</v>
      </c>
      <c r="N120" s="34" t="s">
        <v>49</v>
      </c>
      <c r="O120" s="33" t="n">
        <f>39270</f>
        <v>39270.0</v>
      </c>
      <c r="P120" s="34" t="s">
        <v>48</v>
      </c>
      <c r="Q120" s="33" t="n">
        <f>44460</f>
        <v>44460.0</v>
      </c>
      <c r="R120" s="34" t="s">
        <v>49</v>
      </c>
      <c r="S120" s="35" t="n">
        <f>41966.11</f>
        <v>41966.11</v>
      </c>
      <c r="T120" s="32" t="n">
        <f>18614</f>
        <v>18614.0</v>
      </c>
      <c r="U120" s="32" t="n">
        <f>142</f>
        <v>142.0</v>
      </c>
      <c r="V120" s="32" t="n">
        <f>783420435</f>
        <v>7.83420435E8</v>
      </c>
      <c r="W120" s="32" t="n">
        <f>6089375</f>
        <v>6089375.0</v>
      </c>
      <c r="X120" s="36" t="n">
        <f>18</f>
        <v>18.0</v>
      </c>
    </row>
    <row r="121">
      <c r="A121" s="27" t="s">
        <v>42</v>
      </c>
      <c r="B121" s="27" t="s">
        <v>404</v>
      </c>
      <c r="C121" s="27" t="s">
        <v>405</v>
      </c>
      <c r="D121" s="27" t="s">
        <v>406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12080</f>
        <v>12080.0</v>
      </c>
      <c r="L121" s="34" t="s">
        <v>48</v>
      </c>
      <c r="M121" s="33" t="n">
        <f>12100</f>
        <v>12100.0</v>
      </c>
      <c r="N121" s="34" t="s">
        <v>205</v>
      </c>
      <c r="O121" s="33" t="n">
        <f>11400</f>
        <v>11400.0</v>
      </c>
      <c r="P121" s="34" t="s">
        <v>49</v>
      </c>
      <c r="Q121" s="33" t="n">
        <f>11665</f>
        <v>11665.0</v>
      </c>
      <c r="R121" s="34" t="s">
        <v>49</v>
      </c>
      <c r="S121" s="35" t="n">
        <f>11774.72</f>
        <v>11774.72</v>
      </c>
      <c r="T121" s="32" t="n">
        <f>63381</f>
        <v>63381.0</v>
      </c>
      <c r="U121" s="32" t="n">
        <f>3411</f>
        <v>3411.0</v>
      </c>
      <c r="V121" s="32" t="n">
        <f>746220814</f>
        <v>7.46220814E8</v>
      </c>
      <c r="W121" s="32" t="n">
        <f>39769304</f>
        <v>3.9769304E7</v>
      </c>
      <c r="X121" s="36" t="n">
        <f>18</f>
        <v>18.0</v>
      </c>
    </row>
    <row r="122">
      <c r="A122" s="27" t="s">
        <v>42</v>
      </c>
      <c r="B122" s="27" t="s">
        <v>407</v>
      </c>
      <c r="C122" s="27" t="s">
        <v>408</v>
      </c>
      <c r="D122" s="27" t="s">
        <v>409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20805</f>
        <v>20805.0</v>
      </c>
      <c r="L122" s="34" t="s">
        <v>48</v>
      </c>
      <c r="M122" s="33" t="n">
        <f>21415</f>
        <v>21415.0</v>
      </c>
      <c r="N122" s="34" t="s">
        <v>69</v>
      </c>
      <c r="O122" s="33" t="n">
        <f>20480</f>
        <v>20480.0</v>
      </c>
      <c r="P122" s="34" t="s">
        <v>68</v>
      </c>
      <c r="Q122" s="33" t="n">
        <f>20690</f>
        <v>20690.0</v>
      </c>
      <c r="R122" s="34" t="s">
        <v>49</v>
      </c>
      <c r="S122" s="35" t="n">
        <f>20856.11</f>
        <v>20856.11</v>
      </c>
      <c r="T122" s="32" t="n">
        <f>45514</f>
        <v>45514.0</v>
      </c>
      <c r="U122" s="32" t="n">
        <f>34092</f>
        <v>34092.0</v>
      </c>
      <c r="V122" s="32" t="n">
        <f>950319112</f>
        <v>9.50319112E8</v>
      </c>
      <c r="W122" s="32" t="n">
        <f>712032567</f>
        <v>7.12032567E8</v>
      </c>
      <c r="X122" s="36" t="n">
        <f>18</f>
        <v>18.0</v>
      </c>
    </row>
    <row r="123">
      <c r="A123" s="27" t="s">
        <v>42</v>
      </c>
      <c r="B123" s="27" t="s">
        <v>410</v>
      </c>
      <c r="C123" s="27" t="s">
        <v>411</v>
      </c>
      <c r="D123" s="27" t="s">
        <v>412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10.0</v>
      </c>
      <c r="K123" s="33" t="n">
        <f>271.9</f>
        <v>271.9</v>
      </c>
      <c r="L123" s="34" t="s">
        <v>48</v>
      </c>
      <c r="M123" s="33" t="n">
        <f>302.7</f>
        <v>302.7</v>
      </c>
      <c r="N123" s="34" t="s">
        <v>117</v>
      </c>
      <c r="O123" s="33" t="n">
        <f>267.2</f>
        <v>267.2</v>
      </c>
      <c r="P123" s="34" t="s">
        <v>48</v>
      </c>
      <c r="Q123" s="33" t="n">
        <f>271</f>
        <v>271.0</v>
      </c>
      <c r="R123" s="34" t="s">
        <v>49</v>
      </c>
      <c r="S123" s="35" t="n">
        <f>281.68</f>
        <v>281.68</v>
      </c>
      <c r="T123" s="32" t="n">
        <f>26406330</f>
        <v>2.640633E7</v>
      </c>
      <c r="U123" s="32" t="n">
        <f>2989160</f>
        <v>2989160.0</v>
      </c>
      <c r="V123" s="32" t="n">
        <f>7430556638</f>
        <v>7.430556638E9</v>
      </c>
      <c r="W123" s="32" t="n">
        <f>846678090</f>
        <v>8.4667809E8</v>
      </c>
      <c r="X123" s="36" t="n">
        <f>18</f>
        <v>18.0</v>
      </c>
    </row>
    <row r="124">
      <c r="A124" s="27" t="s">
        <v>42</v>
      </c>
      <c r="B124" s="27" t="s">
        <v>413</v>
      </c>
      <c r="C124" s="27" t="s">
        <v>414</v>
      </c>
      <c r="D124" s="27" t="s">
        <v>415</v>
      </c>
      <c r="E124" s="28" t="s">
        <v>46</v>
      </c>
      <c r="F124" s="29" t="s">
        <v>46</v>
      </c>
      <c r="G124" s="30" t="s">
        <v>46</v>
      </c>
      <c r="H124" s="31"/>
      <c r="I124" s="31" t="s">
        <v>416</v>
      </c>
      <c r="J124" s="32" t="n">
        <v>1.0</v>
      </c>
      <c r="K124" s="33" t="n">
        <f>16000</f>
        <v>16000.0</v>
      </c>
      <c r="L124" s="34" t="s">
        <v>48</v>
      </c>
      <c r="M124" s="33" t="n">
        <f>18130</f>
        <v>18130.0</v>
      </c>
      <c r="N124" s="34" t="s">
        <v>49</v>
      </c>
      <c r="O124" s="33" t="n">
        <f>15800</f>
        <v>15800.0</v>
      </c>
      <c r="P124" s="34" t="s">
        <v>69</v>
      </c>
      <c r="Q124" s="33" t="n">
        <f>18130</f>
        <v>18130.0</v>
      </c>
      <c r="R124" s="34" t="s">
        <v>49</v>
      </c>
      <c r="S124" s="35" t="n">
        <f>16897.22</f>
        <v>16897.22</v>
      </c>
      <c r="T124" s="32" t="n">
        <f>21690</f>
        <v>21690.0</v>
      </c>
      <c r="U124" s="32" t="n">
        <f>2</f>
        <v>2.0</v>
      </c>
      <c r="V124" s="32" t="n">
        <f>367839080</f>
        <v>3.6783908E8</v>
      </c>
      <c r="W124" s="32" t="n">
        <f>33960</f>
        <v>33960.0</v>
      </c>
      <c r="X124" s="36" t="n">
        <f>18</f>
        <v>18.0</v>
      </c>
    </row>
    <row r="125">
      <c r="A125" s="27" t="s">
        <v>42</v>
      </c>
      <c r="B125" s="27" t="s">
        <v>417</v>
      </c>
      <c r="C125" s="27" t="s">
        <v>418</v>
      </c>
      <c r="D125" s="27" t="s">
        <v>419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36160</f>
        <v>36160.0</v>
      </c>
      <c r="L125" s="34" t="s">
        <v>48</v>
      </c>
      <c r="M125" s="33" t="n">
        <f>37400</f>
        <v>37400.0</v>
      </c>
      <c r="N125" s="34" t="s">
        <v>49</v>
      </c>
      <c r="O125" s="33" t="n">
        <f>35260</f>
        <v>35260.0</v>
      </c>
      <c r="P125" s="34" t="s">
        <v>83</v>
      </c>
      <c r="Q125" s="33" t="n">
        <f>37340</f>
        <v>37340.0</v>
      </c>
      <c r="R125" s="34" t="s">
        <v>49</v>
      </c>
      <c r="S125" s="35" t="n">
        <f>36188.89</f>
        <v>36188.89</v>
      </c>
      <c r="T125" s="32" t="n">
        <f>8544</f>
        <v>8544.0</v>
      </c>
      <c r="U125" s="32" t="n">
        <f>173</f>
        <v>173.0</v>
      </c>
      <c r="V125" s="32" t="n">
        <f>309879836</f>
        <v>3.09879836E8</v>
      </c>
      <c r="W125" s="32" t="n">
        <f>6230816</f>
        <v>6230816.0</v>
      </c>
      <c r="X125" s="36" t="n">
        <f>18</f>
        <v>18.0</v>
      </c>
    </row>
    <row r="126">
      <c r="A126" s="27" t="s">
        <v>42</v>
      </c>
      <c r="B126" s="27" t="s">
        <v>420</v>
      </c>
      <c r="C126" s="27" t="s">
        <v>421</v>
      </c>
      <c r="D126" s="27" t="s">
        <v>422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33150</f>
        <v>33150.0</v>
      </c>
      <c r="L126" s="34" t="s">
        <v>48</v>
      </c>
      <c r="M126" s="33" t="n">
        <f>36740</f>
        <v>36740.0</v>
      </c>
      <c r="N126" s="34" t="s">
        <v>100</v>
      </c>
      <c r="O126" s="33" t="n">
        <f>32560</f>
        <v>32560.0</v>
      </c>
      <c r="P126" s="34" t="s">
        <v>48</v>
      </c>
      <c r="Q126" s="33" t="n">
        <f>35140</f>
        <v>35140.0</v>
      </c>
      <c r="R126" s="34" t="s">
        <v>49</v>
      </c>
      <c r="S126" s="35" t="n">
        <f>34907.22</f>
        <v>34907.22</v>
      </c>
      <c r="T126" s="32" t="n">
        <f>126221</f>
        <v>126221.0</v>
      </c>
      <c r="U126" s="32" t="n">
        <f>30853</f>
        <v>30853.0</v>
      </c>
      <c r="V126" s="32" t="n">
        <f>4435734470</f>
        <v>4.43573447E9</v>
      </c>
      <c r="W126" s="32" t="n">
        <f>1080794090</f>
        <v>1.08079409E9</v>
      </c>
      <c r="X126" s="36" t="n">
        <f>18</f>
        <v>18.0</v>
      </c>
    </row>
    <row r="127">
      <c r="A127" s="27" t="s">
        <v>42</v>
      </c>
      <c r="B127" s="27" t="s">
        <v>423</v>
      </c>
      <c r="C127" s="27" t="s">
        <v>424</v>
      </c>
      <c r="D127" s="27" t="s">
        <v>425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37670</f>
        <v>37670.0</v>
      </c>
      <c r="L127" s="34" t="s">
        <v>48</v>
      </c>
      <c r="M127" s="33" t="n">
        <f>41580</f>
        <v>41580.0</v>
      </c>
      <c r="N127" s="34" t="s">
        <v>69</v>
      </c>
      <c r="O127" s="33" t="n">
        <f>37210</f>
        <v>37210.0</v>
      </c>
      <c r="P127" s="34" t="s">
        <v>209</v>
      </c>
      <c r="Q127" s="33" t="n">
        <f>39480</f>
        <v>39480.0</v>
      </c>
      <c r="R127" s="34" t="s">
        <v>49</v>
      </c>
      <c r="S127" s="35" t="n">
        <f>39222.22</f>
        <v>39222.22</v>
      </c>
      <c r="T127" s="32" t="n">
        <f>15168</f>
        <v>15168.0</v>
      </c>
      <c r="U127" s="32" t="n">
        <f>388</f>
        <v>388.0</v>
      </c>
      <c r="V127" s="32" t="n">
        <f>598064208</f>
        <v>5.98064208E8</v>
      </c>
      <c r="W127" s="32" t="n">
        <f>15127048</f>
        <v>1.5127048E7</v>
      </c>
      <c r="X127" s="36" t="n">
        <f>18</f>
        <v>18.0</v>
      </c>
    </row>
    <row r="128">
      <c r="A128" s="27" t="s">
        <v>42</v>
      </c>
      <c r="B128" s="27" t="s">
        <v>426</v>
      </c>
      <c r="C128" s="27" t="s">
        <v>427</v>
      </c>
      <c r="D128" s="27" t="s">
        <v>428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56160</f>
        <v>56160.0</v>
      </c>
      <c r="L128" s="34" t="s">
        <v>48</v>
      </c>
      <c r="M128" s="33" t="n">
        <f>57020</f>
        <v>57020.0</v>
      </c>
      <c r="N128" s="34" t="s">
        <v>87</v>
      </c>
      <c r="O128" s="33" t="n">
        <f>50050</f>
        <v>50050.0</v>
      </c>
      <c r="P128" s="34" t="s">
        <v>70</v>
      </c>
      <c r="Q128" s="33" t="n">
        <f>51690</f>
        <v>51690.0</v>
      </c>
      <c r="R128" s="34" t="s">
        <v>49</v>
      </c>
      <c r="S128" s="35" t="n">
        <f>53098.89</f>
        <v>53098.89</v>
      </c>
      <c r="T128" s="32" t="n">
        <f>10107</f>
        <v>10107.0</v>
      </c>
      <c r="U128" s="32" t="n">
        <f>275</f>
        <v>275.0</v>
      </c>
      <c r="V128" s="32" t="n">
        <f>539286295</f>
        <v>5.39286295E8</v>
      </c>
      <c r="W128" s="32" t="n">
        <f>14601015</f>
        <v>1.4601015E7</v>
      </c>
      <c r="X128" s="36" t="n">
        <f>18</f>
        <v>18.0</v>
      </c>
    </row>
    <row r="129">
      <c r="A129" s="27" t="s">
        <v>42</v>
      </c>
      <c r="B129" s="27" t="s">
        <v>429</v>
      </c>
      <c r="C129" s="27" t="s">
        <v>430</v>
      </c>
      <c r="D129" s="27" t="s">
        <v>431</v>
      </c>
      <c r="E129" s="28" t="s">
        <v>46</v>
      </c>
      <c r="F129" s="29" t="s">
        <v>46</v>
      </c>
      <c r="G129" s="30" t="s">
        <v>46</v>
      </c>
      <c r="H129" s="31"/>
      <c r="I129" s="31" t="s">
        <v>416</v>
      </c>
      <c r="J129" s="32" t="n">
        <v>1.0</v>
      </c>
      <c r="K129" s="33" t="n">
        <f>16945</f>
        <v>16945.0</v>
      </c>
      <c r="L129" s="34" t="s">
        <v>48</v>
      </c>
      <c r="M129" s="33" t="n">
        <f>20320</f>
        <v>20320.0</v>
      </c>
      <c r="N129" s="34" t="s">
        <v>68</v>
      </c>
      <c r="O129" s="33" t="n">
        <f>16860</f>
        <v>16860.0</v>
      </c>
      <c r="P129" s="34" t="s">
        <v>48</v>
      </c>
      <c r="Q129" s="33" t="n">
        <f>20075</f>
        <v>20075.0</v>
      </c>
      <c r="R129" s="34" t="s">
        <v>49</v>
      </c>
      <c r="S129" s="35" t="n">
        <f>18608.33</f>
        <v>18608.33</v>
      </c>
      <c r="T129" s="32" t="n">
        <f>256501</f>
        <v>256501.0</v>
      </c>
      <c r="U129" s="32" t="n">
        <f>17200</f>
        <v>17200.0</v>
      </c>
      <c r="V129" s="32" t="n">
        <f>4807927185</f>
        <v>4.807927185E9</v>
      </c>
      <c r="W129" s="32" t="n">
        <f>322240600</f>
        <v>3.222406E8</v>
      </c>
      <c r="X129" s="36" t="n">
        <f>18</f>
        <v>18.0</v>
      </c>
    </row>
    <row r="130">
      <c r="A130" s="27" t="s">
        <v>42</v>
      </c>
      <c r="B130" s="27" t="s">
        <v>432</v>
      </c>
      <c r="C130" s="27" t="s">
        <v>433</v>
      </c>
      <c r="D130" s="27" t="s">
        <v>434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2954</f>
        <v>2954.0</v>
      </c>
      <c r="L130" s="34" t="s">
        <v>48</v>
      </c>
      <c r="M130" s="33" t="n">
        <f>3106</f>
        <v>3106.0</v>
      </c>
      <c r="N130" s="34" t="s">
        <v>117</v>
      </c>
      <c r="O130" s="33" t="n">
        <f>2911</f>
        <v>2911.0</v>
      </c>
      <c r="P130" s="34" t="s">
        <v>209</v>
      </c>
      <c r="Q130" s="33" t="n">
        <f>3013</f>
        <v>3013.0</v>
      </c>
      <c r="R130" s="34" t="s">
        <v>49</v>
      </c>
      <c r="S130" s="35" t="n">
        <f>3015.94</f>
        <v>3015.94</v>
      </c>
      <c r="T130" s="32" t="n">
        <f>3203086</f>
        <v>3203086.0</v>
      </c>
      <c r="U130" s="32" t="n">
        <f>2568039</f>
        <v>2568039.0</v>
      </c>
      <c r="V130" s="32" t="n">
        <f>9707367550</f>
        <v>9.70736755E9</v>
      </c>
      <c r="W130" s="32" t="n">
        <f>7789551550</f>
        <v>7.78955155E9</v>
      </c>
      <c r="X130" s="36" t="n">
        <f>18</f>
        <v>18.0</v>
      </c>
    </row>
    <row r="131">
      <c r="A131" s="27" t="s">
        <v>42</v>
      </c>
      <c r="B131" s="27" t="s">
        <v>435</v>
      </c>
      <c r="C131" s="27" t="s">
        <v>436</v>
      </c>
      <c r="D131" s="27" t="s">
        <v>437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4503</f>
        <v>4503.0</v>
      </c>
      <c r="L131" s="34" t="s">
        <v>67</v>
      </c>
      <c r="M131" s="33" t="n">
        <f>4822</f>
        <v>4822.0</v>
      </c>
      <c r="N131" s="34" t="s">
        <v>49</v>
      </c>
      <c r="O131" s="33" t="n">
        <f>4503</f>
        <v>4503.0</v>
      </c>
      <c r="P131" s="34" t="s">
        <v>67</v>
      </c>
      <c r="Q131" s="33" t="n">
        <f>4822</f>
        <v>4822.0</v>
      </c>
      <c r="R131" s="34" t="s">
        <v>49</v>
      </c>
      <c r="S131" s="35" t="n">
        <f>4667.55</f>
        <v>4667.55</v>
      </c>
      <c r="T131" s="32" t="n">
        <f>640</f>
        <v>640.0</v>
      </c>
      <c r="U131" s="32" t="n">
        <f>20</f>
        <v>20.0</v>
      </c>
      <c r="V131" s="32" t="n">
        <f>2963150</f>
        <v>2963150.0</v>
      </c>
      <c r="W131" s="32" t="n">
        <f>92440</f>
        <v>92440.0</v>
      </c>
      <c r="X131" s="36" t="n">
        <f>11</f>
        <v>11.0</v>
      </c>
    </row>
    <row r="132">
      <c r="A132" s="27" t="s">
        <v>42</v>
      </c>
      <c r="B132" s="27" t="s">
        <v>438</v>
      </c>
      <c r="C132" s="27" t="s">
        <v>439</v>
      </c>
      <c r="D132" s="27" t="s">
        <v>440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4758</f>
        <v>4758.0</v>
      </c>
      <c r="L132" s="34" t="s">
        <v>48</v>
      </c>
      <c r="M132" s="33" t="n">
        <f>5151</f>
        <v>5151.0</v>
      </c>
      <c r="N132" s="34" t="s">
        <v>70</v>
      </c>
      <c r="O132" s="33" t="n">
        <f>4704</f>
        <v>4704.0</v>
      </c>
      <c r="P132" s="34" t="s">
        <v>67</v>
      </c>
      <c r="Q132" s="33" t="n">
        <f>5151</f>
        <v>5151.0</v>
      </c>
      <c r="R132" s="34" t="s">
        <v>70</v>
      </c>
      <c r="S132" s="35" t="n">
        <f>4935.69</f>
        <v>4935.69</v>
      </c>
      <c r="T132" s="32" t="n">
        <f>19800</f>
        <v>19800.0</v>
      </c>
      <c r="U132" s="32" t="n">
        <f>11000</f>
        <v>11000.0</v>
      </c>
      <c r="V132" s="32" t="n">
        <f>98972820</f>
        <v>9.897282E7</v>
      </c>
      <c r="W132" s="32" t="n">
        <f>55496760</f>
        <v>5.549676E7</v>
      </c>
      <c r="X132" s="36" t="n">
        <f>13</f>
        <v>13.0</v>
      </c>
    </row>
    <row r="133">
      <c r="A133" s="27" t="s">
        <v>42</v>
      </c>
      <c r="B133" s="27" t="s">
        <v>441</v>
      </c>
      <c r="C133" s="27" t="s">
        <v>442</v>
      </c>
      <c r="D133" s="27" t="s">
        <v>443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3146</f>
        <v>3146.0</v>
      </c>
      <c r="L133" s="34" t="s">
        <v>67</v>
      </c>
      <c r="M133" s="33" t="n">
        <f>3252</f>
        <v>3252.0</v>
      </c>
      <c r="N133" s="34" t="s">
        <v>59</v>
      </c>
      <c r="O133" s="33" t="n">
        <f>3146</f>
        <v>3146.0</v>
      </c>
      <c r="P133" s="34" t="s">
        <v>67</v>
      </c>
      <c r="Q133" s="33" t="n">
        <f>3239</f>
        <v>3239.0</v>
      </c>
      <c r="R133" s="34" t="s">
        <v>70</v>
      </c>
      <c r="S133" s="35" t="n">
        <f>3202.5</f>
        <v>3202.5</v>
      </c>
      <c r="T133" s="32" t="n">
        <f>103730</f>
        <v>103730.0</v>
      </c>
      <c r="U133" s="32" t="n">
        <f>86020</f>
        <v>86020.0</v>
      </c>
      <c r="V133" s="32" t="n">
        <f>329266930</f>
        <v>3.2926693E8</v>
      </c>
      <c r="W133" s="32" t="n">
        <f>272265360</f>
        <v>2.7226536E8</v>
      </c>
      <c r="X133" s="36" t="n">
        <f>10</f>
        <v>10.0</v>
      </c>
    </row>
    <row r="134">
      <c r="A134" s="27" t="s">
        <v>42</v>
      </c>
      <c r="B134" s="27" t="s">
        <v>444</v>
      </c>
      <c r="C134" s="27" t="s">
        <v>445</v>
      </c>
      <c r="D134" s="27" t="s">
        <v>446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817.7</f>
        <v>817.7</v>
      </c>
      <c r="L134" s="34" t="s">
        <v>48</v>
      </c>
      <c r="M134" s="33" t="n">
        <f>870.8</f>
        <v>870.8</v>
      </c>
      <c r="N134" s="34" t="s">
        <v>49</v>
      </c>
      <c r="O134" s="33" t="n">
        <f>816.7</f>
        <v>816.7</v>
      </c>
      <c r="P134" s="34" t="s">
        <v>48</v>
      </c>
      <c r="Q134" s="33" t="n">
        <f>870.3</f>
        <v>870.3</v>
      </c>
      <c r="R134" s="34" t="s">
        <v>49</v>
      </c>
      <c r="S134" s="35" t="n">
        <f>848.71</f>
        <v>848.71</v>
      </c>
      <c r="T134" s="32" t="n">
        <f>28292080</f>
        <v>2.829208E7</v>
      </c>
      <c r="U134" s="32" t="n">
        <f>2308860</f>
        <v>2308860.0</v>
      </c>
      <c r="V134" s="32" t="n">
        <f>23963922939</f>
        <v>2.3963922939E10</v>
      </c>
      <c r="W134" s="32" t="n">
        <f>1928893480</f>
        <v>1.92889348E9</v>
      </c>
      <c r="X134" s="36" t="n">
        <f>18</f>
        <v>18.0</v>
      </c>
    </row>
    <row r="135">
      <c r="A135" s="27" t="s">
        <v>42</v>
      </c>
      <c r="B135" s="27" t="s">
        <v>447</v>
      </c>
      <c r="C135" s="27" t="s">
        <v>448</v>
      </c>
      <c r="D135" s="27" t="s">
        <v>449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10.0</v>
      </c>
      <c r="K135" s="33" t="n">
        <f>314.9</f>
        <v>314.9</v>
      </c>
      <c r="L135" s="34" t="s">
        <v>48</v>
      </c>
      <c r="M135" s="33" t="n">
        <f>315.9</f>
        <v>315.9</v>
      </c>
      <c r="N135" s="34" t="s">
        <v>49</v>
      </c>
      <c r="O135" s="33" t="n">
        <f>309.6</f>
        <v>309.6</v>
      </c>
      <c r="P135" s="34" t="s">
        <v>69</v>
      </c>
      <c r="Q135" s="33" t="n">
        <f>315.5</f>
        <v>315.5</v>
      </c>
      <c r="R135" s="34" t="s">
        <v>49</v>
      </c>
      <c r="S135" s="35" t="n">
        <f>312.29</f>
        <v>312.29</v>
      </c>
      <c r="T135" s="32" t="n">
        <f>25230460</f>
        <v>2.523046E7</v>
      </c>
      <c r="U135" s="32" t="n">
        <f>21012380</f>
        <v>2.101238E7</v>
      </c>
      <c r="V135" s="32" t="n">
        <f>7867049102</f>
        <v>7.867049102E9</v>
      </c>
      <c r="W135" s="32" t="n">
        <f>6548189154</f>
        <v>6.548189154E9</v>
      </c>
      <c r="X135" s="36" t="n">
        <f>18</f>
        <v>18.0</v>
      </c>
    </row>
    <row r="136">
      <c r="A136" s="27" t="s">
        <v>42</v>
      </c>
      <c r="B136" s="27" t="s">
        <v>450</v>
      </c>
      <c r="C136" s="27" t="s">
        <v>451</v>
      </c>
      <c r="D136" s="27" t="s">
        <v>452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6810</f>
        <v>6810.0</v>
      </c>
      <c r="L136" s="34" t="s">
        <v>48</v>
      </c>
      <c r="M136" s="33" t="n">
        <f>7225</f>
        <v>7225.0</v>
      </c>
      <c r="N136" s="34" t="s">
        <v>49</v>
      </c>
      <c r="O136" s="33" t="n">
        <f>6810</f>
        <v>6810.0</v>
      </c>
      <c r="P136" s="34" t="s">
        <v>48</v>
      </c>
      <c r="Q136" s="33" t="n">
        <f>7225</f>
        <v>7225.0</v>
      </c>
      <c r="R136" s="34" t="s">
        <v>49</v>
      </c>
      <c r="S136" s="35" t="n">
        <f>7046.72</f>
        <v>7046.72</v>
      </c>
      <c r="T136" s="32" t="n">
        <f>28132</f>
        <v>28132.0</v>
      </c>
      <c r="U136" s="32" t="n">
        <f>5707</f>
        <v>5707.0</v>
      </c>
      <c r="V136" s="32" t="n">
        <f>198553683</f>
        <v>1.98553683E8</v>
      </c>
      <c r="W136" s="32" t="n">
        <f>40803170</f>
        <v>4.080317E7</v>
      </c>
      <c r="X136" s="36" t="n">
        <f>18</f>
        <v>18.0</v>
      </c>
    </row>
    <row r="137">
      <c r="A137" s="27" t="s">
        <v>42</v>
      </c>
      <c r="B137" s="27" t="s">
        <v>453</v>
      </c>
      <c r="C137" s="27" t="s">
        <v>454</v>
      </c>
      <c r="D137" s="27" t="s">
        <v>455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4155</f>
        <v>4155.0</v>
      </c>
      <c r="L137" s="34" t="s">
        <v>48</v>
      </c>
      <c r="M137" s="33" t="n">
        <f>4527</f>
        <v>4527.0</v>
      </c>
      <c r="N137" s="34" t="s">
        <v>68</v>
      </c>
      <c r="O137" s="33" t="n">
        <f>4126</f>
        <v>4126.0</v>
      </c>
      <c r="P137" s="34" t="s">
        <v>48</v>
      </c>
      <c r="Q137" s="33" t="n">
        <f>4525</f>
        <v>4525.0</v>
      </c>
      <c r="R137" s="34" t="s">
        <v>49</v>
      </c>
      <c r="S137" s="35" t="n">
        <f>4327.72</f>
        <v>4327.72</v>
      </c>
      <c r="T137" s="32" t="n">
        <f>266801</f>
        <v>266801.0</v>
      </c>
      <c r="U137" s="32" t="n">
        <f>2012</f>
        <v>2012.0</v>
      </c>
      <c r="V137" s="32" t="n">
        <f>1153802953</f>
        <v>1.153802953E9</v>
      </c>
      <c r="W137" s="32" t="n">
        <f>8378080</f>
        <v>8378080.0</v>
      </c>
      <c r="X137" s="36" t="n">
        <f>18</f>
        <v>18.0</v>
      </c>
    </row>
    <row r="138">
      <c r="A138" s="27" t="s">
        <v>42</v>
      </c>
      <c r="B138" s="27" t="s">
        <v>456</v>
      </c>
      <c r="C138" s="27" t="s">
        <v>457</v>
      </c>
      <c r="D138" s="27" t="s">
        <v>458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3776</f>
        <v>3776.0</v>
      </c>
      <c r="L138" s="34" t="s">
        <v>48</v>
      </c>
      <c r="M138" s="33" t="n">
        <f>3900</f>
        <v>3900.0</v>
      </c>
      <c r="N138" s="34" t="s">
        <v>68</v>
      </c>
      <c r="O138" s="33" t="n">
        <f>3730</f>
        <v>3730.0</v>
      </c>
      <c r="P138" s="34" t="s">
        <v>83</v>
      </c>
      <c r="Q138" s="33" t="n">
        <f>3866</f>
        <v>3866.0</v>
      </c>
      <c r="R138" s="34" t="s">
        <v>49</v>
      </c>
      <c r="S138" s="35" t="n">
        <f>3818.56</f>
        <v>3818.56</v>
      </c>
      <c r="T138" s="32" t="n">
        <f>155042</f>
        <v>155042.0</v>
      </c>
      <c r="U138" s="32" t="n">
        <f>8</f>
        <v>8.0</v>
      </c>
      <c r="V138" s="32" t="n">
        <f>590214873</f>
        <v>5.90214873E8</v>
      </c>
      <c r="W138" s="32" t="n">
        <f>30376</f>
        <v>30376.0</v>
      </c>
      <c r="X138" s="36" t="n">
        <f>18</f>
        <v>18.0</v>
      </c>
    </row>
    <row r="139">
      <c r="A139" s="27" t="s">
        <v>42</v>
      </c>
      <c r="B139" s="27" t="s">
        <v>459</v>
      </c>
      <c r="C139" s="27" t="s">
        <v>460</v>
      </c>
      <c r="D139" s="27" t="s">
        <v>461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11045</f>
        <v>11045.0</v>
      </c>
      <c r="L139" s="34" t="s">
        <v>48</v>
      </c>
      <c r="M139" s="33" t="n">
        <f>11090</f>
        <v>11090.0</v>
      </c>
      <c r="N139" s="34" t="s">
        <v>67</v>
      </c>
      <c r="O139" s="33" t="n">
        <f>10500</f>
        <v>10500.0</v>
      </c>
      <c r="P139" s="34" t="s">
        <v>70</v>
      </c>
      <c r="Q139" s="33" t="n">
        <f>10640</f>
        <v>10640.0</v>
      </c>
      <c r="R139" s="34" t="s">
        <v>49</v>
      </c>
      <c r="S139" s="35" t="n">
        <f>10728.61</f>
        <v>10728.61</v>
      </c>
      <c r="T139" s="32" t="n">
        <f>391830</f>
        <v>391830.0</v>
      </c>
      <c r="U139" s="32" t="n">
        <f>289902</f>
        <v>289902.0</v>
      </c>
      <c r="V139" s="32" t="n">
        <f>4208070077</f>
        <v>4.208070077E9</v>
      </c>
      <c r="W139" s="32" t="n">
        <f>3114470022</f>
        <v>3.114470022E9</v>
      </c>
      <c r="X139" s="36" t="n">
        <f>18</f>
        <v>18.0</v>
      </c>
    </row>
    <row r="140">
      <c r="A140" s="27" t="s">
        <v>42</v>
      </c>
      <c r="B140" s="27" t="s">
        <v>462</v>
      </c>
      <c r="C140" s="27" t="s">
        <v>463</v>
      </c>
      <c r="D140" s="27" t="s">
        <v>464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5664</f>
        <v>5664.0</v>
      </c>
      <c r="L140" s="34" t="s">
        <v>48</v>
      </c>
      <c r="M140" s="33" t="n">
        <f>6002</f>
        <v>6002.0</v>
      </c>
      <c r="N140" s="34" t="s">
        <v>69</v>
      </c>
      <c r="O140" s="33" t="n">
        <f>5128</f>
        <v>5128.0</v>
      </c>
      <c r="P140" s="34" t="s">
        <v>67</v>
      </c>
      <c r="Q140" s="33" t="n">
        <f>5183</f>
        <v>5183.0</v>
      </c>
      <c r="R140" s="34" t="s">
        <v>49</v>
      </c>
      <c r="S140" s="35" t="n">
        <f>5529.22</f>
        <v>5529.22</v>
      </c>
      <c r="T140" s="32" t="n">
        <f>7380969</f>
        <v>7380969.0</v>
      </c>
      <c r="U140" s="32" t="n">
        <f>27524</f>
        <v>27524.0</v>
      </c>
      <c r="V140" s="32" t="n">
        <f>40752026129</f>
        <v>4.0752026129E10</v>
      </c>
      <c r="W140" s="32" t="n">
        <f>151018882</f>
        <v>1.51018882E8</v>
      </c>
      <c r="X140" s="36" t="n">
        <f>18</f>
        <v>18.0</v>
      </c>
    </row>
    <row r="141">
      <c r="A141" s="27" t="s">
        <v>42</v>
      </c>
      <c r="B141" s="27" t="s">
        <v>465</v>
      </c>
      <c r="C141" s="27" t="s">
        <v>466</v>
      </c>
      <c r="D141" s="27" t="s">
        <v>467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67450</f>
        <v>67450.0</v>
      </c>
      <c r="L141" s="34" t="s">
        <v>48</v>
      </c>
      <c r="M141" s="33" t="n">
        <f>69600</f>
        <v>69600.0</v>
      </c>
      <c r="N141" s="34" t="s">
        <v>87</v>
      </c>
      <c r="O141" s="33" t="n">
        <f>64700</f>
        <v>64700.0</v>
      </c>
      <c r="P141" s="34" t="s">
        <v>70</v>
      </c>
      <c r="Q141" s="33" t="n">
        <f>66890</f>
        <v>66890.0</v>
      </c>
      <c r="R141" s="34" t="s">
        <v>49</v>
      </c>
      <c r="S141" s="35" t="n">
        <f>67309.44</f>
        <v>67309.44</v>
      </c>
      <c r="T141" s="32" t="n">
        <f>10939</f>
        <v>10939.0</v>
      </c>
      <c r="U141" s="32" t="str">
        <f>"－"</f>
        <v>－</v>
      </c>
      <c r="V141" s="32" t="n">
        <f>738320710</f>
        <v>7.3832071E8</v>
      </c>
      <c r="W141" s="32" t="str">
        <f>"－"</f>
        <v>－</v>
      </c>
      <c r="X141" s="36" t="n">
        <f>18</f>
        <v>18.0</v>
      </c>
    </row>
    <row r="142">
      <c r="A142" s="27" t="s">
        <v>42</v>
      </c>
      <c r="B142" s="27" t="s">
        <v>468</v>
      </c>
      <c r="C142" s="27" t="s">
        <v>469</v>
      </c>
      <c r="D142" s="27" t="s">
        <v>470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10.0</v>
      </c>
      <c r="K142" s="33" t="n">
        <f>10620</f>
        <v>10620.0</v>
      </c>
      <c r="L142" s="34" t="s">
        <v>48</v>
      </c>
      <c r="M142" s="33" t="n">
        <f>12630</f>
        <v>12630.0</v>
      </c>
      <c r="N142" s="34" t="s">
        <v>59</v>
      </c>
      <c r="O142" s="33" t="n">
        <f>10435</f>
        <v>10435.0</v>
      </c>
      <c r="P142" s="34" t="s">
        <v>70</v>
      </c>
      <c r="Q142" s="33" t="n">
        <f>10980</f>
        <v>10980.0</v>
      </c>
      <c r="R142" s="34" t="s">
        <v>49</v>
      </c>
      <c r="S142" s="35" t="n">
        <f>11251.67</f>
        <v>11251.67</v>
      </c>
      <c r="T142" s="32" t="n">
        <f>196730</f>
        <v>196730.0</v>
      </c>
      <c r="U142" s="32" t="str">
        <f>"－"</f>
        <v>－</v>
      </c>
      <c r="V142" s="32" t="n">
        <f>2257958450</f>
        <v>2.25795845E9</v>
      </c>
      <c r="W142" s="32" t="str">
        <f>"－"</f>
        <v>－</v>
      </c>
      <c r="X142" s="36" t="n">
        <f>18</f>
        <v>18.0</v>
      </c>
    </row>
    <row r="143">
      <c r="A143" s="27" t="s">
        <v>42</v>
      </c>
      <c r="B143" s="27" t="s">
        <v>471</v>
      </c>
      <c r="C143" s="27" t="s">
        <v>472</v>
      </c>
      <c r="D143" s="27" t="s">
        <v>473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28570</f>
        <v>28570.0</v>
      </c>
      <c r="L143" s="34" t="s">
        <v>48</v>
      </c>
      <c r="M143" s="33" t="n">
        <f>31020</f>
        <v>31020.0</v>
      </c>
      <c r="N143" s="34" t="s">
        <v>59</v>
      </c>
      <c r="O143" s="33" t="n">
        <f>27105</f>
        <v>27105.0</v>
      </c>
      <c r="P143" s="34" t="s">
        <v>70</v>
      </c>
      <c r="Q143" s="33" t="n">
        <f>27820</f>
        <v>27820.0</v>
      </c>
      <c r="R143" s="34" t="s">
        <v>49</v>
      </c>
      <c r="S143" s="35" t="n">
        <f>28741.67</f>
        <v>28741.67</v>
      </c>
      <c r="T143" s="32" t="n">
        <f>16990</f>
        <v>16990.0</v>
      </c>
      <c r="U143" s="32" t="n">
        <f>1</f>
        <v>1.0</v>
      </c>
      <c r="V143" s="32" t="n">
        <f>493579060</f>
        <v>4.9357906E8</v>
      </c>
      <c r="W143" s="32" t="n">
        <f>30510</f>
        <v>30510.0</v>
      </c>
      <c r="X143" s="36" t="n">
        <f>18</f>
        <v>18.0</v>
      </c>
    </row>
    <row r="144">
      <c r="A144" s="27" t="s">
        <v>42</v>
      </c>
      <c r="B144" s="27" t="s">
        <v>474</v>
      </c>
      <c r="C144" s="27" t="s">
        <v>475</v>
      </c>
      <c r="D144" s="27" t="s">
        <v>476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21895</f>
        <v>21895.0</v>
      </c>
      <c r="L144" s="34" t="s">
        <v>48</v>
      </c>
      <c r="M144" s="33" t="n">
        <f>22420</f>
        <v>22420.0</v>
      </c>
      <c r="N144" s="34" t="s">
        <v>67</v>
      </c>
      <c r="O144" s="33" t="n">
        <f>19630</f>
        <v>19630.0</v>
      </c>
      <c r="P144" s="34" t="s">
        <v>69</v>
      </c>
      <c r="Q144" s="33" t="n">
        <f>20000</f>
        <v>20000.0</v>
      </c>
      <c r="R144" s="34" t="s">
        <v>49</v>
      </c>
      <c r="S144" s="35" t="n">
        <f>20668.61</f>
        <v>20668.61</v>
      </c>
      <c r="T144" s="32" t="n">
        <f>5056</f>
        <v>5056.0</v>
      </c>
      <c r="U144" s="32" t="n">
        <f>1</f>
        <v>1.0</v>
      </c>
      <c r="V144" s="32" t="n">
        <f>104660690</f>
        <v>1.0466069E8</v>
      </c>
      <c r="W144" s="32" t="n">
        <f>21545</f>
        <v>21545.0</v>
      </c>
      <c r="X144" s="36" t="n">
        <f>18</f>
        <v>18.0</v>
      </c>
    </row>
    <row r="145">
      <c r="A145" s="27" t="s">
        <v>42</v>
      </c>
      <c r="B145" s="27" t="s">
        <v>477</v>
      </c>
      <c r="C145" s="27" t="s">
        <v>478</v>
      </c>
      <c r="D145" s="27" t="s">
        <v>479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46250</f>
        <v>46250.0</v>
      </c>
      <c r="L145" s="34" t="s">
        <v>48</v>
      </c>
      <c r="M145" s="33" t="n">
        <f>49700</f>
        <v>49700.0</v>
      </c>
      <c r="N145" s="34" t="s">
        <v>205</v>
      </c>
      <c r="O145" s="33" t="n">
        <f>45520</f>
        <v>45520.0</v>
      </c>
      <c r="P145" s="34" t="s">
        <v>49</v>
      </c>
      <c r="Q145" s="33" t="n">
        <f>45520</f>
        <v>45520.0</v>
      </c>
      <c r="R145" s="34" t="s">
        <v>49</v>
      </c>
      <c r="S145" s="35" t="n">
        <f>47269.44</f>
        <v>47269.44</v>
      </c>
      <c r="T145" s="32" t="n">
        <f>1860</f>
        <v>1860.0</v>
      </c>
      <c r="U145" s="32" t="n">
        <f>1</f>
        <v>1.0</v>
      </c>
      <c r="V145" s="32" t="n">
        <f>88226640</f>
        <v>8.822664E7</v>
      </c>
      <c r="W145" s="32" t="n">
        <f>49050</f>
        <v>49050.0</v>
      </c>
      <c r="X145" s="36" t="n">
        <f>18</f>
        <v>18.0</v>
      </c>
    </row>
    <row r="146">
      <c r="A146" s="27" t="s">
        <v>42</v>
      </c>
      <c r="B146" s="27" t="s">
        <v>480</v>
      </c>
      <c r="C146" s="27" t="s">
        <v>481</v>
      </c>
      <c r="D146" s="27" t="s">
        <v>482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60190</f>
        <v>60190.0</v>
      </c>
      <c r="L146" s="34" t="s">
        <v>48</v>
      </c>
      <c r="M146" s="33" t="n">
        <f>60800</f>
        <v>60800.0</v>
      </c>
      <c r="N146" s="34" t="s">
        <v>49</v>
      </c>
      <c r="O146" s="33" t="n">
        <f>59600</f>
        <v>59600.0</v>
      </c>
      <c r="P146" s="34" t="s">
        <v>209</v>
      </c>
      <c r="Q146" s="33" t="n">
        <f>60800</f>
        <v>60800.0</v>
      </c>
      <c r="R146" s="34" t="s">
        <v>49</v>
      </c>
      <c r="S146" s="35" t="n">
        <f>60088.82</f>
        <v>60088.82</v>
      </c>
      <c r="T146" s="32" t="n">
        <f>2750</f>
        <v>2750.0</v>
      </c>
      <c r="U146" s="32" t="n">
        <f>770</f>
        <v>770.0</v>
      </c>
      <c r="V146" s="32" t="n">
        <f>165115046</f>
        <v>1.65115046E8</v>
      </c>
      <c r="W146" s="32" t="n">
        <f>46209546</f>
        <v>4.6209546E7</v>
      </c>
      <c r="X146" s="36" t="n">
        <f>17</f>
        <v>17.0</v>
      </c>
    </row>
    <row r="147">
      <c r="A147" s="27" t="s">
        <v>42</v>
      </c>
      <c r="B147" s="27" t="s">
        <v>483</v>
      </c>
      <c r="C147" s="27" t="s">
        <v>484</v>
      </c>
      <c r="D147" s="27" t="s">
        <v>485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313.3</f>
        <v>313.3</v>
      </c>
      <c r="L147" s="34" t="s">
        <v>48</v>
      </c>
      <c r="M147" s="33" t="n">
        <f>319</f>
        <v>319.0</v>
      </c>
      <c r="N147" s="34" t="s">
        <v>67</v>
      </c>
      <c r="O147" s="33" t="n">
        <f>301.2</f>
        <v>301.2</v>
      </c>
      <c r="P147" s="34" t="s">
        <v>205</v>
      </c>
      <c r="Q147" s="33" t="n">
        <f>312.3</f>
        <v>312.3</v>
      </c>
      <c r="R147" s="34" t="s">
        <v>49</v>
      </c>
      <c r="S147" s="35" t="n">
        <f>309.23</f>
        <v>309.23</v>
      </c>
      <c r="T147" s="32" t="n">
        <f>12650700</f>
        <v>1.26507E7</v>
      </c>
      <c r="U147" s="32" t="n">
        <f>628440</f>
        <v>628440.0</v>
      </c>
      <c r="V147" s="32" t="n">
        <f>3910375658</f>
        <v>3.910375658E9</v>
      </c>
      <c r="W147" s="32" t="n">
        <f>194850410</f>
        <v>1.9485041E8</v>
      </c>
      <c r="X147" s="36" t="n">
        <f>18</f>
        <v>18.0</v>
      </c>
    </row>
    <row r="148">
      <c r="A148" s="27" t="s">
        <v>42</v>
      </c>
      <c r="B148" s="27" t="s">
        <v>486</v>
      </c>
      <c r="C148" s="27" t="s">
        <v>487</v>
      </c>
      <c r="D148" s="27" t="s">
        <v>488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62770</f>
        <v>62770.0</v>
      </c>
      <c r="L148" s="34" t="s">
        <v>67</v>
      </c>
      <c r="M148" s="33" t="n">
        <f>64350</f>
        <v>64350.0</v>
      </c>
      <c r="N148" s="34" t="s">
        <v>204</v>
      </c>
      <c r="O148" s="33" t="n">
        <f>62260</f>
        <v>62260.0</v>
      </c>
      <c r="P148" s="34" t="s">
        <v>203</v>
      </c>
      <c r="Q148" s="33" t="n">
        <f>64350</f>
        <v>64350.0</v>
      </c>
      <c r="R148" s="34" t="s">
        <v>204</v>
      </c>
      <c r="S148" s="35" t="n">
        <f>63160</f>
        <v>63160.0</v>
      </c>
      <c r="T148" s="32" t="n">
        <f>990</f>
        <v>990.0</v>
      </c>
      <c r="U148" s="32" t="n">
        <f>10</f>
        <v>10.0</v>
      </c>
      <c r="V148" s="32" t="n">
        <f>62382800</f>
        <v>6.23828E7</v>
      </c>
      <c r="W148" s="32" t="n">
        <f>630700</f>
        <v>630700.0</v>
      </c>
      <c r="X148" s="36" t="n">
        <f>9</f>
        <v>9.0</v>
      </c>
    </row>
    <row r="149">
      <c r="A149" s="27" t="s">
        <v>42</v>
      </c>
      <c r="B149" s="27" t="s">
        <v>489</v>
      </c>
      <c r="C149" s="27" t="s">
        <v>490</v>
      </c>
      <c r="D149" s="27" t="s">
        <v>491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7798</f>
        <v>7798.0</v>
      </c>
      <c r="L149" s="34" t="s">
        <v>48</v>
      </c>
      <c r="M149" s="33" t="n">
        <f>8237</f>
        <v>8237.0</v>
      </c>
      <c r="N149" s="34" t="s">
        <v>49</v>
      </c>
      <c r="O149" s="33" t="n">
        <f>7789</f>
        <v>7789.0</v>
      </c>
      <c r="P149" s="34" t="s">
        <v>48</v>
      </c>
      <c r="Q149" s="33" t="n">
        <f>8220</f>
        <v>8220.0</v>
      </c>
      <c r="R149" s="34" t="s">
        <v>49</v>
      </c>
      <c r="S149" s="35" t="n">
        <f>8028.11</f>
        <v>8028.11</v>
      </c>
      <c r="T149" s="32" t="n">
        <f>48642</f>
        <v>48642.0</v>
      </c>
      <c r="U149" s="32" t="n">
        <f>530</f>
        <v>530.0</v>
      </c>
      <c r="V149" s="32" t="n">
        <f>390084083</f>
        <v>3.90084083E8</v>
      </c>
      <c r="W149" s="32" t="n">
        <f>4265795</f>
        <v>4265795.0</v>
      </c>
      <c r="X149" s="36" t="n">
        <f>18</f>
        <v>18.0</v>
      </c>
    </row>
    <row r="150">
      <c r="A150" s="27" t="s">
        <v>42</v>
      </c>
      <c r="B150" s="27" t="s">
        <v>492</v>
      </c>
      <c r="C150" s="27" t="s">
        <v>493</v>
      </c>
      <c r="D150" s="27" t="s">
        <v>494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3160</f>
        <v>3160.0</v>
      </c>
      <c r="L150" s="34" t="s">
        <v>48</v>
      </c>
      <c r="M150" s="33" t="n">
        <f>3488</f>
        <v>3488.0</v>
      </c>
      <c r="N150" s="34" t="s">
        <v>49</v>
      </c>
      <c r="O150" s="33" t="n">
        <f>3158</f>
        <v>3158.0</v>
      </c>
      <c r="P150" s="34" t="s">
        <v>48</v>
      </c>
      <c r="Q150" s="33" t="n">
        <f>3488</f>
        <v>3488.0</v>
      </c>
      <c r="R150" s="34" t="s">
        <v>49</v>
      </c>
      <c r="S150" s="35" t="n">
        <f>3331.06</f>
        <v>3331.06</v>
      </c>
      <c r="T150" s="32" t="n">
        <f>170008</f>
        <v>170008.0</v>
      </c>
      <c r="U150" s="32" t="n">
        <f>31242</f>
        <v>31242.0</v>
      </c>
      <c r="V150" s="32" t="n">
        <f>577095269</f>
        <v>5.77095269E8</v>
      </c>
      <c r="W150" s="32" t="n">
        <f>107708017</f>
        <v>1.07708017E8</v>
      </c>
      <c r="X150" s="36" t="n">
        <f>18</f>
        <v>18.0</v>
      </c>
    </row>
    <row r="151">
      <c r="A151" s="27" t="s">
        <v>42</v>
      </c>
      <c r="B151" s="27" t="s">
        <v>495</v>
      </c>
      <c r="C151" s="27" t="s">
        <v>496</v>
      </c>
      <c r="D151" s="27" t="s">
        <v>497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2550</f>
        <v>2550.0</v>
      </c>
      <c r="L151" s="34" t="s">
        <v>48</v>
      </c>
      <c r="M151" s="33" t="n">
        <f>2749</f>
        <v>2749.0</v>
      </c>
      <c r="N151" s="34" t="s">
        <v>117</v>
      </c>
      <c r="O151" s="33" t="n">
        <f>2511</f>
        <v>2511.0</v>
      </c>
      <c r="P151" s="34" t="s">
        <v>67</v>
      </c>
      <c r="Q151" s="33" t="n">
        <f>2600</f>
        <v>2600.0</v>
      </c>
      <c r="R151" s="34" t="s">
        <v>49</v>
      </c>
      <c r="S151" s="35" t="n">
        <f>2596.47</f>
        <v>2596.47</v>
      </c>
      <c r="T151" s="32" t="n">
        <f>9030</f>
        <v>9030.0</v>
      </c>
      <c r="U151" s="32" t="str">
        <f>"－"</f>
        <v>－</v>
      </c>
      <c r="V151" s="32" t="n">
        <f>23470250</f>
        <v>2.347025E7</v>
      </c>
      <c r="W151" s="32" t="str">
        <f>"－"</f>
        <v>－</v>
      </c>
      <c r="X151" s="36" t="n">
        <f>17</f>
        <v>17.0</v>
      </c>
    </row>
    <row r="152">
      <c r="A152" s="27" t="s">
        <v>42</v>
      </c>
      <c r="B152" s="27" t="s">
        <v>498</v>
      </c>
      <c r="C152" s="27" t="s">
        <v>499</v>
      </c>
      <c r="D152" s="27" t="s">
        <v>500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910</f>
        <v>910.0</v>
      </c>
      <c r="L152" s="34" t="s">
        <v>48</v>
      </c>
      <c r="M152" s="33" t="n">
        <f>914.2</f>
        <v>914.2</v>
      </c>
      <c r="N152" s="34" t="s">
        <v>69</v>
      </c>
      <c r="O152" s="33" t="n">
        <f>800</f>
        <v>800.0</v>
      </c>
      <c r="P152" s="34" t="s">
        <v>49</v>
      </c>
      <c r="Q152" s="33" t="n">
        <f>800</f>
        <v>800.0</v>
      </c>
      <c r="R152" s="34" t="s">
        <v>49</v>
      </c>
      <c r="S152" s="35" t="n">
        <f>848.17</f>
        <v>848.17</v>
      </c>
      <c r="T152" s="32" t="n">
        <f>85080</f>
        <v>85080.0</v>
      </c>
      <c r="U152" s="32" t="str">
        <f>"－"</f>
        <v>－</v>
      </c>
      <c r="V152" s="32" t="n">
        <f>72252473</f>
        <v>7.2252473E7</v>
      </c>
      <c r="W152" s="32" t="str">
        <f>"－"</f>
        <v>－</v>
      </c>
      <c r="X152" s="36" t="n">
        <f>18</f>
        <v>18.0</v>
      </c>
    </row>
    <row r="153">
      <c r="A153" s="27" t="s">
        <v>42</v>
      </c>
      <c r="B153" s="27" t="s">
        <v>501</v>
      </c>
      <c r="C153" s="27" t="s">
        <v>502</v>
      </c>
      <c r="D153" s="27" t="s">
        <v>503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3040</f>
        <v>3040.0</v>
      </c>
      <c r="L153" s="34" t="s">
        <v>48</v>
      </c>
      <c r="M153" s="33" t="n">
        <f>3400</f>
        <v>3400.0</v>
      </c>
      <c r="N153" s="34" t="s">
        <v>83</v>
      </c>
      <c r="O153" s="33" t="n">
        <f>3010</f>
        <v>3010.0</v>
      </c>
      <c r="P153" s="34" t="s">
        <v>48</v>
      </c>
      <c r="Q153" s="33" t="n">
        <f>3195</f>
        <v>3195.0</v>
      </c>
      <c r="R153" s="34" t="s">
        <v>49</v>
      </c>
      <c r="S153" s="35" t="n">
        <f>3191.06</f>
        <v>3191.06</v>
      </c>
      <c r="T153" s="32" t="n">
        <f>3950</f>
        <v>3950.0</v>
      </c>
      <c r="U153" s="32" t="str">
        <f>"－"</f>
        <v>－</v>
      </c>
      <c r="V153" s="32" t="n">
        <f>12617330</f>
        <v>1.261733E7</v>
      </c>
      <c r="W153" s="32" t="str">
        <f>"－"</f>
        <v>－</v>
      </c>
      <c r="X153" s="36" t="n">
        <f>18</f>
        <v>18.0</v>
      </c>
    </row>
    <row r="154">
      <c r="A154" s="27" t="s">
        <v>42</v>
      </c>
      <c r="B154" s="27" t="s">
        <v>504</v>
      </c>
      <c r="C154" s="27" t="s">
        <v>505</v>
      </c>
      <c r="D154" s="27" t="s">
        <v>506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1091</f>
        <v>1091.0</v>
      </c>
      <c r="L154" s="34" t="s">
        <v>48</v>
      </c>
      <c r="M154" s="33" t="n">
        <f>1110.5</f>
        <v>1110.5</v>
      </c>
      <c r="N154" s="34" t="s">
        <v>69</v>
      </c>
      <c r="O154" s="33" t="n">
        <f>1000</f>
        <v>1000.0</v>
      </c>
      <c r="P154" s="34" t="s">
        <v>209</v>
      </c>
      <c r="Q154" s="33" t="n">
        <f>1017.5</f>
        <v>1017.5</v>
      </c>
      <c r="R154" s="34" t="s">
        <v>49</v>
      </c>
      <c r="S154" s="35" t="n">
        <f>1034.64</f>
        <v>1034.64</v>
      </c>
      <c r="T154" s="32" t="n">
        <f>417340</f>
        <v>417340.0</v>
      </c>
      <c r="U154" s="32" t="str">
        <f>"－"</f>
        <v>－</v>
      </c>
      <c r="V154" s="32" t="n">
        <f>433775055</f>
        <v>4.33775055E8</v>
      </c>
      <c r="W154" s="32" t="str">
        <f>"－"</f>
        <v>－</v>
      </c>
      <c r="X154" s="36" t="n">
        <f>18</f>
        <v>18.0</v>
      </c>
    </row>
    <row r="155">
      <c r="A155" s="27" t="s">
        <v>42</v>
      </c>
      <c r="B155" s="27" t="s">
        <v>507</v>
      </c>
      <c r="C155" s="27" t="s">
        <v>508</v>
      </c>
      <c r="D155" s="27" t="s">
        <v>509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589</f>
        <v>589.0</v>
      </c>
      <c r="L155" s="34" t="s">
        <v>48</v>
      </c>
      <c r="M155" s="33" t="n">
        <f>605</f>
        <v>605.0</v>
      </c>
      <c r="N155" s="34" t="s">
        <v>117</v>
      </c>
      <c r="O155" s="33" t="n">
        <f>561.2</f>
        <v>561.2</v>
      </c>
      <c r="P155" s="34" t="s">
        <v>100</v>
      </c>
      <c r="Q155" s="33" t="n">
        <f>574.4</f>
        <v>574.4</v>
      </c>
      <c r="R155" s="34" t="s">
        <v>49</v>
      </c>
      <c r="S155" s="35" t="n">
        <f>583.53</f>
        <v>583.53</v>
      </c>
      <c r="T155" s="32" t="n">
        <f>665960</f>
        <v>665960.0</v>
      </c>
      <c r="U155" s="32" t="str">
        <f>"－"</f>
        <v>－</v>
      </c>
      <c r="V155" s="32" t="n">
        <f>389776095</f>
        <v>3.89776095E8</v>
      </c>
      <c r="W155" s="32" t="str">
        <f>"－"</f>
        <v>－</v>
      </c>
      <c r="X155" s="36" t="n">
        <f>18</f>
        <v>18.0</v>
      </c>
    </row>
    <row r="156">
      <c r="A156" s="27" t="s">
        <v>42</v>
      </c>
      <c r="B156" s="27" t="s">
        <v>510</v>
      </c>
      <c r="C156" s="27" t="s">
        <v>511</v>
      </c>
      <c r="D156" s="27" t="s">
        <v>512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800</f>
        <v>800.0</v>
      </c>
      <c r="L156" s="34" t="s">
        <v>48</v>
      </c>
      <c r="M156" s="33" t="n">
        <f>890</f>
        <v>890.0</v>
      </c>
      <c r="N156" s="34" t="s">
        <v>49</v>
      </c>
      <c r="O156" s="33" t="n">
        <f>789</f>
        <v>789.0</v>
      </c>
      <c r="P156" s="34" t="s">
        <v>67</v>
      </c>
      <c r="Q156" s="33" t="n">
        <f>884</f>
        <v>884.0</v>
      </c>
      <c r="R156" s="34" t="s">
        <v>49</v>
      </c>
      <c r="S156" s="35" t="n">
        <f>831.28</f>
        <v>831.28</v>
      </c>
      <c r="T156" s="32" t="n">
        <f>1535092</f>
        <v>1535092.0</v>
      </c>
      <c r="U156" s="32" t="n">
        <f>1</f>
        <v>1.0</v>
      </c>
      <c r="V156" s="32" t="n">
        <f>1290296373</f>
        <v>1.290296373E9</v>
      </c>
      <c r="W156" s="32" t="n">
        <f>823</f>
        <v>823.0</v>
      </c>
      <c r="X156" s="36" t="n">
        <f>18</f>
        <v>18.0</v>
      </c>
    </row>
    <row r="157">
      <c r="A157" s="27" t="s">
        <v>42</v>
      </c>
      <c r="B157" s="27" t="s">
        <v>513</v>
      </c>
      <c r="C157" s="27" t="s">
        <v>514</v>
      </c>
      <c r="D157" s="27" t="s">
        <v>515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2659</f>
        <v>2659.0</v>
      </c>
      <c r="L157" s="34" t="s">
        <v>48</v>
      </c>
      <c r="M157" s="33" t="n">
        <f>2674</f>
        <v>2674.0</v>
      </c>
      <c r="N157" s="34" t="s">
        <v>69</v>
      </c>
      <c r="O157" s="33" t="n">
        <f>2301.5</f>
        <v>2301.5</v>
      </c>
      <c r="P157" s="34" t="s">
        <v>67</v>
      </c>
      <c r="Q157" s="33" t="n">
        <f>2415</f>
        <v>2415.0</v>
      </c>
      <c r="R157" s="34" t="s">
        <v>49</v>
      </c>
      <c r="S157" s="35" t="n">
        <f>2481.64</f>
        <v>2481.64</v>
      </c>
      <c r="T157" s="32" t="n">
        <f>102340</f>
        <v>102340.0</v>
      </c>
      <c r="U157" s="32" t="str">
        <f>"－"</f>
        <v>－</v>
      </c>
      <c r="V157" s="32" t="n">
        <f>254172625</f>
        <v>2.54172625E8</v>
      </c>
      <c r="W157" s="32" t="str">
        <f>"－"</f>
        <v>－</v>
      </c>
      <c r="X157" s="36" t="n">
        <f>18</f>
        <v>18.0</v>
      </c>
    </row>
    <row r="158">
      <c r="A158" s="27" t="s">
        <v>42</v>
      </c>
      <c r="B158" s="27" t="s">
        <v>516</v>
      </c>
      <c r="C158" s="27" t="s">
        <v>517</v>
      </c>
      <c r="D158" s="27" t="s">
        <v>518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14860</f>
        <v>14860.0</v>
      </c>
      <c r="L158" s="34" t="s">
        <v>48</v>
      </c>
      <c r="M158" s="33" t="n">
        <f>16195</f>
        <v>16195.0</v>
      </c>
      <c r="N158" s="34" t="s">
        <v>83</v>
      </c>
      <c r="O158" s="33" t="n">
        <f>13240</f>
        <v>13240.0</v>
      </c>
      <c r="P158" s="34" t="s">
        <v>49</v>
      </c>
      <c r="Q158" s="33" t="n">
        <f>13320</f>
        <v>13320.0</v>
      </c>
      <c r="R158" s="34" t="s">
        <v>49</v>
      </c>
      <c r="S158" s="35" t="n">
        <f>14539.44</f>
        <v>14539.44</v>
      </c>
      <c r="T158" s="32" t="n">
        <f>9002</f>
        <v>9002.0</v>
      </c>
      <c r="U158" s="32" t="str">
        <f>"－"</f>
        <v>－</v>
      </c>
      <c r="V158" s="32" t="n">
        <f>130847275</f>
        <v>1.30847275E8</v>
      </c>
      <c r="W158" s="32" t="str">
        <f>"－"</f>
        <v>－</v>
      </c>
      <c r="X158" s="36" t="n">
        <f>18</f>
        <v>18.0</v>
      </c>
    </row>
    <row r="159">
      <c r="A159" s="27" t="s">
        <v>42</v>
      </c>
      <c r="B159" s="27" t="s">
        <v>519</v>
      </c>
      <c r="C159" s="27" t="s">
        <v>520</v>
      </c>
      <c r="D159" s="27" t="s">
        <v>521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100.0</v>
      </c>
      <c r="K159" s="33" t="n">
        <f>732.3</f>
        <v>732.3</v>
      </c>
      <c r="L159" s="34" t="s">
        <v>48</v>
      </c>
      <c r="M159" s="33" t="n">
        <f>798</f>
        <v>798.0</v>
      </c>
      <c r="N159" s="34" t="s">
        <v>117</v>
      </c>
      <c r="O159" s="33" t="n">
        <f>706.7</f>
        <v>706.7</v>
      </c>
      <c r="P159" s="34" t="s">
        <v>67</v>
      </c>
      <c r="Q159" s="33" t="n">
        <f>776.1</f>
        <v>776.1</v>
      </c>
      <c r="R159" s="34" t="s">
        <v>49</v>
      </c>
      <c r="S159" s="35" t="n">
        <f>756.42</f>
        <v>756.42</v>
      </c>
      <c r="T159" s="32" t="n">
        <f>198600</f>
        <v>198600.0</v>
      </c>
      <c r="U159" s="32" t="n">
        <f>300</f>
        <v>300.0</v>
      </c>
      <c r="V159" s="32" t="n">
        <f>149907580</f>
        <v>1.4990758E8</v>
      </c>
      <c r="W159" s="32" t="n">
        <f>231590</f>
        <v>231590.0</v>
      </c>
      <c r="X159" s="36" t="n">
        <f>18</f>
        <v>18.0</v>
      </c>
    </row>
    <row r="160">
      <c r="A160" s="27" t="s">
        <v>42</v>
      </c>
      <c r="B160" s="27" t="s">
        <v>522</v>
      </c>
      <c r="C160" s="27" t="s">
        <v>523</v>
      </c>
      <c r="D160" s="27" t="s">
        <v>524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8168</f>
        <v>8168.0</v>
      </c>
      <c r="L160" s="34" t="s">
        <v>48</v>
      </c>
      <c r="M160" s="33" t="n">
        <f>9100</f>
        <v>9100.0</v>
      </c>
      <c r="N160" s="34" t="s">
        <v>205</v>
      </c>
      <c r="O160" s="33" t="n">
        <f>8000</f>
        <v>8000.0</v>
      </c>
      <c r="P160" s="34" t="s">
        <v>48</v>
      </c>
      <c r="Q160" s="33" t="n">
        <f>8822</f>
        <v>8822.0</v>
      </c>
      <c r="R160" s="34" t="s">
        <v>49</v>
      </c>
      <c r="S160" s="35" t="n">
        <f>8676</f>
        <v>8676.0</v>
      </c>
      <c r="T160" s="32" t="n">
        <f>385830</f>
        <v>385830.0</v>
      </c>
      <c r="U160" s="32" t="str">
        <f>"－"</f>
        <v>－</v>
      </c>
      <c r="V160" s="32" t="n">
        <f>3363781420</f>
        <v>3.36378142E9</v>
      </c>
      <c r="W160" s="32" t="str">
        <f>"－"</f>
        <v>－</v>
      </c>
      <c r="X160" s="36" t="n">
        <f>18</f>
        <v>18.0</v>
      </c>
    </row>
    <row r="161">
      <c r="A161" s="27" t="s">
        <v>42</v>
      </c>
      <c r="B161" s="27" t="s">
        <v>525</v>
      </c>
      <c r="C161" s="27" t="s">
        <v>526</v>
      </c>
      <c r="D161" s="27" t="s">
        <v>527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2636</f>
        <v>2636.0</v>
      </c>
      <c r="L161" s="34" t="s">
        <v>48</v>
      </c>
      <c r="M161" s="33" t="n">
        <f>2714.5</f>
        <v>2714.5</v>
      </c>
      <c r="N161" s="34" t="s">
        <v>48</v>
      </c>
      <c r="O161" s="33" t="n">
        <f>2500</f>
        <v>2500.0</v>
      </c>
      <c r="P161" s="34" t="s">
        <v>83</v>
      </c>
      <c r="Q161" s="33" t="n">
        <f>2639.5</f>
        <v>2639.5</v>
      </c>
      <c r="R161" s="34" t="s">
        <v>49</v>
      </c>
      <c r="S161" s="35" t="n">
        <f>2619.44</f>
        <v>2619.44</v>
      </c>
      <c r="T161" s="32" t="n">
        <f>17610</f>
        <v>17610.0</v>
      </c>
      <c r="U161" s="32" t="str">
        <f>"－"</f>
        <v>－</v>
      </c>
      <c r="V161" s="32" t="n">
        <f>46013230</f>
        <v>4.601323E7</v>
      </c>
      <c r="W161" s="32" t="str">
        <f>"－"</f>
        <v>－</v>
      </c>
      <c r="X161" s="36" t="n">
        <f>18</f>
        <v>18.0</v>
      </c>
    </row>
    <row r="162">
      <c r="A162" s="27" t="s">
        <v>42</v>
      </c>
      <c r="B162" s="27" t="s">
        <v>528</v>
      </c>
      <c r="C162" s="27" t="s">
        <v>529</v>
      </c>
      <c r="D162" s="27" t="s">
        <v>530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3310</f>
        <v>3310.0</v>
      </c>
      <c r="L162" s="34" t="s">
        <v>48</v>
      </c>
      <c r="M162" s="33" t="n">
        <f>3597</f>
        <v>3597.0</v>
      </c>
      <c r="N162" s="34" t="s">
        <v>69</v>
      </c>
      <c r="O162" s="33" t="n">
        <f>3126</f>
        <v>3126.0</v>
      </c>
      <c r="P162" s="34" t="s">
        <v>67</v>
      </c>
      <c r="Q162" s="33" t="n">
        <f>3261</f>
        <v>3261.0</v>
      </c>
      <c r="R162" s="34" t="s">
        <v>49</v>
      </c>
      <c r="S162" s="35" t="n">
        <f>3358.72</f>
        <v>3358.72</v>
      </c>
      <c r="T162" s="32" t="n">
        <f>571973</f>
        <v>571973.0</v>
      </c>
      <c r="U162" s="32" t="n">
        <f>100</f>
        <v>100.0</v>
      </c>
      <c r="V162" s="32" t="n">
        <f>1928189261</f>
        <v>1.928189261E9</v>
      </c>
      <c r="W162" s="32" t="n">
        <f>331700</f>
        <v>331700.0</v>
      </c>
      <c r="X162" s="36" t="n">
        <f>18</f>
        <v>18.0</v>
      </c>
    </row>
    <row r="163">
      <c r="A163" s="27" t="s">
        <v>42</v>
      </c>
      <c r="B163" s="27" t="s">
        <v>531</v>
      </c>
      <c r="C163" s="27" t="s">
        <v>532</v>
      </c>
      <c r="D163" s="27" t="s">
        <v>533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3192</f>
        <v>3192.0</v>
      </c>
      <c r="L163" s="34" t="s">
        <v>48</v>
      </c>
      <c r="M163" s="33" t="n">
        <f>3200</f>
        <v>3200.0</v>
      </c>
      <c r="N163" s="34" t="s">
        <v>48</v>
      </c>
      <c r="O163" s="33" t="n">
        <f>2952</f>
        <v>2952.0</v>
      </c>
      <c r="P163" s="34" t="s">
        <v>49</v>
      </c>
      <c r="Q163" s="33" t="n">
        <f>2998</f>
        <v>2998.0</v>
      </c>
      <c r="R163" s="34" t="s">
        <v>49</v>
      </c>
      <c r="S163" s="35" t="n">
        <f>3069.67</f>
        <v>3069.67</v>
      </c>
      <c r="T163" s="32" t="n">
        <f>272636</f>
        <v>272636.0</v>
      </c>
      <c r="U163" s="32" t="n">
        <f>2</f>
        <v>2.0</v>
      </c>
      <c r="V163" s="32" t="n">
        <f>835929263</f>
        <v>8.35929263E8</v>
      </c>
      <c r="W163" s="32" t="n">
        <f>6294</f>
        <v>6294.0</v>
      </c>
      <c r="X163" s="36" t="n">
        <f>18</f>
        <v>18.0</v>
      </c>
    </row>
    <row r="164">
      <c r="A164" s="27" t="s">
        <v>42</v>
      </c>
      <c r="B164" s="27" t="s">
        <v>534</v>
      </c>
      <c r="C164" s="27" t="s">
        <v>535</v>
      </c>
      <c r="D164" s="27" t="s">
        <v>536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4640</f>
        <v>4640.0</v>
      </c>
      <c r="L164" s="34" t="s">
        <v>48</v>
      </c>
      <c r="M164" s="33" t="n">
        <f>4800</f>
        <v>4800.0</v>
      </c>
      <c r="N164" s="34" t="s">
        <v>59</v>
      </c>
      <c r="O164" s="33" t="n">
        <f>4432</f>
        <v>4432.0</v>
      </c>
      <c r="P164" s="34" t="s">
        <v>209</v>
      </c>
      <c r="Q164" s="33" t="n">
        <f>4598</f>
        <v>4598.0</v>
      </c>
      <c r="R164" s="34" t="s">
        <v>49</v>
      </c>
      <c r="S164" s="35" t="n">
        <f>4583.06</f>
        <v>4583.06</v>
      </c>
      <c r="T164" s="32" t="n">
        <f>25310</f>
        <v>25310.0</v>
      </c>
      <c r="U164" s="32" t="n">
        <f>10</f>
        <v>10.0</v>
      </c>
      <c r="V164" s="32" t="n">
        <f>116524970</f>
        <v>1.1652497E8</v>
      </c>
      <c r="W164" s="32" t="n">
        <f>46410</f>
        <v>46410.0</v>
      </c>
      <c r="X164" s="36" t="n">
        <f>18</f>
        <v>18.0</v>
      </c>
    </row>
    <row r="165">
      <c r="A165" s="27" t="s">
        <v>42</v>
      </c>
      <c r="B165" s="27" t="s">
        <v>537</v>
      </c>
      <c r="C165" s="27" t="s">
        <v>538</v>
      </c>
      <c r="D165" s="27" t="s">
        <v>539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3904</f>
        <v>3904.0</v>
      </c>
      <c r="L165" s="34" t="s">
        <v>48</v>
      </c>
      <c r="M165" s="33" t="n">
        <f>4110</f>
        <v>4110.0</v>
      </c>
      <c r="N165" s="34" t="s">
        <v>69</v>
      </c>
      <c r="O165" s="33" t="n">
        <f>3866</f>
        <v>3866.0</v>
      </c>
      <c r="P165" s="34" t="s">
        <v>48</v>
      </c>
      <c r="Q165" s="33" t="n">
        <f>4047</f>
        <v>4047.0</v>
      </c>
      <c r="R165" s="34" t="s">
        <v>49</v>
      </c>
      <c r="S165" s="35" t="n">
        <f>4016.39</f>
        <v>4016.39</v>
      </c>
      <c r="T165" s="32" t="n">
        <f>497170</f>
        <v>497170.0</v>
      </c>
      <c r="U165" s="32" t="n">
        <f>148874</f>
        <v>148874.0</v>
      </c>
      <c r="V165" s="32" t="n">
        <f>1985195085</f>
        <v>1.985195085E9</v>
      </c>
      <c r="W165" s="32" t="n">
        <f>601219129</f>
        <v>6.01219129E8</v>
      </c>
      <c r="X165" s="36" t="n">
        <f>18</f>
        <v>18.0</v>
      </c>
    </row>
    <row r="166">
      <c r="A166" s="27" t="s">
        <v>42</v>
      </c>
      <c r="B166" s="27" t="s">
        <v>540</v>
      </c>
      <c r="C166" s="27" t="s">
        <v>541</v>
      </c>
      <c r="D166" s="27" t="s">
        <v>542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659</f>
        <v>659.0</v>
      </c>
      <c r="L166" s="34" t="s">
        <v>48</v>
      </c>
      <c r="M166" s="33" t="n">
        <f>704.8</f>
        <v>704.8</v>
      </c>
      <c r="N166" s="34" t="s">
        <v>69</v>
      </c>
      <c r="O166" s="33" t="n">
        <f>610</f>
        <v>610.0</v>
      </c>
      <c r="P166" s="34" t="s">
        <v>67</v>
      </c>
      <c r="Q166" s="33" t="n">
        <f>629.5</f>
        <v>629.5</v>
      </c>
      <c r="R166" s="34" t="s">
        <v>49</v>
      </c>
      <c r="S166" s="35" t="n">
        <f>655.88</f>
        <v>655.88</v>
      </c>
      <c r="T166" s="32" t="n">
        <f>13240560</f>
        <v>1.324056E7</v>
      </c>
      <c r="U166" s="32" t="n">
        <f>154240</f>
        <v>154240.0</v>
      </c>
      <c r="V166" s="32" t="n">
        <f>8589716942</f>
        <v>8.589716942E9</v>
      </c>
      <c r="W166" s="32" t="n">
        <f>99823458</f>
        <v>9.9823458E7</v>
      </c>
      <c r="X166" s="36" t="n">
        <f>18</f>
        <v>18.0</v>
      </c>
    </row>
    <row r="167">
      <c r="A167" s="27" t="s">
        <v>42</v>
      </c>
      <c r="B167" s="27" t="s">
        <v>543</v>
      </c>
      <c r="C167" s="27" t="s">
        <v>544</v>
      </c>
      <c r="D167" s="27" t="s">
        <v>545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2891</f>
        <v>2891.0</v>
      </c>
      <c r="L167" s="34" t="s">
        <v>48</v>
      </c>
      <c r="M167" s="33" t="n">
        <f>3077</f>
        <v>3077.0</v>
      </c>
      <c r="N167" s="34" t="s">
        <v>59</v>
      </c>
      <c r="O167" s="33" t="n">
        <f>2850</f>
        <v>2850.0</v>
      </c>
      <c r="P167" s="34" t="s">
        <v>48</v>
      </c>
      <c r="Q167" s="33" t="n">
        <f>2986</f>
        <v>2986.0</v>
      </c>
      <c r="R167" s="34" t="s">
        <v>49</v>
      </c>
      <c r="S167" s="35" t="n">
        <f>2982.06</f>
        <v>2982.06</v>
      </c>
      <c r="T167" s="32" t="n">
        <f>12597</f>
        <v>12597.0</v>
      </c>
      <c r="U167" s="32" t="n">
        <f>5</f>
        <v>5.0</v>
      </c>
      <c r="V167" s="32" t="n">
        <f>37843638</f>
        <v>3.7843638E7</v>
      </c>
      <c r="W167" s="32" t="n">
        <f>15245</f>
        <v>15245.0</v>
      </c>
      <c r="X167" s="36" t="n">
        <f>18</f>
        <v>18.0</v>
      </c>
    </row>
    <row r="168">
      <c r="A168" s="27" t="s">
        <v>42</v>
      </c>
      <c r="B168" s="27" t="s">
        <v>546</v>
      </c>
      <c r="C168" s="27" t="s">
        <v>547</v>
      </c>
      <c r="D168" s="27" t="s">
        <v>548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1570</f>
        <v>1570.0</v>
      </c>
      <c r="L168" s="34" t="s">
        <v>48</v>
      </c>
      <c r="M168" s="33" t="n">
        <f>1695</f>
        <v>1695.0</v>
      </c>
      <c r="N168" s="34" t="s">
        <v>49</v>
      </c>
      <c r="O168" s="33" t="n">
        <f>1565</f>
        <v>1565.0</v>
      </c>
      <c r="P168" s="34" t="s">
        <v>48</v>
      </c>
      <c r="Q168" s="33" t="n">
        <f>1695</f>
        <v>1695.0</v>
      </c>
      <c r="R168" s="34" t="s">
        <v>49</v>
      </c>
      <c r="S168" s="35" t="n">
        <f>1628.06</f>
        <v>1628.06</v>
      </c>
      <c r="T168" s="32" t="n">
        <f>673805</f>
        <v>673805.0</v>
      </c>
      <c r="U168" s="32" t="n">
        <f>230</f>
        <v>230.0</v>
      </c>
      <c r="V168" s="32" t="n">
        <f>1099925751</f>
        <v>1.099925751E9</v>
      </c>
      <c r="W168" s="32" t="n">
        <f>370240</f>
        <v>370240.0</v>
      </c>
      <c r="X168" s="36" t="n">
        <f>18</f>
        <v>18.0</v>
      </c>
    </row>
    <row r="169">
      <c r="A169" s="27" t="s">
        <v>42</v>
      </c>
      <c r="B169" s="27" t="s">
        <v>549</v>
      </c>
      <c r="C169" s="27" t="s">
        <v>550</v>
      </c>
      <c r="D169" s="27" t="s">
        <v>551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254.2</f>
        <v>254.2</v>
      </c>
      <c r="L169" s="34" t="s">
        <v>48</v>
      </c>
      <c r="M169" s="33" t="n">
        <f>256.3</f>
        <v>256.3</v>
      </c>
      <c r="N169" s="34" t="s">
        <v>67</v>
      </c>
      <c r="O169" s="33" t="n">
        <f>244.9</f>
        <v>244.9</v>
      </c>
      <c r="P169" s="34" t="s">
        <v>196</v>
      </c>
      <c r="Q169" s="33" t="n">
        <f>253.4</f>
        <v>253.4</v>
      </c>
      <c r="R169" s="34" t="s">
        <v>49</v>
      </c>
      <c r="S169" s="35" t="n">
        <f>250.98</f>
        <v>250.98</v>
      </c>
      <c r="T169" s="32" t="n">
        <f>3469400</f>
        <v>3469400.0</v>
      </c>
      <c r="U169" s="32" t="n">
        <f>100</f>
        <v>100.0</v>
      </c>
      <c r="V169" s="32" t="n">
        <f>866195482</f>
        <v>8.66195482E8</v>
      </c>
      <c r="W169" s="32" t="n">
        <f>25260</f>
        <v>25260.0</v>
      </c>
      <c r="X169" s="36" t="n">
        <f>18</f>
        <v>18.0</v>
      </c>
    </row>
    <row r="170">
      <c r="A170" s="27" t="s">
        <v>42</v>
      </c>
      <c r="B170" s="27" t="s">
        <v>552</v>
      </c>
      <c r="C170" s="27" t="s">
        <v>553</v>
      </c>
      <c r="D170" s="27" t="s">
        <v>554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295</f>
        <v>295.0</v>
      </c>
      <c r="L170" s="34" t="s">
        <v>48</v>
      </c>
      <c r="M170" s="33" t="n">
        <f>295</f>
        <v>295.0</v>
      </c>
      <c r="N170" s="34" t="s">
        <v>48</v>
      </c>
      <c r="O170" s="33" t="n">
        <f>285</f>
        <v>285.0</v>
      </c>
      <c r="P170" s="34" t="s">
        <v>100</v>
      </c>
      <c r="Q170" s="33" t="n">
        <f>294.7</f>
        <v>294.7</v>
      </c>
      <c r="R170" s="34" t="s">
        <v>49</v>
      </c>
      <c r="S170" s="35" t="n">
        <f>290.56</f>
        <v>290.56</v>
      </c>
      <c r="T170" s="32" t="n">
        <f>6002290</f>
        <v>6002290.0</v>
      </c>
      <c r="U170" s="32" t="n">
        <f>40</f>
        <v>40.0</v>
      </c>
      <c r="V170" s="32" t="n">
        <f>1731009613</f>
        <v>1.731009613E9</v>
      </c>
      <c r="W170" s="32" t="n">
        <f>11678</f>
        <v>11678.0</v>
      </c>
      <c r="X170" s="36" t="n">
        <f>18</f>
        <v>18.0</v>
      </c>
    </row>
    <row r="171">
      <c r="A171" s="27" t="s">
        <v>42</v>
      </c>
      <c r="B171" s="27" t="s">
        <v>555</v>
      </c>
      <c r="C171" s="27" t="s">
        <v>556</v>
      </c>
      <c r="D171" s="27" t="s">
        <v>557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539.7</f>
        <v>539.7</v>
      </c>
      <c r="L171" s="34" t="s">
        <v>48</v>
      </c>
      <c r="M171" s="33" t="n">
        <f>541.9</f>
        <v>541.9</v>
      </c>
      <c r="N171" s="34" t="s">
        <v>204</v>
      </c>
      <c r="O171" s="33" t="n">
        <f>524.1</f>
        <v>524.1</v>
      </c>
      <c r="P171" s="34" t="s">
        <v>67</v>
      </c>
      <c r="Q171" s="33" t="n">
        <f>533.9</f>
        <v>533.9</v>
      </c>
      <c r="R171" s="34" t="s">
        <v>70</v>
      </c>
      <c r="S171" s="35" t="n">
        <f>530.59</f>
        <v>530.59</v>
      </c>
      <c r="T171" s="32" t="n">
        <f>4085950</f>
        <v>4085950.0</v>
      </c>
      <c r="U171" s="32" t="n">
        <f>3800010</f>
        <v>3800010.0</v>
      </c>
      <c r="V171" s="32" t="n">
        <f>2166466179</f>
        <v>2.166466179E9</v>
      </c>
      <c r="W171" s="32" t="n">
        <f>2014702186</f>
        <v>2.014702186E9</v>
      </c>
      <c r="X171" s="36" t="n">
        <f>16</f>
        <v>16.0</v>
      </c>
    </row>
    <row r="172">
      <c r="A172" s="27" t="s">
        <v>42</v>
      </c>
      <c r="B172" s="27" t="s">
        <v>558</v>
      </c>
      <c r="C172" s="27" t="s">
        <v>559</v>
      </c>
      <c r="D172" s="27" t="s">
        <v>560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508.1</f>
        <v>508.1</v>
      </c>
      <c r="L172" s="34" t="s">
        <v>48</v>
      </c>
      <c r="M172" s="33" t="n">
        <f>509.8</f>
        <v>509.8</v>
      </c>
      <c r="N172" s="34" t="s">
        <v>68</v>
      </c>
      <c r="O172" s="33" t="n">
        <f>488.4</f>
        <v>488.4</v>
      </c>
      <c r="P172" s="34" t="s">
        <v>69</v>
      </c>
      <c r="Q172" s="33" t="n">
        <f>508.2</f>
        <v>508.2</v>
      </c>
      <c r="R172" s="34" t="s">
        <v>49</v>
      </c>
      <c r="S172" s="35" t="n">
        <f>498.69</f>
        <v>498.69</v>
      </c>
      <c r="T172" s="32" t="n">
        <f>627010</f>
        <v>627010.0</v>
      </c>
      <c r="U172" s="32" t="n">
        <f>10</f>
        <v>10.0</v>
      </c>
      <c r="V172" s="32" t="n">
        <f>313255805</f>
        <v>3.13255805E8</v>
      </c>
      <c r="W172" s="32" t="n">
        <f>4969</f>
        <v>4969.0</v>
      </c>
      <c r="X172" s="36" t="n">
        <f>18</f>
        <v>18.0</v>
      </c>
    </row>
    <row r="173">
      <c r="A173" s="27" t="s">
        <v>42</v>
      </c>
      <c r="B173" s="27" t="s">
        <v>561</v>
      </c>
      <c r="C173" s="27" t="s">
        <v>562</v>
      </c>
      <c r="D173" s="27" t="s">
        <v>563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461.7</f>
        <v>461.7</v>
      </c>
      <c r="L173" s="34" t="s">
        <v>48</v>
      </c>
      <c r="M173" s="33" t="n">
        <f>461.7</f>
        <v>461.7</v>
      </c>
      <c r="N173" s="34" t="s">
        <v>48</v>
      </c>
      <c r="O173" s="33" t="n">
        <f>434.8</f>
        <v>434.8</v>
      </c>
      <c r="P173" s="34" t="s">
        <v>69</v>
      </c>
      <c r="Q173" s="33" t="n">
        <f>449</f>
        <v>449.0</v>
      </c>
      <c r="R173" s="34" t="s">
        <v>49</v>
      </c>
      <c r="S173" s="35" t="n">
        <f>444.91</f>
        <v>444.91</v>
      </c>
      <c r="T173" s="32" t="n">
        <f>1230450</f>
        <v>1230450.0</v>
      </c>
      <c r="U173" s="32" t="n">
        <f>90</f>
        <v>90.0</v>
      </c>
      <c r="V173" s="32" t="n">
        <f>548073324</f>
        <v>5.48073324E8</v>
      </c>
      <c r="W173" s="32" t="n">
        <f>40041</f>
        <v>40041.0</v>
      </c>
      <c r="X173" s="36" t="n">
        <f>17</f>
        <v>17.0</v>
      </c>
    </row>
    <row r="174">
      <c r="A174" s="27" t="s">
        <v>42</v>
      </c>
      <c r="B174" s="27" t="s">
        <v>564</v>
      </c>
      <c r="C174" s="27" t="s">
        <v>565</v>
      </c>
      <c r="D174" s="27" t="s">
        <v>566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874</f>
        <v>874.0</v>
      </c>
      <c r="L174" s="34" t="s">
        <v>48</v>
      </c>
      <c r="M174" s="33" t="n">
        <f>894</f>
        <v>894.0</v>
      </c>
      <c r="N174" s="34" t="s">
        <v>209</v>
      </c>
      <c r="O174" s="33" t="n">
        <f>844</f>
        <v>844.0</v>
      </c>
      <c r="P174" s="34" t="s">
        <v>69</v>
      </c>
      <c r="Q174" s="33" t="n">
        <f>865</f>
        <v>865.0</v>
      </c>
      <c r="R174" s="34" t="s">
        <v>49</v>
      </c>
      <c r="S174" s="35" t="n">
        <f>863.94</f>
        <v>863.94</v>
      </c>
      <c r="T174" s="32" t="n">
        <f>139280</f>
        <v>139280.0</v>
      </c>
      <c r="U174" s="32" t="n">
        <f>98</f>
        <v>98.0</v>
      </c>
      <c r="V174" s="32" t="n">
        <f>120259571</f>
        <v>1.20259571E8</v>
      </c>
      <c r="W174" s="32" t="n">
        <f>85143</f>
        <v>85143.0</v>
      </c>
      <c r="X174" s="36" t="n">
        <f>18</f>
        <v>18.0</v>
      </c>
    </row>
    <row r="175">
      <c r="A175" s="27" t="s">
        <v>42</v>
      </c>
      <c r="B175" s="27" t="s">
        <v>567</v>
      </c>
      <c r="C175" s="27" t="s">
        <v>568</v>
      </c>
      <c r="D175" s="27" t="s">
        <v>569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1.0</v>
      </c>
      <c r="K175" s="33" t="n">
        <f>3880</f>
        <v>3880.0</v>
      </c>
      <c r="L175" s="34" t="s">
        <v>48</v>
      </c>
      <c r="M175" s="33" t="n">
        <f>4878</f>
        <v>4878.0</v>
      </c>
      <c r="N175" s="34" t="s">
        <v>68</v>
      </c>
      <c r="O175" s="33" t="n">
        <f>3828</f>
        <v>3828.0</v>
      </c>
      <c r="P175" s="34" t="s">
        <v>48</v>
      </c>
      <c r="Q175" s="33" t="n">
        <f>4721</f>
        <v>4721.0</v>
      </c>
      <c r="R175" s="34" t="s">
        <v>49</v>
      </c>
      <c r="S175" s="35" t="n">
        <f>4350.72</f>
        <v>4350.72</v>
      </c>
      <c r="T175" s="32" t="n">
        <f>28913286</f>
        <v>2.8913286E7</v>
      </c>
      <c r="U175" s="32" t="n">
        <f>1035761</f>
        <v>1035761.0</v>
      </c>
      <c r="V175" s="32" t="n">
        <f>126514828492</f>
        <v>1.26514828492E11</v>
      </c>
      <c r="W175" s="32" t="n">
        <f>4463051761</f>
        <v>4.463051761E9</v>
      </c>
      <c r="X175" s="36" t="n">
        <f>18</f>
        <v>18.0</v>
      </c>
    </row>
    <row r="176">
      <c r="A176" s="27" t="s">
        <v>42</v>
      </c>
      <c r="B176" s="27" t="s">
        <v>570</v>
      </c>
      <c r="C176" s="27" t="s">
        <v>571</v>
      </c>
      <c r="D176" s="27" t="s">
        <v>572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804</f>
        <v>804.0</v>
      </c>
      <c r="L176" s="34" t="s">
        <v>48</v>
      </c>
      <c r="M176" s="33" t="n">
        <f>827</f>
        <v>827.0</v>
      </c>
      <c r="N176" s="34" t="s">
        <v>59</v>
      </c>
      <c r="O176" s="33" t="n">
        <f>779.5</f>
        <v>779.5</v>
      </c>
      <c r="P176" s="34" t="s">
        <v>69</v>
      </c>
      <c r="Q176" s="33" t="n">
        <f>805</f>
        <v>805.0</v>
      </c>
      <c r="R176" s="34" t="s">
        <v>49</v>
      </c>
      <c r="S176" s="35" t="n">
        <f>802.87</f>
        <v>802.87</v>
      </c>
      <c r="T176" s="32" t="n">
        <f>1682130</f>
        <v>1682130.0</v>
      </c>
      <c r="U176" s="32" t="n">
        <f>457660</f>
        <v>457660.0</v>
      </c>
      <c r="V176" s="32" t="n">
        <f>1350631729</f>
        <v>1.350631729E9</v>
      </c>
      <c r="W176" s="32" t="n">
        <f>367783694</f>
        <v>3.67783694E8</v>
      </c>
      <c r="X176" s="36" t="n">
        <f>18</f>
        <v>18.0</v>
      </c>
    </row>
    <row r="177">
      <c r="A177" s="27" t="s">
        <v>42</v>
      </c>
      <c r="B177" s="27" t="s">
        <v>573</v>
      </c>
      <c r="C177" s="27" t="s">
        <v>574</v>
      </c>
      <c r="D177" s="27" t="s">
        <v>575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239</f>
        <v>239.0</v>
      </c>
      <c r="L177" s="34" t="s">
        <v>48</v>
      </c>
      <c r="M177" s="33" t="n">
        <f>240.9</f>
        <v>240.9</v>
      </c>
      <c r="N177" s="34" t="s">
        <v>49</v>
      </c>
      <c r="O177" s="33" t="n">
        <f>234.6</f>
        <v>234.6</v>
      </c>
      <c r="P177" s="34" t="s">
        <v>67</v>
      </c>
      <c r="Q177" s="33" t="n">
        <f>240.3</f>
        <v>240.3</v>
      </c>
      <c r="R177" s="34" t="s">
        <v>49</v>
      </c>
      <c r="S177" s="35" t="n">
        <f>238.52</f>
        <v>238.52</v>
      </c>
      <c r="T177" s="32" t="n">
        <f>44469760</f>
        <v>4.446976E7</v>
      </c>
      <c r="U177" s="32" t="n">
        <f>39429950</f>
        <v>3.942995E7</v>
      </c>
      <c r="V177" s="32" t="n">
        <f>10534203944</f>
        <v>1.0534203944E10</v>
      </c>
      <c r="W177" s="32" t="n">
        <f>9335598563</f>
        <v>9.335598563E9</v>
      </c>
      <c r="X177" s="36" t="n">
        <f>18</f>
        <v>18.0</v>
      </c>
    </row>
    <row r="178">
      <c r="A178" s="27" t="s">
        <v>42</v>
      </c>
      <c r="B178" s="27" t="s">
        <v>576</v>
      </c>
      <c r="C178" s="27" t="s">
        <v>577</v>
      </c>
      <c r="D178" s="27" t="s">
        <v>578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291.9</f>
        <v>291.9</v>
      </c>
      <c r="L178" s="34" t="s">
        <v>48</v>
      </c>
      <c r="M178" s="33" t="n">
        <f>298.1</f>
        <v>298.1</v>
      </c>
      <c r="N178" s="34" t="s">
        <v>104</v>
      </c>
      <c r="O178" s="33" t="n">
        <f>280.5</f>
        <v>280.5</v>
      </c>
      <c r="P178" s="34" t="s">
        <v>203</v>
      </c>
      <c r="Q178" s="33" t="n">
        <f>293</f>
        <v>293.0</v>
      </c>
      <c r="R178" s="34" t="s">
        <v>49</v>
      </c>
      <c r="S178" s="35" t="n">
        <f>290.79</f>
        <v>290.79</v>
      </c>
      <c r="T178" s="32" t="n">
        <f>4863060</f>
        <v>4863060.0</v>
      </c>
      <c r="U178" s="32" t="n">
        <f>278180</f>
        <v>278180.0</v>
      </c>
      <c r="V178" s="32" t="n">
        <f>1404042465</f>
        <v>1.404042465E9</v>
      </c>
      <c r="W178" s="32" t="n">
        <f>81804204</f>
        <v>8.1804204E7</v>
      </c>
      <c r="X178" s="36" t="n">
        <f>18</f>
        <v>18.0</v>
      </c>
    </row>
    <row r="179">
      <c r="A179" s="27" t="s">
        <v>42</v>
      </c>
      <c r="B179" s="27" t="s">
        <v>579</v>
      </c>
      <c r="C179" s="27" t="s">
        <v>580</v>
      </c>
      <c r="D179" s="27" t="s">
        <v>581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297.5</f>
        <v>297.5</v>
      </c>
      <c r="L179" s="34" t="s">
        <v>48</v>
      </c>
      <c r="M179" s="33" t="n">
        <f>305.2</f>
        <v>305.2</v>
      </c>
      <c r="N179" s="34" t="s">
        <v>104</v>
      </c>
      <c r="O179" s="33" t="n">
        <f>290.8</f>
        <v>290.8</v>
      </c>
      <c r="P179" s="34" t="s">
        <v>203</v>
      </c>
      <c r="Q179" s="33" t="n">
        <f>304</f>
        <v>304.0</v>
      </c>
      <c r="R179" s="34" t="s">
        <v>49</v>
      </c>
      <c r="S179" s="35" t="n">
        <f>298.62</f>
        <v>298.62</v>
      </c>
      <c r="T179" s="32" t="n">
        <f>3792340</f>
        <v>3792340.0</v>
      </c>
      <c r="U179" s="32" t="n">
        <f>168100</f>
        <v>168100.0</v>
      </c>
      <c r="V179" s="32" t="n">
        <f>1122164980</f>
        <v>1.12216498E9</v>
      </c>
      <c r="W179" s="32" t="n">
        <f>50115388</f>
        <v>5.0115388E7</v>
      </c>
      <c r="X179" s="36" t="n">
        <f>18</f>
        <v>18.0</v>
      </c>
    </row>
    <row r="180">
      <c r="A180" s="27" t="s">
        <v>42</v>
      </c>
      <c r="B180" s="27" t="s">
        <v>582</v>
      </c>
      <c r="C180" s="27" t="s">
        <v>583</v>
      </c>
      <c r="D180" s="27" t="s">
        <v>584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2170</f>
        <v>2170.0</v>
      </c>
      <c r="L180" s="34" t="s">
        <v>48</v>
      </c>
      <c r="M180" s="33" t="n">
        <f>2170</f>
        <v>2170.0</v>
      </c>
      <c r="N180" s="34" t="s">
        <v>48</v>
      </c>
      <c r="O180" s="33" t="n">
        <f>2142</f>
        <v>2142.0</v>
      </c>
      <c r="P180" s="34" t="s">
        <v>100</v>
      </c>
      <c r="Q180" s="33" t="n">
        <f>2167</f>
        <v>2167.0</v>
      </c>
      <c r="R180" s="34" t="s">
        <v>49</v>
      </c>
      <c r="S180" s="35" t="n">
        <f>2158.11</f>
        <v>2158.11</v>
      </c>
      <c r="T180" s="32" t="n">
        <f>460331</f>
        <v>460331.0</v>
      </c>
      <c r="U180" s="32" t="n">
        <f>50000</f>
        <v>50000.0</v>
      </c>
      <c r="V180" s="32" t="n">
        <f>992031116</f>
        <v>9.92031116E8</v>
      </c>
      <c r="W180" s="32" t="n">
        <f>107774990</f>
        <v>1.0777499E8</v>
      </c>
      <c r="X180" s="36" t="n">
        <f>18</f>
        <v>18.0</v>
      </c>
    </row>
    <row r="181">
      <c r="A181" s="27" t="s">
        <v>42</v>
      </c>
      <c r="B181" s="27" t="s">
        <v>585</v>
      </c>
      <c r="C181" s="27" t="s">
        <v>586</v>
      </c>
      <c r="D181" s="27" t="s">
        <v>587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1811</f>
        <v>1811.0</v>
      </c>
      <c r="L181" s="34" t="s">
        <v>48</v>
      </c>
      <c r="M181" s="33" t="n">
        <f>1824</f>
        <v>1824.0</v>
      </c>
      <c r="N181" s="34" t="s">
        <v>209</v>
      </c>
      <c r="O181" s="33" t="n">
        <f>1776</f>
        <v>1776.0</v>
      </c>
      <c r="P181" s="34" t="s">
        <v>100</v>
      </c>
      <c r="Q181" s="33" t="n">
        <f>1791</f>
        <v>1791.0</v>
      </c>
      <c r="R181" s="34" t="s">
        <v>49</v>
      </c>
      <c r="S181" s="35" t="n">
        <f>1797.22</f>
        <v>1797.22</v>
      </c>
      <c r="T181" s="32" t="n">
        <f>1739956</f>
        <v>1739956.0</v>
      </c>
      <c r="U181" s="32" t="n">
        <f>10</f>
        <v>10.0</v>
      </c>
      <c r="V181" s="32" t="n">
        <f>3125406066</f>
        <v>3.125406066E9</v>
      </c>
      <c r="W181" s="32" t="n">
        <f>18070</f>
        <v>18070.0</v>
      </c>
      <c r="X181" s="36" t="n">
        <f>18</f>
        <v>18.0</v>
      </c>
    </row>
    <row r="182">
      <c r="A182" s="27" t="s">
        <v>42</v>
      </c>
      <c r="B182" s="27" t="s">
        <v>588</v>
      </c>
      <c r="C182" s="27" t="s">
        <v>589</v>
      </c>
      <c r="D182" s="27" t="s">
        <v>590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1399</f>
        <v>1399.0</v>
      </c>
      <c r="L182" s="34" t="s">
        <v>48</v>
      </c>
      <c r="M182" s="33" t="n">
        <f>1485</f>
        <v>1485.0</v>
      </c>
      <c r="N182" s="34" t="s">
        <v>49</v>
      </c>
      <c r="O182" s="33" t="n">
        <f>1378</f>
        <v>1378.0</v>
      </c>
      <c r="P182" s="34" t="s">
        <v>48</v>
      </c>
      <c r="Q182" s="33" t="n">
        <f>1481</f>
        <v>1481.0</v>
      </c>
      <c r="R182" s="34" t="s">
        <v>49</v>
      </c>
      <c r="S182" s="35" t="n">
        <f>1443.28</f>
        <v>1443.28</v>
      </c>
      <c r="T182" s="32" t="n">
        <f>907226</f>
        <v>907226.0</v>
      </c>
      <c r="U182" s="32" t="n">
        <f>101550</f>
        <v>101550.0</v>
      </c>
      <c r="V182" s="32" t="n">
        <f>1306796792</f>
        <v>1.306796792E9</v>
      </c>
      <c r="W182" s="32" t="n">
        <f>145048495</f>
        <v>1.45048495E8</v>
      </c>
      <c r="X182" s="36" t="n">
        <f>18</f>
        <v>18.0</v>
      </c>
    </row>
    <row r="183">
      <c r="A183" s="27" t="s">
        <v>42</v>
      </c>
      <c r="B183" s="27" t="s">
        <v>591</v>
      </c>
      <c r="C183" s="27" t="s">
        <v>592</v>
      </c>
      <c r="D183" s="27" t="s">
        <v>593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1270</f>
        <v>1270.0</v>
      </c>
      <c r="L183" s="34" t="s">
        <v>48</v>
      </c>
      <c r="M183" s="33" t="n">
        <f>1301</f>
        <v>1301.0</v>
      </c>
      <c r="N183" s="34" t="s">
        <v>49</v>
      </c>
      <c r="O183" s="33" t="n">
        <f>1243</f>
        <v>1243.0</v>
      </c>
      <c r="P183" s="34" t="s">
        <v>83</v>
      </c>
      <c r="Q183" s="33" t="n">
        <f>1293</f>
        <v>1293.0</v>
      </c>
      <c r="R183" s="34" t="s">
        <v>49</v>
      </c>
      <c r="S183" s="35" t="n">
        <f>1277.61</f>
        <v>1277.61</v>
      </c>
      <c r="T183" s="32" t="n">
        <f>227346</f>
        <v>227346.0</v>
      </c>
      <c r="U183" s="32" t="str">
        <f>"－"</f>
        <v>－</v>
      </c>
      <c r="V183" s="32" t="n">
        <f>291261005</f>
        <v>2.91261005E8</v>
      </c>
      <c r="W183" s="32" t="str">
        <f>"－"</f>
        <v>－</v>
      </c>
      <c r="X183" s="36" t="n">
        <f>18</f>
        <v>18.0</v>
      </c>
    </row>
    <row r="184">
      <c r="A184" s="27" t="s">
        <v>42</v>
      </c>
      <c r="B184" s="27" t="s">
        <v>594</v>
      </c>
      <c r="C184" s="27" t="s">
        <v>595</v>
      </c>
      <c r="D184" s="27" t="s">
        <v>596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1.0</v>
      </c>
      <c r="K184" s="33" t="n">
        <f>1052</f>
        <v>1052.0</v>
      </c>
      <c r="L184" s="34" t="s">
        <v>48</v>
      </c>
      <c r="M184" s="33" t="n">
        <f>1072</f>
        <v>1072.0</v>
      </c>
      <c r="N184" s="34" t="s">
        <v>83</v>
      </c>
      <c r="O184" s="33" t="n">
        <f>1020</f>
        <v>1020.0</v>
      </c>
      <c r="P184" s="34" t="s">
        <v>196</v>
      </c>
      <c r="Q184" s="33" t="n">
        <f>1038</f>
        <v>1038.0</v>
      </c>
      <c r="R184" s="34" t="s">
        <v>49</v>
      </c>
      <c r="S184" s="35" t="n">
        <f>1037.94</f>
        <v>1037.94</v>
      </c>
      <c r="T184" s="32" t="n">
        <f>85479</f>
        <v>85479.0</v>
      </c>
      <c r="U184" s="32" t="n">
        <f>1</f>
        <v>1.0</v>
      </c>
      <c r="V184" s="32" t="n">
        <f>88520419</f>
        <v>8.8520419E7</v>
      </c>
      <c r="W184" s="32" t="n">
        <f>1038</f>
        <v>1038.0</v>
      </c>
      <c r="X184" s="36" t="n">
        <f>18</f>
        <v>18.0</v>
      </c>
    </row>
    <row r="185">
      <c r="A185" s="27" t="s">
        <v>42</v>
      </c>
      <c r="B185" s="27" t="s">
        <v>597</v>
      </c>
      <c r="C185" s="27" t="s">
        <v>598</v>
      </c>
      <c r="D185" s="27" t="s">
        <v>599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10.0</v>
      </c>
      <c r="K185" s="33" t="n">
        <f>181</f>
        <v>181.0</v>
      </c>
      <c r="L185" s="34" t="s">
        <v>48</v>
      </c>
      <c r="M185" s="33" t="n">
        <f>186</f>
        <v>186.0</v>
      </c>
      <c r="N185" s="34" t="s">
        <v>67</v>
      </c>
      <c r="O185" s="33" t="n">
        <f>172.8</f>
        <v>172.8</v>
      </c>
      <c r="P185" s="34" t="s">
        <v>205</v>
      </c>
      <c r="Q185" s="33" t="n">
        <f>178.5</f>
        <v>178.5</v>
      </c>
      <c r="R185" s="34" t="s">
        <v>49</v>
      </c>
      <c r="S185" s="35" t="n">
        <f>177.56</f>
        <v>177.56</v>
      </c>
      <c r="T185" s="32" t="n">
        <f>4296510</f>
        <v>4296510.0</v>
      </c>
      <c r="U185" s="32" t="n">
        <f>57030</f>
        <v>57030.0</v>
      </c>
      <c r="V185" s="32" t="n">
        <f>763600255</f>
        <v>7.63600255E8</v>
      </c>
      <c r="W185" s="32" t="n">
        <f>10051085</f>
        <v>1.0051085E7</v>
      </c>
      <c r="X185" s="36" t="n">
        <f>18</f>
        <v>18.0</v>
      </c>
    </row>
    <row r="186">
      <c r="A186" s="27" t="s">
        <v>42</v>
      </c>
      <c r="B186" s="27" t="s">
        <v>600</v>
      </c>
      <c r="C186" s="27" t="s">
        <v>601</v>
      </c>
      <c r="D186" s="27" t="s">
        <v>602</v>
      </c>
      <c r="E186" s="28" t="s">
        <v>46</v>
      </c>
      <c r="F186" s="29" t="s">
        <v>46</v>
      </c>
      <c r="G186" s="30" t="s">
        <v>46</v>
      </c>
      <c r="H186" s="31"/>
      <c r="I186" s="31" t="s">
        <v>416</v>
      </c>
      <c r="J186" s="32" t="n">
        <v>1.0</v>
      </c>
      <c r="K186" s="33" t="n">
        <f>8306</f>
        <v>8306.0</v>
      </c>
      <c r="L186" s="34" t="s">
        <v>48</v>
      </c>
      <c r="M186" s="33" t="n">
        <f>9000</f>
        <v>9000.0</v>
      </c>
      <c r="N186" s="34" t="s">
        <v>59</v>
      </c>
      <c r="O186" s="33" t="n">
        <f>7665</f>
        <v>7665.0</v>
      </c>
      <c r="P186" s="34" t="s">
        <v>70</v>
      </c>
      <c r="Q186" s="33" t="n">
        <f>7978</f>
        <v>7978.0</v>
      </c>
      <c r="R186" s="34" t="s">
        <v>49</v>
      </c>
      <c r="S186" s="35" t="n">
        <f>8334.61</f>
        <v>8334.61</v>
      </c>
      <c r="T186" s="32" t="n">
        <f>8734</f>
        <v>8734.0</v>
      </c>
      <c r="U186" s="32" t="str">
        <f>"－"</f>
        <v>－</v>
      </c>
      <c r="V186" s="32" t="n">
        <f>72578844</f>
        <v>7.2578844E7</v>
      </c>
      <c r="W186" s="32" t="str">
        <f>"－"</f>
        <v>－</v>
      </c>
      <c r="X186" s="36" t="n">
        <f>18</f>
        <v>18.0</v>
      </c>
    </row>
    <row r="187">
      <c r="A187" s="27" t="s">
        <v>42</v>
      </c>
      <c r="B187" s="27" t="s">
        <v>603</v>
      </c>
      <c r="C187" s="27" t="s">
        <v>604</v>
      </c>
      <c r="D187" s="27" t="s">
        <v>605</v>
      </c>
      <c r="E187" s="28" t="s">
        <v>46</v>
      </c>
      <c r="F187" s="29" t="s">
        <v>46</v>
      </c>
      <c r="G187" s="30" t="s">
        <v>46</v>
      </c>
      <c r="H187" s="31"/>
      <c r="I187" s="31" t="s">
        <v>416</v>
      </c>
      <c r="J187" s="32" t="n">
        <v>1.0</v>
      </c>
      <c r="K187" s="33" t="n">
        <f>5960</f>
        <v>5960.0</v>
      </c>
      <c r="L187" s="34" t="s">
        <v>48</v>
      </c>
      <c r="M187" s="33" t="n">
        <f>6299</f>
        <v>6299.0</v>
      </c>
      <c r="N187" s="34" t="s">
        <v>70</v>
      </c>
      <c r="O187" s="33" t="n">
        <f>5642</f>
        <v>5642.0</v>
      </c>
      <c r="P187" s="34" t="s">
        <v>67</v>
      </c>
      <c r="Q187" s="33" t="n">
        <f>6187</f>
        <v>6187.0</v>
      </c>
      <c r="R187" s="34" t="s">
        <v>49</v>
      </c>
      <c r="S187" s="35" t="n">
        <f>6003</f>
        <v>6003.0</v>
      </c>
      <c r="T187" s="32" t="n">
        <f>3074</f>
        <v>3074.0</v>
      </c>
      <c r="U187" s="32" t="str">
        <f>"－"</f>
        <v>－</v>
      </c>
      <c r="V187" s="32" t="n">
        <f>18425429</f>
        <v>1.8425429E7</v>
      </c>
      <c r="W187" s="32" t="str">
        <f>"－"</f>
        <v>－</v>
      </c>
      <c r="X187" s="36" t="n">
        <f>18</f>
        <v>18.0</v>
      </c>
    </row>
    <row r="188">
      <c r="A188" s="27" t="s">
        <v>42</v>
      </c>
      <c r="B188" s="27" t="s">
        <v>606</v>
      </c>
      <c r="C188" s="27" t="s">
        <v>607</v>
      </c>
      <c r="D188" s="27" t="s">
        <v>608</v>
      </c>
      <c r="E188" s="28" t="s">
        <v>46</v>
      </c>
      <c r="F188" s="29" t="s">
        <v>46</v>
      </c>
      <c r="G188" s="30" t="s">
        <v>46</v>
      </c>
      <c r="H188" s="31"/>
      <c r="I188" s="31" t="s">
        <v>416</v>
      </c>
      <c r="J188" s="32" t="n">
        <v>1.0</v>
      </c>
      <c r="K188" s="33" t="n">
        <f>80700</f>
        <v>80700.0</v>
      </c>
      <c r="L188" s="34" t="s">
        <v>48</v>
      </c>
      <c r="M188" s="33" t="n">
        <f>133300</f>
        <v>133300.0</v>
      </c>
      <c r="N188" s="34" t="s">
        <v>68</v>
      </c>
      <c r="O188" s="33" t="n">
        <f>79500</f>
        <v>79500.0</v>
      </c>
      <c r="P188" s="34" t="s">
        <v>48</v>
      </c>
      <c r="Q188" s="33" t="n">
        <f>129150</f>
        <v>129150.0</v>
      </c>
      <c r="R188" s="34" t="s">
        <v>49</v>
      </c>
      <c r="S188" s="35" t="n">
        <f>108327.22</f>
        <v>108327.22</v>
      </c>
      <c r="T188" s="32" t="n">
        <f>67693</f>
        <v>67693.0</v>
      </c>
      <c r="U188" s="32" t="str">
        <f>"－"</f>
        <v>－</v>
      </c>
      <c r="V188" s="32" t="n">
        <f>7432184450</f>
        <v>7.43218445E9</v>
      </c>
      <c r="W188" s="32" t="str">
        <f>"－"</f>
        <v>－</v>
      </c>
      <c r="X188" s="36" t="n">
        <f>18</f>
        <v>18.0</v>
      </c>
    </row>
    <row r="189">
      <c r="A189" s="27" t="s">
        <v>42</v>
      </c>
      <c r="B189" s="27" t="s">
        <v>609</v>
      </c>
      <c r="C189" s="27" t="s">
        <v>610</v>
      </c>
      <c r="D189" s="27" t="s">
        <v>611</v>
      </c>
      <c r="E189" s="28" t="s">
        <v>46</v>
      </c>
      <c r="F189" s="29" t="s">
        <v>46</v>
      </c>
      <c r="G189" s="30" t="s">
        <v>46</v>
      </c>
      <c r="H189" s="31"/>
      <c r="I189" s="31" t="s">
        <v>416</v>
      </c>
      <c r="J189" s="32" t="n">
        <v>1.0</v>
      </c>
      <c r="K189" s="33" t="n">
        <f>2309</f>
        <v>2309.0</v>
      </c>
      <c r="L189" s="34" t="s">
        <v>48</v>
      </c>
      <c r="M189" s="33" t="n">
        <f>2339</f>
        <v>2339.0</v>
      </c>
      <c r="N189" s="34" t="s">
        <v>48</v>
      </c>
      <c r="O189" s="33" t="n">
        <f>1702</f>
        <v>1702.0</v>
      </c>
      <c r="P189" s="34" t="s">
        <v>49</v>
      </c>
      <c r="Q189" s="33" t="n">
        <f>1722</f>
        <v>1722.0</v>
      </c>
      <c r="R189" s="34" t="s">
        <v>49</v>
      </c>
      <c r="S189" s="35" t="n">
        <f>1922.61</f>
        <v>1922.61</v>
      </c>
      <c r="T189" s="32" t="n">
        <f>171307</f>
        <v>171307.0</v>
      </c>
      <c r="U189" s="32" t="str">
        <f>"－"</f>
        <v>－</v>
      </c>
      <c r="V189" s="32" t="n">
        <f>330663273</f>
        <v>3.30663273E8</v>
      </c>
      <c r="W189" s="32" t="str">
        <f>"－"</f>
        <v>－</v>
      </c>
      <c r="X189" s="36" t="n">
        <f>18</f>
        <v>18.0</v>
      </c>
    </row>
    <row r="190">
      <c r="A190" s="27" t="s">
        <v>42</v>
      </c>
      <c r="B190" s="27" t="s">
        <v>612</v>
      </c>
      <c r="C190" s="27" t="s">
        <v>613</v>
      </c>
      <c r="D190" s="27" t="s">
        <v>614</v>
      </c>
      <c r="E190" s="28" t="s">
        <v>46</v>
      </c>
      <c r="F190" s="29" t="s">
        <v>46</v>
      </c>
      <c r="G190" s="30" t="s">
        <v>46</v>
      </c>
      <c r="H190" s="31"/>
      <c r="I190" s="31" t="s">
        <v>416</v>
      </c>
      <c r="J190" s="32" t="n">
        <v>1.0</v>
      </c>
      <c r="K190" s="33" t="n">
        <f>185800</f>
        <v>185800.0</v>
      </c>
      <c r="L190" s="34" t="s">
        <v>48</v>
      </c>
      <c r="M190" s="33" t="n">
        <f>196950</f>
        <v>196950.0</v>
      </c>
      <c r="N190" s="34" t="s">
        <v>87</v>
      </c>
      <c r="O190" s="33" t="n">
        <f>166850</f>
        <v>166850.0</v>
      </c>
      <c r="P190" s="34" t="s">
        <v>70</v>
      </c>
      <c r="Q190" s="33" t="n">
        <f>178500</f>
        <v>178500.0</v>
      </c>
      <c r="R190" s="34" t="s">
        <v>49</v>
      </c>
      <c r="S190" s="35" t="n">
        <f>183272.22</f>
        <v>183272.22</v>
      </c>
      <c r="T190" s="32" t="n">
        <f>123880</f>
        <v>123880.0</v>
      </c>
      <c r="U190" s="32" t="n">
        <f>1</f>
        <v>1.0</v>
      </c>
      <c r="V190" s="32" t="n">
        <f>22699605000</f>
        <v>2.2699605E10</v>
      </c>
      <c r="W190" s="32" t="n">
        <f>192050</f>
        <v>192050.0</v>
      </c>
      <c r="X190" s="36" t="n">
        <f>18</f>
        <v>18.0</v>
      </c>
    </row>
    <row r="191">
      <c r="A191" s="27" t="s">
        <v>42</v>
      </c>
      <c r="B191" s="27" t="s">
        <v>615</v>
      </c>
      <c r="C191" s="27" t="s">
        <v>616</v>
      </c>
      <c r="D191" s="27" t="s">
        <v>617</v>
      </c>
      <c r="E191" s="28" t="s">
        <v>46</v>
      </c>
      <c r="F191" s="29" t="s">
        <v>46</v>
      </c>
      <c r="G191" s="30" t="s">
        <v>46</v>
      </c>
      <c r="H191" s="31"/>
      <c r="I191" s="31" t="s">
        <v>416</v>
      </c>
      <c r="J191" s="32" t="n">
        <v>1.0</v>
      </c>
      <c r="K191" s="33" t="n">
        <f>1224</f>
        <v>1224.0</v>
      </c>
      <c r="L191" s="34" t="s">
        <v>48</v>
      </c>
      <c r="M191" s="33" t="n">
        <f>1287</f>
        <v>1287.0</v>
      </c>
      <c r="N191" s="34" t="s">
        <v>70</v>
      </c>
      <c r="O191" s="33" t="n">
        <f>1168</f>
        <v>1168.0</v>
      </c>
      <c r="P191" s="34" t="s">
        <v>87</v>
      </c>
      <c r="Q191" s="33" t="n">
        <f>1216</f>
        <v>1216.0</v>
      </c>
      <c r="R191" s="34" t="s">
        <v>49</v>
      </c>
      <c r="S191" s="35" t="n">
        <f>1212.06</f>
        <v>1212.06</v>
      </c>
      <c r="T191" s="32" t="n">
        <f>78712</f>
        <v>78712.0</v>
      </c>
      <c r="U191" s="32" t="n">
        <f>1</f>
        <v>1.0</v>
      </c>
      <c r="V191" s="32" t="n">
        <f>95983279</f>
        <v>9.5983279E7</v>
      </c>
      <c r="W191" s="32" t="n">
        <f>1183</f>
        <v>1183.0</v>
      </c>
      <c r="X191" s="36" t="n">
        <f>18</f>
        <v>18.0</v>
      </c>
    </row>
    <row r="192">
      <c r="A192" s="27" t="s">
        <v>42</v>
      </c>
      <c r="B192" s="27" t="s">
        <v>618</v>
      </c>
      <c r="C192" s="27" t="s">
        <v>619</v>
      </c>
      <c r="D192" s="27" t="s">
        <v>620</v>
      </c>
      <c r="E192" s="28" t="s">
        <v>46</v>
      </c>
      <c r="F192" s="29" t="s">
        <v>46</v>
      </c>
      <c r="G192" s="30" t="s">
        <v>46</v>
      </c>
      <c r="H192" s="31"/>
      <c r="I192" s="31" t="s">
        <v>416</v>
      </c>
      <c r="J192" s="32" t="n">
        <v>1.0</v>
      </c>
      <c r="K192" s="33" t="n">
        <f>2891</f>
        <v>2891.0</v>
      </c>
      <c r="L192" s="34" t="s">
        <v>48</v>
      </c>
      <c r="M192" s="33" t="n">
        <f>3121</f>
        <v>3121.0</v>
      </c>
      <c r="N192" s="34" t="s">
        <v>83</v>
      </c>
      <c r="O192" s="33" t="n">
        <f>2500</f>
        <v>2500.0</v>
      </c>
      <c r="P192" s="34" t="s">
        <v>49</v>
      </c>
      <c r="Q192" s="33" t="n">
        <f>2525</f>
        <v>2525.0</v>
      </c>
      <c r="R192" s="34" t="s">
        <v>49</v>
      </c>
      <c r="S192" s="35" t="n">
        <f>2794.83</f>
        <v>2794.83</v>
      </c>
      <c r="T192" s="32" t="n">
        <f>3021771</f>
        <v>3021771.0</v>
      </c>
      <c r="U192" s="32" t="n">
        <f>789</f>
        <v>789.0</v>
      </c>
      <c r="V192" s="32" t="n">
        <f>8492525251</f>
        <v>8.492525251E9</v>
      </c>
      <c r="W192" s="32" t="n">
        <f>2067654</f>
        <v>2067654.0</v>
      </c>
      <c r="X192" s="36" t="n">
        <f>18</f>
        <v>18.0</v>
      </c>
    </row>
    <row r="193">
      <c r="A193" s="27" t="s">
        <v>42</v>
      </c>
      <c r="B193" s="27" t="s">
        <v>621</v>
      </c>
      <c r="C193" s="27" t="s">
        <v>622</v>
      </c>
      <c r="D193" s="27" t="s">
        <v>623</v>
      </c>
      <c r="E193" s="28" t="s">
        <v>46</v>
      </c>
      <c r="F193" s="29" t="s">
        <v>46</v>
      </c>
      <c r="G193" s="30" t="s">
        <v>46</v>
      </c>
      <c r="H193" s="31"/>
      <c r="I193" s="31" t="s">
        <v>416</v>
      </c>
      <c r="J193" s="32" t="n">
        <v>1.0</v>
      </c>
      <c r="K193" s="33" t="n">
        <f>503</f>
        <v>503.0</v>
      </c>
      <c r="L193" s="34" t="s">
        <v>48</v>
      </c>
      <c r="M193" s="33" t="n">
        <f>519</f>
        <v>519.0</v>
      </c>
      <c r="N193" s="34" t="s">
        <v>67</v>
      </c>
      <c r="O193" s="33" t="n">
        <f>475</f>
        <v>475.0</v>
      </c>
      <c r="P193" s="34" t="s">
        <v>83</v>
      </c>
      <c r="Q193" s="33" t="n">
        <f>514</f>
        <v>514.0</v>
      </c>
      <c r="R193" s="34" t="s">
        <v>49</v>
      </c>
      <c r="S193" s="35" t="n">
        <f>497.33</f>
        <v>497.33</v>
      </c>
      <c r="T193" s="32" t="n">
        <f>7647105</f>
        <v>7647105.0</v>
      </c>
      <c r="U193" s="32" t="n">
        <f>1112</f>
        <v>1112.0</v>
      </c>
      <c r="V193" s="32" t="n">
        <f>3808232649</f>
        <v>3.808232649E9</v>
      </c>
      <c r="W193" s="32" t="n">
        <f>548947</f>
        <v>548947.0</v>
      </c>
      <c r="X193" s="36" t="n">
        <f>18</f>
        <v>18.0</v>
      </c>
    </row>
    <row r="194">
      <c r="A194" s="27" t="s">
        <v>42</v>
      </c>
      <c r="B194" s="27" t="s">
        <v>624</v>
      </c>
      <c r="C194" s="27" t="s">
        <v>625</v>
      </c>
      <c r="D194" s="27" t="s">
        <v>626</v>
      </c>
      <c r="E194" s="28" t="s">
        <v>46</v>
      </c>
      <c r="F194" s="29" t="s">
        <v>46</v>
      </c>
      <c r="G194" s="30" t="s">
        <v>46</v>
      </c>
      <c r="H194" s="31"/>
      <c r="I194" s="31" t="s">
        <v>416</v>
      </c>
      <c r="J194" s="32" t="n">
        <v>1.0</v>
      </c>
      <c r="K194" s="33" t="n">
        <f>35370</f>
        <v>35370.0</v>
      </c>
      <c r="L194" s="34" t="s">
        <v>48</v>
      </c>
      <c r="M194" s="33" t="n">
        <f>37070</f>
        <v>37070.0</v>
      </c>
      <c r="N194" s="34" t="s">
        <v>204</v>
      </c>
      <c r="O194" s="33" t="n">
        <f>34220</f>
        <v>34220.0</v>
      </c>
      <c r="P194" s="34" t="s">
        <v>83</v>
      </c>
      <c r="Q194" s="33" t="n">
        <f>36590</f>
        <v>36590.0</v>
      </c>
      <c r="R194" s="34" t="s">
        <v>49</v>
      </c>
      <c r="S194" s="35" t="n">
        <f>35601.11</f>
        <v>35601.11</v>
      </c>
      <c r="T194" s="32" t="n">
        <f>9372</f>
        <v>9372.0</v>
      </c>
      <c r="U194" s="32" t="str">
        <f>"－"</f>
        <v>－</v>
      </c>
      <c r="V194" s="32" t="n">
        <f>334909350</f>
        <v>3.3490935E8</v>
      </c>
      <c r="W194" s="32" t="str">
        <f>"－"</f>
        <v>－</v>
      </c>
      <c r="X194" s="36" t="n">
        <f>18</f>
        <v>18.0</v>
      </c>
    </row>
    <row r="195">
      <c r="A195" s="27" t="s">
        <v>42</v>
      </c>
      <c r="B195" s="27" t="s">
        <v>627</v>
      </c>
      <c r="C195" s="27" t="s">
        <v>628</v>
      </c>
      <c r="D195" s="27" t="s">
        <v>629</v>
      </c>
      <c r="E195" s="28" t="s">
        <v>46</v>
      </c>
      <c r="F195" s="29" t="s">
        <v>46</v>
      </c>
      <c r="G195" s="30" t="s">
        <v>46</v>
      </c>
      <c r="H195" s="31"/>
      <c r="I195" s="31" t="s">
        <v>416</v>
      </c>
      <c r="J195" s="32" t="n">
        <v>1.0</v>
      </c>
      <c r="K195" s="33" t="n">
        <f>2064</f>
        <v>2064.0</v>
      </c>
      <c r="L195" s="34" t="s">
        <v>48</v>
      </c>
      <c r="M195" s="33" t="n">
        <f>2103</f>
        <v>2103.0</v>
      </c>
      <c r="N195" s="34" t="s">
        <v>83</v>
      </c>
      <c r="O195" s="33" t="n">
        <f>2017</f>
        <v>2017.0</v>
      </c>
      <c r="P195" s="34" t="s">
        <v>104</v>
      </c>
      <c r="Q195" s="33" t="n">
        <f>2036</f>
        <v>2036.0</v>
      </c>
      <c r="R195" s="34" t="s">
        <v>49</v>
      </c>
      <c r="S195" s="35" t="n">
        <f>2064.44</f>
        <v>2064.44</v>
      </c>
      <c r="T195" s="32" t="n">
        <f>57135</f>
        <v>57135.0</v>
      </c>
      <c r="U195" s="32" t="n">
        <f>2</f>
        <v>2.0</v>
      </c>
      <c r="V195" s="32" t="n">
        <f>117926700</f>
        <v>1.179267E8</v>
      </c>
      <c r="W195" s="32" t="n">
        <f>4138</f>
        <v>4138.0</v>
      </c>
      <c r="X195" s="36" t="n">
        <f>18</f>
        <v>18.0</v>
      </c>
    </row>
    <row r="196">
      <c r="A196" s="27" t="s">
        <v>42</v>
      </c>
      <c r="B196" s="27" t="s">
        <v>630</v>
      </c>
      <c r="C196" s="27" t="s">
        <v>631</v>
      </c>
      <c r="D196" s="27" t="s">
        <v>632</v>
      </c>
      <c r="E196" s="28" t="s">
        <v>46</v>
      </c>
      <c r="F196" s="29" t="s">
        <v>46</v>
      </c>
      <c r="G196" s="30" t="s">
        <v>46</v>
      </c>
      <c r="H196" s="31"/>
      <c r="I196" s="31" t="s">
        <v>416</v>
      </c>
      <c r="J196" s="32" t="n">
        <v>1.0</v>
      </c>
      <c r="K196" s="33" t="n">
        <f>8070</f>
        <v>8070.0</v>
      </c>
      <c r="L196" s="34" t="s">
        <v>48</v>
      </c>
      <c r="M196" s="33" t="n">
        <f>8884</f>
        <v>8884.0</v>
      </c>
      <c r="N196" s="34" t="s">
        <v>203</v>
      </c>
      <c r="O196" s="33" t="n">
        <f>8070</f>
        <v>8070.0</v>
      </c>
      <c r="P196" s="34" t="s">
        <v>48</v>
      </c>
      <c r="Q196" s="33" t="n">
        <f>8600</f>
        <v>8600.0</v>
      </c>
      <c r="R196" s="34" t="s">
        <v>49</v>
      </c>
      <c r="S196" s="35" t="n">
        <f>8527</f>
        <v>8527.0</v>
      </c>
      <c r="T196" s="32" t="n">
        <f>22638</f>
        <v>22638.0</v>
      </c>
      <c r="U196" s="32" t="n">
        <f>2</f>
        <v>2.0</v>
      </c>
      <c r="V196" s="32" t="n">
        <f>194840053</f>
        <v>1.94840053E8</v>
      </c>
      <c r="W196" s="32" t="n">
        <f>17062</f>
        <v>17062.0</v>
      </c>
      <c r="X196" s="36" t="n">
        <f>18</f>
        <v>18.0</v>
      </c>
    </row>
    <row r="197">
      <c r="A197" s="27" t="s">
        <v>42</v>
      </c>
      <c r="B197" s="27" t="s">
        <v>633</v>
      </c>
      <c r="C197" s="27" t="s">
        <v>634</v>
      </c>
      <c r="D197" s="27" t="s">
        <v>635</v>
      </c>
      <c r="E197" s="28" t="s">
        <v>46</v>
      </c>
      <c r="F197" s="29" t="s">
        <v>46</v>
      </c>
      <c r="G197" s="30" t="s">
        <v>46</v>
      </c>
      <c r="H197" s="31"/>
      <c r="I197" s="31" t="s">
        <v>416</v>
      </c>
      <c r="J197" s="32" t="n">
        <v>1.0</v>
      </c>
      <c r="K197" s="33" t="n">
        <f>27190</f>
        <v>27190.0</v>
      </c>
      <c r="L197" s="34" t="s">
        <v>48</v>
      </c>
      <c r="M197" s="33" t="n">
        <f>28360</f>
        <v>28360.0</v>
      </c>
      <c r="N197" s="34" t="s">
        <v>204</v>
      </c>
      <c r="O197" s="33" t="n">
        <f>27000</f>
        <v>27000.0</v>
      </c>
      <c r="P197" s="34" t="s">
        <v>48</v>
      </c>
      <c r="Q197" s="33" t="n">
        <f>27590</f>
        <v>27590.0</v>
      </c>
      <c r="R197" s="34" t="s">
        <v>49</v>
      </c>
      <c r="S197" s="35" t="n">
        <f>27612.35</f>
        <v>27612.35</v>
      </c>
      <c r="T197" s="32" t="n">
        <f>216</f>
        <v>216.0</v>
      </c>
      <c r="U197" s="32" t="n">
        <f>2</f>
        <v>2.0</v>
      </c>
      <c r="V197" s="32" t="n">
        <f>5962745</f>
        <v>5962745.0</v>
      </c>
      <c r="W197" s="32" t="n">
        <f>55030</f>
        <v>55030.0</v>
      </c>
      <c r="X197" s="36" t="n">
        <f>17</f>
        <v>17.0</v>
      </c>
    </row>
    <row r="198">
      <c r="A198" s="27" t="s">
        <v>42</v>
      </c>
      <c r="B198" s="27" t="s">
        <v>636</v>
      </c>
      <c r="C198" s="27" t="s">
        <v>637</v>
      </c>
      <c r="D198" s="27" t="s">
        <v>638</v>
      </c>
      <c r="E198" s="28" t="s">
        <v>46</v>
      </c>
      <c r="F198" s="29" t="s">
        <v>46</v>
      </c>
      <c r="G198" s="30" t="s">
        <v>46</v>
      </c>
      <c r="H198" s="31"/>
      <c r="I198" s="31" t="s">
        <v>416</v>
      </c>
      <c r="J198" s="32" t="n">
        <v>1.0</v>
      </c>
      <c r="K198" s="33" t="n">
        <f>33110</f>
        <v>33110.0</v>
      </c>
      <c r="L198" s="34" t="s">
        <v>48</v>
      </c>
      <c r="M198" s="33" t="n">
        <f>33280</f>
        <v>33280.0</v>
      </c>
      <c r="N198" s="34" t="s">
        <v>49</v>
      </c>
      <c r="O198" s="33" t="n">
        <f>32150</f>
        <v>32150.0</v>
      </c>
      <c r="P198" s="34" t="s">
        <v>83</v>
      </c>
      <c r="Q198" s="33" t="n">
        <f>33050</f>
        <v>33050.0</v>
      </c>
      <c r="R198" s="34" t="s">
        <v>49</v>
      </c>
      <c r="S198" s="35" t="n">
        <f>32736.11</f>
        <v>32736.11</v>
      </c>
      <c r="T198" s="32" t="n">
        <f>5233</f>
        <v>5233.0</v>
      </c>
      <c r="U198" s="32" t="n">
        <f>4</f>
        <v>4.0</v>
      </c>
      <c r="V198" s="32" t="n">
        <f>171598870</f>
        <v>1.7159887E8</v>
      </c>
      <c r="W198" s="32" t="n">
        <f>129080</f>
        <v>129080.0</v>
      </c>
      <c r="X198" s="36" t="n">
        <f>18</f>
        <v>18.0</v>
      </c>
    </row>
    <row r="199">
      <c r="A199" s="27" t="s">
        <v>42</v>
      </c>
      <c r="B199" s="27" t="s">
        <v>639</v>
      </c>
      <c r="C199" s="27" t="s">
        <v>640</v>
      </c>
      <c r="D199" s="27" t="s">
        <v>641</v>
      </c>
      <c r="E199" s="28" t="s">
        <v>46</v>
      </c>
      <c r="F199" s="29" t="s">
        <v>46</v>
      </c>
      <c r="G199" s="30" t="s">
        <v>46</v>
      </c>
      <c r="H199" s="31"/>
      <c r="I199" s="31" t="s">
        <v>416</v>
      </c>
      <c r="J199" s="32" t="n">
        <v>1.0</v>
      </c>
      <c r="K199" s="33" t="n">
        <f>20010</f>
        <v>20010.0</v>
      </c>
      <c r="L199" s="34" t="s">
        <v>48</v>
      </c>
      <c r="M199" s="33" t="n">
        <f>20320</f>
        <v>20320.0</v>
      </c>
      <c r="N199" s="34" t="s">
        <v>104</v>
      </c>
      <c r="O199" s="33" t="n">
        <f>19500</f>
        <v>19500.0</v>
      </c>
      <c r="P199" s="34" t="s">
        <v>69</v>
      </c>
      <c r="Q199" s="33" t="n">
        <f>19780</f>
        <v>19780.0</v>
      </c>
      <c r="R199" s="34" t="s">
        <v>70</v>
      </c>
      <c r="S199" s="35" t="n">
        <f>19840.45</f>
        <v>19840.45</v>
      </c>
      <c r="T199" s="32" t="n">
        <f>100</f>
        <v>100.0</v>
      </c>
      <c r="U199" s="32" t="n">
        <f>1</f>
        <v>1.0</v>
      </c>
      <c r="V199" s="32" t="n">
        <f>1971085</f>
        <v>1971085.0</v>
      </c>
      <c r="W199" s="32" t="n">
        <f>19850</f>
        <v>19850.0</v>
      </c>
      <c r="X199" s="36" t="n">
        <f>11</f>
        <v>11.0</v>
      </c>
    </row>
    <row r="200">
      <c r="A200" s="27" t="s">
        <v>42</v>
      </c>
      <c r="B200" s="27" t="s">
        <v>642</v>
      </c>
      <c r="C200" s="27" t="s">
        <v>643</v>
      </c>
      <c r="D200" s="27" t="s">
        <v>644</v>
      </c>
      <c r="E200" s="28" t="s">
        <v>46</v>
      </c>
      <c r="F200" s="29" t="s">
        <v>46</v>
      </c>
      <c r="G200" s="30" t="s">
        <v>46</v>
      </c>
      <c r="H200" s="31"/>
      <c r="I200" s="31" t="s">
        <v>416</v>
      </c>
      <c r="J200" s="32" t="n">
        <v>1.0</v>
      </c>
      <c r="K200" s="33" t="n">
        <f>25415</f>
        <v>25415.0</v>
      </c>
      <c r="L200" s="34" t="s">
        <v>48</v>
      </c>
      <c r="M200" s="33" t="n">
        <f>26300</f>
        <v>26300.0</v>
      </c>
      <c r="N200" s="34" t="s">
        <v>67</v>
      </c>
      <c r="O200" s="33" t="n">
        <f>23670</f>
        <v>23670.0</v>
      </c>
      <c r="P200" s="34" t="s">
        <v>83</v>
      </c>
      <c r="Q200" s="33" t="n">
        <f>24965</f>
        <v>24965.0</v>
      </c>
      <c r="R200" s="34" t="s">
        <v>49</v>
      </c>
      <c r="S200" s="35" t="n">
        <f>24769.72</f>
        <v>24769.72</v>
      </c>
      <c r="T200" s="32" t="n">
        <f>24844</f>
        <v>24844.0</v>
      </c>
      <c r="U200" s="32" t="n">
        <f>1</f>
        <v>1.0</v>
      </c>
      <c r="V200" s="32" t="n">
        <f>615005175</f>
        <v>6.15005175E8</v>
      </c>
      <c r="W200" s="32" t="n">
        <f>24370</f>
        <v>24370.0</v>
      </c>
      <c r="X200" s="36" t="n">
        <f>18</f>
        <v>18.0</v>
      </c>
    </row>
    <row r="201">
      <c r="A201" s="27" t="s">
        <v>42</v>
      </c>
      <c r="B201" s="27" t="s">
        <v>645</v>
      </c>
      <c r="C201" s="27" t="s">
        <v>646</v>
      </c>
      <c r="D201" s="27" t="s">
        <v>647</v>
      </c>
      <c r="E201" s="28" t="s">
        <v>46</v>
      </c>
      <c r="F201" s="29" t="s">
        <v>46</v>
      </c>
      <c r="G201" s="30" t="s">
        <v>46</v>
      </c>
      <c r="H201" s="31"/>
      <c r="I201" s="31" t="s">
        <v>416</v>
      </c>
      <c r="J201" s="32" t="n">
        <v>1.0</v>
      </c>
      <c r="K201" s="33" t="n">
        <f>3436</f>
        <v>3436.0</v>
      </c>
      <c r="L201" s="34" t="s">
        <v>48</v>
      </c>
      <c r="M201" s="33" t="n">
        <f>3557</f>
        <v>3557.0</v>
      </c>
      <c r="N201" s="34" t="s">
        <v>87</v>
      </c>
      <c r="O201" s="33" t="n">
        <f>3239</f>
        <v>3239.0</v>
      </c>
      <c r="P201" s="34" t="s">
        <v>67</v>
      </c>
      <c r="Q201" s="33" t="n">
        <f>3448</f>
        <v>3448.0</v>
      </c>
      <c r="R201" s="34" t="s">
        <v>49</v>
      </c>
      <c r="S201" s="35" t="n">
        <f>3437.27</f>
        <v>3437.27</v>
      </c>
      <c r="T201" s="32" t="n">
        <f>1563</f>
        <v>1563.0</v>
      </c>
      <c r="U201" s="32" t="n">
        <f>1</f>
        <v>1.0</v>
      </c>
      <c r="V201" s="32" t="n">
        <f>5345877</f>
        <v>5345877.0</v>
      </c>
      <c r="W201" s="32" t="n">
        <f>3496</f>
        <v>3496.0</v>
      </c>
      <c r="X201" s="36" t="n">
        <f>11</f>
        <v>11.0</v>
      </c>
    </row>
    <row r="202">
      <c r="A202" s="27" t="s">
        <v>42</v>
      </c>
      <c r="B202" s="27" t="s">
        <v>648</v>
      </c>
      <c r="C202" s="27" t="s">
        <v>649</v>
      </c>
      <c r="D202" s="27" t="s">
        <v>650</v>
      </c>
      <c r="E202" s="28" t="s">
        <v>46</v>
      </c>
      <c r="F202" s="29" t="s">
        <v>46</v>
      </c>
      <c r="G202" s="30" t="s">
        <v>46</v>
      </c>
      <c r="H202" s="31"/>
      <c r="I202" s="31" t="s">
        <v>416</v>
      </c>
      <c r="J202" s="32" t="n">
        <v>1.0</v>
      </c>
      <c r="K202" s="33" t="n">
        <f>48210</f>
        <v>48210.0</v>
      </c>
      <c r="L202" s="34" t="s">
        <v>67</v>
      </c>
      <c r="M202" s="33" t="n">
        <f>51500</f>
        <v>51500.0</v>
      </c>
      <c r="N202" s="34" t="s">
        <v>104</v>
      </c>
      <c r="O202" s="33" t="n">
        <f>48210</f>
        <v>48210.0</v>
      </c>
      <c r="P202" s="34" t="s">
        <v>67</v>
      </c>
      <c r="Q202" s="33" t="n">
        <f>50080</f>
        <v>50080.0</v>
      </c>
      <c r="R202" s="34" t="s">
        <v>70</v>
      </c>
      <c r="S202" s="35" t="n">
        <f>49927</f>
        <v>49927.0</v>
      </c>
      <c r="T202" s="32" t="n">
        <f>484</f>
        <v>484.0</v>
      </c>
      <c r="U202" s="32" t="n">
        <f>1</f>
        <v>1.0</v>
      </c>
      <c r="V202" s="32" t="n">
        <f>24277500</f>
        <v>2.42775E7</v>
      </c>
      <c r="W202" s="32" t="n">
        <f>50160</f>
        <v>50160.0</v>
      </c>
      <c r="X202" s="36" t="n">
        <f>10</f>
        <v>10.0</v>
      </c>
    </row>
    <row r="203">
      <c r="A203" s="27" t="s">
        <v>42</v>
      </c>
      <c r="B203" s="27" t="s">
        <v>651</v>
      </c>
      <c r="C203" s="27" t="s">
        <v>652</v>
      </c>
      <c r="D203" s="27" t="s">
        <v>653</v>
      </c>
      <c r="E203" s="28" t="s">
        <v>46</v>
      </c>
      <c r="F203" s="29" t="s">
        <v>46</v>
      </c>
      <c r="G203" s="30" t="s">
        <v>46</v>
      </c>
      <c r="H203" s="31"/>
      <c r="I203" s="31" t="s">
        <v>416</v>
      </c>
      <c r="J203" s="32" t="n">
        <v>1.0</v>
      </c>
      <c r="K203" s="33" t="n">
        <f>29935</f>
        <v>29935.0</v>
      </c>
      <c r="L203" s="34" t="s">
        <v>48</v>
      </c>
      <c r="M203" s="33" t="n">
        <f>32310</f>
        <v>32310.0</v>
      </c>
      <c r="N203" s="34" t="s">
        <v>117</v>
      </c>
      <c r="O203" s="33" t="n">
        <f>29935</f>
        <v>29935.0</v>
      </c>
      <c r="P203" s="34" t="s">
        <v>48</v>
      </c>
      <c r="Q203" s="33" t="n">
        <f>31600</f>
        <v>31600.0</v>
      </c>
      <c r="R203" s="34" t="s">
        <v>68</v>
      </c>
      <c r="S203" s="35" t="n">
        <f>31462.92</f>
        <v>31462.92</v>
      </c>
      <c r="T203" s="32" t="n">
        <f>127</f>
        <v>127.0</v>
      </c>
      <c r="U203" s="32" t="str">
        <f>"－"</f>
        <v>－</v>
      </c>
      <c r="V203" s="32" t="n">
        <f>4036460</f>
        <v>4036460.0</v>
      </c>
      <c r="W203" s="32" t="str">
        <f>"－"</f>
        <v>－</v>
      </c>
      <c r="X203" s="36" t="n">
        <f>12</f>
        <v>12.0</v>
      </c>
    </row>
    <row r="204">
      <c r="A204" s="27" t="s">
        <v>42</v>
      </c>
      <c r="B204" s="27" t="s">
        <v>654</v>
      </c>
      <c r="C204" s="27" t="s">
        <v>655</v>
      </c>
      <c r="D204" s="27" t="s">
        <v>656</v>
      </c>
      <c r="E204" s="28" t="s">
        <v>46</v>
      </c>
      <c r="F204" s="29" t="s">
        <v>46</v>
      </c>
      <c r="G204" s="30" t="s">
        <v>46</v>
      </c>
      <c r="H204" s="31"/>
      <c r="I204" s="31" t="s">
        <v>416</v>
      </c>
      <c r="J204" s="32" t="n">
        <v>1.0</v>
      </c>
      <c r="K204" s="33" t="n">
        <f>53000</f>
        <v>53000.0</v>
      </c>
      <c r="L204" s="34" t="s">
        <v>48</v>
      </c>
      <c r="M204" s="33" t="n">
        <f>56060</f>
        <v>56060.0</v>
      </c>
      <c r="N204" s="34" t="s">
        <v>49</v>
      </c>
      <c r="O204" s="33" t="n">
        <f>53000</f>
        <v>53000.0</v>
      </c>
      <c r="P204" s="34" t="s">
        <v>48</v>
      </c>
      <c r="Q204" s="33" t="n">
        <f>56060</f>
        <v>56060.0</v>
      </c>
      <c r="R204" s="34" t="s">
        <v>49</v>
      </c>
      <c r="S204" s="35" t="n">
        <f>54624.17</f>
        <v>54624.17</v>
      </c>
      <c r="T204" s="32" t="n">
        <f>111</f>
        <v>111.0</v>
      </c>
      <c r="U204" s="32" t="n">
        <f>2</f>
        <v>2.0</v>
      </c>
      <c r="V204" s="32" t="n">
        <f>6069030</f>
        <v>6069030.0</v>
      </c>
      <c r="W204" s="32" t="n">
        <f>110660</f>
        <v>110660.0</v>
      </c>
      <c r="X204" s="36" t="n">
        <f>12</f>
        <v>12.0</v>
      </c>
    </row>
    <row r="205">
      <c r="A205" s="27" t="s">
        <v>42</v>
      </c>
      <c r="B205" s="27" t="s">
        <v>657</v>
      </c>
      <c r="C205" s="27" t="s">
        <v>658</v>
      </c>
      <c r="D205" s="27" t="s">
        <v>659</v>
      </c>
      <c r="E205" s="28" t="s">
        <v>46</v>
      </c>
      <c r="F205" s="29" t="s">
        <v>46</v>
      </c>
      <c r="G205" s="30" t="s">
        <v>46</v>
      </c>
      <c r="H205" s="31"/>
      <c r="I205" s="31" t="s">
        <v>416</v>
      </c>
      <c r="J205" s="32" t="n">
        <v>1.0</v>
      </c>
      <c r="K205" s="33" t="n">
        <f>24380</f>
        <v>24380.0</v>
      </c>
      <c r="L205" s="34" t="s">
        <v>83</v>
      </c>
      <c r="M205" s="33" t="n">
        <f>24570</f>
        <v>24570.0</v>
      </c>
      <c r="N205" s="34" t="s">
        <v>204</v>
      </c>
      <c r="O205" s="33" t="n">
        <f>24070</f>
        <v>24070.0</v>
      </c>
      <c r="P205" s="34" t="s">
        <v>196</v>
      </c>
      <c r="Q205" s="33" t="n">
        <f>24185</f>
        <v>24185.0</v>
      </c>
      <c r="R205" s="34" t="s">
        <v>104</v>
      </c>
      <c r="S205" s="35" t="n">
        <f>24314</f>
        <v>24314.0</v>
      </c>
      <c r="T205" s="32" t="n">
        <f>47</f>
        <v>47.0</v>
      </c>
      <c r="U205" s="32" t="n">
        <f>1</f>
        <v>1.0</v>
      </c>
      <c r="V205" s="32" t="n">
        <f>1152975</f>
        <v>1152975.0</v>
      </c>
      <c r="W205" s="32" t="n">
        <f>24625</f>
        <v>24625.0</v>
      </c>
      <c r="X205" s="36" t="n">
        <f>5</f>
        <v>5.0</v>
      </c>
    </row>
    <row r="206">
      <c r="A206" s="27" t="s">
        <v>42</v>
      </c>
      <c r="B206" s="27" t="s">
        <v>660</v>
      </c>
      <c r="C206" s="27" t="s">
        <v>661</v>
      </c>
      <c r="D206" s="27" t="s">
        <v>662</v>
      </c>
      <c r="E206" s="28" t="s">
        <v>46</v>
      </c>
      <c r="F206" s="29" t="s">
        <v>46</v>
      </c>
      <c r="G206" s="30" t="s">
        <v>46</v>
      </c>
      <c r="H206" s="31"/>
      <c r="I206" s="31" t="s">
        <v>416</v>
      </c>
      <c r="J206" s="32" t="n">
        <v>1.0</v>
      </c>
      <c r="K206" s="33" t="n">
        <f>27455</f>
        <v>27455.0</v>
      </c>
      <c r="L206" s="34" t="s">
        <v>67</v>
      </c>
      <c r="M206" s="33" t="n">
        <f>29235</f>
        <v>29235.0</v>
      </c>
      <c r="N206" s="34" t="s">
        <v>49</v>
      </c>
      <c r="O206" s="33" t="n">
        <f>26745</f>
        <v>26745.0</v>
      </c>
      <c r="P206" s="34" t="s">
        <v>204</v>
      </c>
      <c r="Q206" s="33" t="n">
        <f>29235</f>
        <v>29235.0</v>
      </c>
      <c r="R206" s="34" t="s">
        <v>49</v>
      </c>
      <c r="S206" s="35" t="n">
        <f>27893.75</f>
        <v>27893.75</v>
      </c>
      <c r="T206" s="32" t="n">
        <f>169</f>
        <v>169.0</v>
      </c>
      <c r="U206" s="32" t="str">
        <f>"－"</f>
        <v>－</v>
      </c>
      <c r="V206" s="32" t="n">
        <f>4716395</f>
        <v>4716395.0</v>
      </c>
      <c r="W206" s="32" t="str">
        <f>"－"</f>
        <v>－</v>
      </c>
      <c r="X206" s="36" t="n">
        <f>12</f>
        <v>12.0</v>
      </c>
    </row>
    <row r="207">
      <c r="A207" s="27" t="s">
        <v>42</v>
      </c>
      <c r="B207" s="27" t="s">
        <v>663</v>
      </c>
      <c r="C207" s="27" t="s">
        <v>664</v>
      </c>
      <c r="D207" s="27" t="s">
        <v>665</v>
      </c>
      <c r="E207" s="28" t="s">
        <v>46</v>
      </c>
      <c r="F207" s="29" t="s">
        <v>46</v>
      </c>
      <c r="G207" s="30" t="s">
        <v>46</v>
      </c>
      <c r="H207" s="31"/>
      <c r="I207" s="31" t="s">
        <v>416</v>
      </c>
      <c r="J207" s="32" t="n">
        <v>1.0</v>
      </c>
      <c r="K207" s="33" t="str">
        <f>"－"</f>
        <v>－</v>
      </c>
      <c r="L207" s="34"/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5" t="str">
        <f>"－"</f>
        <v>－</v>
      </c>
      <c r="T207" s="32" t="str">
        <f>"－"</f>
        <v>－</v>
      </c>
      <c r="U207" s="32" t="str">
        <f>"－"</f>
        <v>－</v>
      </c>
      <c r="V207" s="32" t="str">
        <f>"－"</f>
        <v>－</v>
      </c>
      <c r="W207" s="32" t="str">
        <f>"－"</f>
        <v>－</v>
      </c>
      <c r="X207" s="36" t="str">
        <f>"－"</f>
        <v>－</v>
      </c>
    </row>
    <row r="208">
      <c r="A208" s="27" t="s">
        <v>42</v>
      </c>
      <c r="B208" s="27" t="s">
        <v>666</v>
      </c>
      <c r="C208" s="27" t="s">
        <v>667</v>
      </c>
      <c r="D208" s="27" t="s">
        <v>668</v>
      </c>
      <c r="E208" s="28" t="s">
        <v>46</v>
      </c>
      <c r="F208" s="29" t="s">
        <v>46</v>
      </c>
      <c r="G208" s="30" t="s">
        <v>46</v>
      </c>
      <c r="H208" s="31"/>
      <c r="I208" s="31" t="s">
        <v>416</v>
      </c>
      <c r="J208" s="32" t="n">
        <v>1.0</v>
      </c>
      <c r="K208" s="33" t="n">
        <f>20655</f>
        <v>20655.0</v>
      </c>
      <c r="L208" s="34" t="s">
        <v>196</v>
      </c>
      <c r="M208" s="33" t="n">
        <f>20655</f>
        <v>20655.0</v>
      </c>
      <c r="N208" s="34" t="s">
        <v>196</v>
      </c>
      <c r="O208" s="33" t="n">
        <f>20655</f>
        <v>20655.0</v>
      </c>
      <c r="P208" s="34" t="s">
        <v>196</v>
      </c>
      <c r="Q208" s="33" t="n">
        <f>20655</f>
        <v>20655.0</v>
      </c>
      <c r="R208" s="34" t="s">
        <v>196</v>
      </c>
      <c r="S208" s="35" t="n">
        <f>20655</f>
        <v>20655.0</v>
      </c>
      <c r="T208" s="32" t="n">
        <f>2</f>
        <v>2.0</v>
      </c>
      <c r="U208" s="32" t="n">
        <f>1</f>
        <v>1.0</v>
      </c>
      <c r="V208" s="32" t="n">
        <f>41000</f>
        <v>41000.0</v>
      </c>
      <c r="W208" s="32" t="n">
        <f>20345</f>
        <v>20345.0</v>
      </c>
      <c r="X208" s="36" t="n">
        <f>1</f>
        <v>1.0</v>
      </c>
    </row>
    <row r="209">
      <c r="A209" s="27" t="s">
        <v>42</v>
      </c>
      <c r="B209" s="27" t="s">
        <v>669</v>
      </c>
      <c r="C209" s="27" t="s">
        <v>670</v>
      </c>
      <c r="D209" s="27" t="s">
        <v>671</v>
      </c>
      <c r="E209" s="28" t="s">
        <v>46</v>
      </c>
      <c r="F209" s="29" t="s">
        <v>46</v>
      </c>
      <c r="G209" s="30" t="s">
        <v>46</v>
      </c>
      <c r="H209" s="31"/>
      <c r="I209" s="31" t="s">
        <v>416</v>
      </c>
      <c r="J209" s="32" t="n">
        <v>1.0</v>
      </c>
      <c r="K209" s="33" t="n">
        <f>14040</f>
        <v>14040.0</v>
      </c>
      <c r="L209" s="34" t="s">
        <v>48</v>
      </c>
      <c r="M209" s="33" t="n">
        <f>15140</f>
        <v>15140.0</v>
      </c>
      <c r="N209" s="34" t="s">
        <v>49</v>
      </c>
      <c r="O209" s="33" t="n">
        <f>14040</f>
        <v>14040.0</v>
      </c>
      <c r="P209" s="34" t="s">
        <v>48</v>
      </c>
      <c r="Q209" s="33" t="n">
        <f>15140</f>
        <v>15140.0</v>
      </c>
      <c r="R209" s="34" t="s">
        <v>49</v>
      </c>
      <c r="S209" s="35" t="n">
        <f>14698.46</f>
        <v>14698.46</v>
      </c>
      <c r="T209" s="32" t="n">
        <f>281</f>
        <v>281.0</v>
      </c>
      <c r="U209" s="32" t="str">
        <f>"－"</f>
        <v>－</v>
      </c>
      <c r="V209" s="32" t="n">
        <f>4153435</f>
        <v>4153435.0</v>
      </c>
      <c r="W209" s="32" t="str">
        <f>"－"</f>
        <v>－</v>
      </c>
      <c r="X209" s="36" t="n">
        <f>13</f>
        <v>13.0</v>
      </c>
    </row>
    <row r="210">
      <c r="A210" s="27" t="s">
        <v>42</v>
      </c>
      <c r="B210" s="27" t="s">
        <v>672</v>
      </c>
      <c r="C210" s="27" t="s">
        <v>673</v>
      </c>
      <c r="D210" s="27" t="s">
        <v>674</v>
      </c>
      <c r="E210" s="28" t="s">
        <v>46</v>
      </c>
      <c r="F210" s="29" t="s">
        <v>46</v>
      </c>
      <c r="G210" s="30" t="s">
        <v>46</v>
      </c>
      <c r="H210" s="31"/>
      <c r="I210" s="31" t="s">
        <v>416</v>
      </c>
      <c r="J210" s="32" t="n">
        <v>1.0</v>
      </c>
      <c r="K210" s="33" t="n">
        <f>17925</f>
        <v>17925.0</v>
      </c>
      <c r="L210" s="34" t="s">
        <v>209</v>
      </c>
      <c r="M210" s="33" t="n">
        <f>18525</f>
        <v>18525.0</v>
      </c>
      <c r="N210" s="34" t="s">
        <v>49</v>
      </c>
      <c r="O210" s="33" t="n">
        <f>17655</f>
        <v>17655.0</v>
      </c>
      <c r="P210" s="34" t="s">
        <v>117</v>
      </c>
      <c r="Q210" s="33" t="n">
        <f>18525</f>
        <v>18525.0</v>
      </c>
      <c r="R210" s="34" t="s">
        <v>49</v>
      </c>
      <c r="S210" s="35" t="n">
        <f>18164.58</f>
        <v>18164.58</v>
      </c>
      <c r="T210" s="32" t="n">
        <f>7062</f>
        <v>7062.0</v>
      </c>
      <c r="U210" s="32" t="n">
        <f>1</f>
        <v>1.0</v>
      </c>
      <c r="V210" s="32" t="n">
        <f>129054485</f>
        <v>1.29054485E8</v>
      </c>
      <c r="W210" s="32" t="n">
        <f>17990</f>
        <v>17990.0</v>
      </c>
      <c r="X210" s="36" t="n">
        <f>12</f>
        <v>12.0</v>
      </c>
    </row>
    <row r="211">
      <c r="A211" s="27" t="s">
        <v>42</v>
      </c>
      <c r="B211" s="27" t="s">
        <v>675</v>
      </c>
      <c r="C211" s="27" t="s">
        <v>676</v>
      </c>
      <c r="D211" s="27" t="s">
        <v>677</v>
      </c>
      <c r="E211" s="28" t="s">
        <v>46</v>
      </c>
      <c r="F211" s="29" t="s">
        <v>46</v>
      </c>
      <c r="G211" s="30" t="s">
        <v>46</v>
      </c>
      <c r="H211" s="31"/>
      <c r="I211" s="31" t="s">
        <v>416</v>
      </c>
      <c r="J211" s="32" t="n">
        <v>1.0</v>
      </c>
      <c r="K211" s="33" t="n">
        <f>20000</f>
        <v>20000.0</v>
      </c>
      <c r="L211" s="34" t="s">
        <v>67</v>
      </c>
      <c r="M211" s="33" t="n">
        <f>22040</f>
        <v>22040.0</v>
      </c>
      <c r="N211" s="34" t="s">
        <v>204</v>
      </c>
      <c r="O211" s="33" t="n">
        <f>19920</f>
        <v>19920.0</v>
      </c>
      <c r="P211" s="34" t="s">
        <v>209</v>
      </c>
      <c r="Q211" s="33" t="n">
        <f>21850</f>
        <v>21850.0</v>
      </c>
      <c r="R211" s="34" t="s">
        <v>49</v>
      </c>
      <c r="S211" s="35" t="n">
        <f>21220.94</f>
        <v>21220.94</v>
      </c>
      <c r="T211" s="32" t="n">
        <f>947</f>
        <v>947.0</v>
      </c>
      <c r="U211" s="32" t="n">
        <f>1</f>
        <v>1.0</v>
      </c>
      <c r="V211" s="32" t="n">
        <f>20245535</f>
        <v>2.0245535E7</v>
      </c>
      <c r="W211" s="32" t="n">
        <f>20990</f>
        <v>20990.0</v>
      </c>
      <c r="X211" s="36" t="n">
        <f>16</f>
        <v>16.0</v>
      </c>
    </row>
    <row r="212">
      <c r="A212" s="27" t="s">
        <v>42</v>
      </c>
      <c r="B212" s="27" t="s">
        <v>678</v>
      </c>
      <c r="C212" s="27" t="s">
        <v>679</v>
      </c>
      <c r="D212" s="27" t="s">
        <v>680</v>
      </c>
      <c r="E212" s="28" t="s">
        <v>46</v>
      </c>
      <c r="F212" s="29" t="s">
        <v>46</v>
      </c>
      <c r="G212" s="30" t="s">
        <v>46</v>
      </c>
      <c r="H212" s="31"/>
      <c r="I212" s="31" t="s">
        <v>416</v>
      </c>
      <c r="J212" s="32" t="n">
        <v>1.0</v>
      </c>
      <c r="K212" s="33" t="str">
        <f>"－"</f>
        <v>－</v>
      </c>
      <c r="L212" s="34"/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5" t="str">
        <f>"－"</f>
        <v>－</v>
      </c>
      <c r="T212" s="32" t="str">
        <f>"－"</f>
        <v>－</v>
      </c>
      <c r="U212" s="32" t="str">
        <f>"－"</f>
        <v>－</v>
      </c>
      <c r="V212" s="32" t="str">
        <f>"－"</f>
        <v>－</v>
      </c>
      <c r="W212" s="32" t="str">
        <f>"－"</f>
        <v>－</v>
      </c>
      <c r="X212" s="36" t="str">
        <f>"－"</f>
        <v>－</v>
      </c>
    </row>
    <row r="213">
      <c r="A213" s="27" t="s">
        <v>42</v>
      </c>
      <c r="B213" s="27" t="s">
        <v>681</v>
      </c>
      <c r="C213" s="27" t="s">
        <v>682</v>
      </c>
      <c r="D213" s="27" t="s">
        <v>683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1797</f>
        <v>1797.0</v>
      </c>
      <c r="L213" s="34" t="s">
        <v>48</v>
      </c>
      <c r="M213" s="33" t="n">
        <f>1900</f>
        <v>1900.0</v>
      </c>
      <c r="N213" s="34" t="s">
        <v>100</v>
      </c>
      <c r="O213" s="33" t="n">
        <f>1756</f>
        <v>1756.0</v>
      </c>
      <c r="P213" s="34" t="s">
        <v>48</v>
      </c>
      <c r="Q213" s="33" t="n">
        <f>1894</f>
        <v>1894.0</v>
      </c>
      <c r="R213" s="34" t="s">
        <v>49</v>
      </c>
      <c r="S213" s="35" t="n">
        <f>1853.56</f>
        <v>1853.56</v>
      </c>
      <c r="T213" s="32" t="n">
        <f>1330158</f>
        <v>1330158.0</v>
      </c>
      <c r="U213" s="32" t="n">
        <f>4</f>
        <v>4.0</v>
      </c>
      <c r="V213" s="32" t="n">
        <f>2468381834</f>
        <v>2.468381834E9</v>
      </c>
      <c r="W213" s="32" t="n">
        <f>7424</f>
        <v>7424.0</v>
      </c>
      <c r="X213" s="36" t="n">
        <f>18</f>
        <v>18.0</v>
      </c>
    </row>
    <row r="214">
      <c r="A214" s="27" t="s">
        <v>42</v>
      </c>
      <c r="B214" s="27" t="s">
        <v>684</v>
      </c>
      <c r="C214" s="27" t="s">
        <v>685</v>
      </c>
      <c r="D214" s="27" t="s">
        <v>686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1952</f>
        <v>1952.0</v>
      </c>
      <c r="L214" s="34" t="s">
        <v>48</v>
      </c>
      <c r="M214" s="33" t="n">
        <f>2049</f>
        <v>2049.0</v>
      </c>
      <c r="N214" s="34" t="s">
        <v>67</v>
      </c>
      <c r="O214" s="33" t="n">
        <f>1907</f>
        <v>1907.0</v>
      </c>
      <c r="P214" s="34" t="s">
        <v>196</v>
      </c>
      <c r="Q214" s="33" t="n">
        <f>1999</f>
        <v>1999.0</v>
      </c>
      <c r="R214" s="34" t="s">
        <v>49</v>
      </c>
      <c r="S214" s="35" t="n">
        <f>1978.67</f>
        <v>1978.67</v>
      </c>
      <c r="T214" s="32" t="n">
        <f>33631</f>
        <v>33631.0</v>
      </c>
      <c r="U214" s="32" t="n">
        <f>1</f>
        <v>1.0</v>
      </c>
      <c r="V214" s="32" t="n">
        <f>66974468</f>
        <v>6.6974468E7</v>
      </c>
      <c r="W214" s="32" t="n">
        <f>1991</f>
        <v>1991.0</v>
      </c>
      <c r="X214" s="36" t="n">
        <f>18</f>
        <v>18.0</v>
      </c>
    </row>
    <row r="215">
      <c r="A215" s="27" t="s">
        <v>42</v>
      </c>
      <c r="B215" s="27" t="s">
        <v>687</v>
      </c>
      <c r="C215" s="27" t="s">
        <v>688</v>
      </c>
      <c r="D215" s="27" t="s">
        <v>689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1154</f>
        <v>1154.0</v>
      </c>
      <c r="L215" s="34" t="s">
        <v>48</v>
      </c>
      <c r="M215" s="33" t="n">
        <f>1180</f>
        <v>1180.0</v>
      </c>
      <c r="N215" s="34" t="s">
        <v>209</v>
      </c>
      <c r="O215" s="33" t="n">
        <f>1130</f>
        <v>1130.0</v>
      </c>
      <c r="P215" s="34" t="s">
        <v>83</v>
      </c>
      <c r="Q215" s="33" t="n">
        <f>1158</f>
        <v>1158.0</v>
      </c>
      <c r="R215" s="34" t="s">
        <v>49</v>
      </c>
      <c r="S215" s="35" t="n">
        <f>1150.44</f>
        <v>1150.44</v>
      </c>
      <c r="T215" s="32" t="n">
        <f>52567</f>
        <v>52567.0</v>
      </c>
      <c r="U215" s="32" t="str">
        <f>"－"</f>
        <v>－</v>
      </c>
      <c r="V215" s="32" t="n">
        <f>60751831</f>
        <v>6.0751831E7</v>
      </c>
      <c r="W215" s="32" t="str">
        <f>"－"</f>
        <v>－</v>
      </c>
      <c r="X215" s="36" t="n">
        <f>18</f>
        <v>18.0</v>
      </c>
    </row>
    <row r="216">
      <c r="A216" s="27" t="s">
        <v>42</v>
      </c>
      <c r="B216" s="27" t="s">
        <v>690</v>
      </c>
      <c r="C216" s="27" t="s">
        <v>691</v>
      </c>
      <c r="D216" s="27" t="s">
        <v>692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3349</f>
        <v>3349.0</v>
      </c>
      <c r="L216" s="34" t="s">
        <v>48</v>
      </c>
      <c r="M216" s="33" t="n">
        <f>3909</f>
        <v>3909.0</v>
      </c>
      <c r="N216" s="34" t="s">
        <v>49</v>
      </c>
      <c r="O216" s="33" t="n">
        <f>3342</f>
        <v>3342.0</v>
      </c>
      <c r="P216" s="34" t="s">
        <v>48</v>
      </c>
      <c r="Q216" s="33" t="n">
        <f>3887</f>
        <v>3887.0</v>
      </c>
      <c r="R216" s="34" t="s">
        <v>49</v>
      </c>
      <c r="S216" s="35" t="n">
        <f>3625.89</f>
        <v>3625.89</v>
      </c>
      <c r="T216" s="32" t="n">
        <f>149805</f>
        <v>149805.0</v>
      </c>
      <c r="U216" s="32" t="n">
        <f>8</f>
        <v>8.0</v>
      </c>
      <c r="V216" s="32" t="n">
        <f>544352343</f>
        <v>5.44352343E8</v>
      </c>
      <c r="W216" s="32" t="n">
        <f>28880</f>
        <v>28880.0</v>
      </c>
      <c r="X216" s="36" t="n">
        <f>18</f>
        <v>18.0</v>
      </c>
    </row>
    <row r="217">
      <c r="A217" s="27" t="s">
        <v>42</v>
      </c>
      <c r="B217" s="27" t="s">
        <v>693</v>
      </c>
      <c r="C217" s="27" t="s">
        <v>694</v>
      </c>
      <c r="D217" s="27" t="s">
        <v>695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1.0</v>
      </c>
      <c r="K217" s="33" t="n">
        <f>3423</f>
        <v>3423.0</v>
      </c>
      <c r="L217" s="34" t="s">
        <v>48</v>
      </c>
      <c r="M217" s="33" t="n">
        <f>3693</f>
        <v>3693.0</v>
      </c>
      <c r="N217" s="34" t="s">
        <v>49</v>
      </c>
      <c r="O217" s="33" t="n">
        <f>3370</f>
        <v>3370.0</v>
      </c>
      <c r="P217" s="34" t="s">
        <v>48</v>
      </c>
      <c r="Q217" s="33" t="n">
        <f>3689</f>
        <v>3689.0</v>
      </c>
      <c r="R217" s="34" t="s">
        <v>49</v>
      </c>
      <c r="S217" s="35" t="n">
        <f>3569.56</f>
        <v>3569.56</v>
      </c>
      <c r="T217" s="32" t="n">
        <f>175982</f>
        <v>175982.0</v>
      </c>
      <c r="U217" s="32" t="n">
        <f>2807</f>
        <v>2807.0</v>
      </c>
      <c r="V217" s="32" t="n">
        <f>629748676</f>
        <v>6.29748676E8</v>
      </c>
      <c r="W217" s="32" t="n">
        <f>10145751</f>
        <v>1.0145751E7</v>
      </c>
      <c r="X217" s="36" t="n">
        <f>18</f>
        <v>18.0</v>
      </c>
    </row>
    <row r="218">
      <c r="A218" s="27" t="s">
        <v>42</v>
      </c>
      <c r="B218" s="27" t="s">
        <v>696</v>
      </c>
      <c r="C218" s="27" t="s">
        <v>697</v>
      </c>
      <c r="D218" s="27" t="s">
        <v>698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708</f>
        <v>708.0</v>
      </c>
      <c r="L218" s="34" t="s">
        <v>48</v>
      </c>
      <c r="M218" s="33" t="n">
        <f>734.6</f>
        <v>734.6</v>
      </c>
      <c r="N218" s="34" t="s">
        <v>196</v>
      </c>
      <c r="O218" s="33" t="n">
        <f>698.6</f>
        <v>698.6</v>
      </c>
      <c r="P218" s="34" t="s">
        <v>48</v>
      </c>
      <c r="Q218" s="33" t="n">
        <f>725.1</f>
        <v>725.1</v>
      </c>
      <c r="R218" s="34" t="s">
        <v>49</v>
      </c>
      <c r="S218" s="35" t="n">
        <f>714.94</f>
        <v>714.94</v>
      </c>
      <c r="T218" s="32" t="n">
        <f>508190</f>
        <v>508190.0</v>
      </c>
      <c r="U218" s="32" t="n">
        <f>10360</f>
        <v>10360.0</v>
      </c>
      <c r="V218" s="32" t="n">
        <f>362633447</f>
        <v>3.62633447E8</v>
      </c>
      <c r="W218" s="32" t="n">
        <f>7377952</f>
        <v>7377952.0</v>
      </c>
      <c r="X218" s="36" t="n">
        <f>18</f>
        <v>18.0</v>
      </c>
    </row>
    <row r="219">
      <c r="A219" s="27" t="s">
        <v>42</v>
      </c>
      <c r="B219" s="27" t="s">
        <v>699</v>
      </c>
      <c r="C219" s="27" t="s">
        <v>700</v>
      </c>
      <c r="D219" s="27" t="s">
        <v>701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2904</f>
        <v>2904.0</v>
      </c>
      <c r="L219" s="34" t="s">
        <v>48</v>
      </c>
      <c r="M219" s="33" t="n">
        <f>3060</f>
        <v>3060.0</v>
      </c>
      <c r="N219" s="34" t="s">
        <v>49</v>
      </c>
      <c r="O219" s="33" t="n">
        <f>2896</f>
        <v>2896.0</v>
      </c>
      <c r="P219" s="34" t="s">
        <v>48</v>
      </c>
      <c r="Q219" s="33" t="n">
        <f>3034</f>
        <v>3034.0</v>
      </c>
      <c r="R219" s="34" t="s">
        <v>49</v>
      </c>
      <c r="S219" s="35" t="n">
        <f>2984.71</f>
        <v>2984.71</v>
      </c>
      <c r="T219" s="32" t="n">
        <f>416806</f>
        <v>416806.0</v>
      </c>
      <c r="U219" s="32" t="n">
        <f>170000</f>
        <v>170000.0</v>
      </c>
      <c r="V219" s="32" t="n">
        <f>1222352145</f>
        <v>1.222352145E9</v>
      </c>
      <c r="W219" s="32" t="n">
        <f>503453300</f>
        <v>5.034533E8</v>
      </c>
      <c r="X219" s="36" t="n">
        <f>17</f>
        <v>17.0</v>
      </c>
    </row>
    <row r="220">
      <c r="A220" s="27" t="s">
        <v>42</v>
      </c>
      <c r="B220" s="27" t="s">
        <v>702</v>
      </c>
      <c r="C220" s="27" t="s">
        <v>703</v>
      </c>
      <c r="D220" s="27" t="s">
        <v>704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3200</f>
        <v>3200.0</v>
      </c>
      <c r="L220" s="34" t="s">
        <v>48</v>
      </c>
      <c r="M220" s="33" t="n">
        <f>3575</f>
        <v>3575.0</v>
      </c>
      <c r="N220" s="34" t="s">
        <v>49</v>
      </c>
      <c r="O220" s="33" t="n">
        <f>3200</f>
        <v>3200.0</v>
      </c>
      <c r="P220" s="34" t="s">
        <v>48</v>
      </c>
      <c r="Q220" s="33" t="n">
        <f>3564</f>
        <v>3564.0</v>
      </c>
      <c r="R220" s="34" t="s">
        <v>49</v>
      </c>
      <c r="S220" s="35" t="n">
        <f>3448.11</f>
        <v>3448.11</v>
      </c>
      <c r="T220" s="32" t="n">
        <f>421080</f>
        <v>421080.0</v>
      </c>
      <c r="U220" s="32" t="n">
        <f>88400</f>
        <v>88400.0</v>
      </c>
      <c r="V220" s="32" t="n">
        <f>1381621333</f>
        <v>1.381621333E9</v>
      </c>
      <c r="W220" s="32" t="n">
        <f>300895911</f>
        <v>3.00895911E8</v>
      </c>
      <c r="X220" s="36" t="n">
        <f>18</f>
        <v>18.0</v>
      </c>
    </row>
    <row r="221">
      <c r="A221" s="27" t="s">
        <v>42</v>
      </c>
      <c r="B221" s="27" t="s">
        <v>705</v>
      </c>
      <c r="C221" s="27" t="s">
        <v>706</v>
      </c>
      <c r="D221" s="27" t="s">
        <v>707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1.0</v>
      </c>
      <c r="K221" s="33" t="n">
        <f>2507</f>
        <v>2507.0</v>
      </c>
      <c r="L221" s="34" t="s">
        <v>48</v>
      </c>
      <c r="M221" s="33" t="n">
        <f>2560</f>
        <v>2560.0</v>
      </c>
      <c r="N221" s="34" t="s">
        <v>204</v>
      </c>
      <c r="O221" s="33" t="n">
        <f>2472</f>
        <v>2472.0</v>
      </c>
      <c r="P221" s="34" t="s">
        <v>83</v>
      </c>
      <c r="Q221" s="33" t="n">
        <f>2550</f>
        <v>2550.0</v>
      </c>
      <c r="R221" s="34" t="s">
        <v>49</v>
      </c>
      <c r="S221" s="35" t="n">
        <f>2517.06</f>
        <v>2517.06</v>
      </c>
      <c r="T221" s="32" t="n">
        <f>92881</f>
        <v>92881.0</v>
      </c>
      <c r="U221" s="32" t="n">
        <f>44521</f>
        <v>44521.0</v>
      </c>
      <c r="V221" s="32" t="n">
        <f>231907346</f>
        <v>2.31907346E8</v>
      </c>
      <c r="W221" s="32" t="n">
        <f>110679064</f>
        <v>1.10679064E8</v>
      </c>
      <c r="X221" s="36" t="n">
        <f>17</f>
        <v>17.0</v>
      </c>
    </row>
    <row r="222">
      <c r="A222" s="27" t="s">
        <v>42</v>
      </c>
      <c r="B222" s="27" t="s">
        <v>708</v>
      </c>
      <c r="C222" s="27" t="s">
        <v>709</v>
      </c>
      <c r="D222" s="27" t="s">
        <v>710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2741</f>
        <v>2741.0</v>
      </c>
      <c r="L222" s="34" t="s">
        <v>48</v>
      </c>
      <c r="M222" s="33" t="n">
        <f>2824</f>
        <v>2824.0</v>
      </c>
      <c r="N222" s="34" t="s">
        <v>70</v>
      </c>
      <c r="O222" s="33" t="n">
        <f>2637</f>
        <v>2637.0</v>
      </c>
      <c r="P222" s="34" t="s">
        <v>83</v>
      </c>
      <c r="Q222" s="33" t="n">
        <f>2789</f>
        <v>2789.0</v>
      </c>
      <c r="R222" s="34" t="s">
        <v>49</v>
      </c>
      <c r="S222" s="35" t="n">
        <f>2735.76</f>
        <v>2735.76</v>
      </c>
      <c r="T222" s="32" t="n">
        <f>810772</f>
        <v>810772.0</v>
      </c>
      <c r="U222" s="32" t="n">
        <f>765800</f>
        <v>765800.0</v>
      </c>
      <c r="V222" s="32" t="n">
        <f>2224375208</f>
        <v>2.224375208E9</v>
      </c>
      <c r="W222" s="32" t="n">
        <f>2098996536</f>
        <v>2.098996536E9</v>
      </c>
      <c r="X222" s="36" t="n">
        <f>17</f>
        <v>17.0</v>
      </c>
    </row>
    <row r="223">
      <c r="A223" s="27" t="s">
        <v>42</v>
      </c>
      <c r="B223" s="27" t="s">
        <v>711</v>
      </c>
      <c r="C223" s="27" t="s">
        <v>712</v>
      </c>
      <c r="D223" s="27" t="s">
        <v>713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4459</f>
        <v>4459.0</v>
      </c>
      <c r="L223" s="34" t="s">
        <v>48</v>
      </c>
      <c r="M223" s="33" t="n">
        <f>4468</f>
        <v>4468.0</v>
      </c>
      <c r="N223" s="34" t="s">
        <v>67</v>
      </c>
      <c r="O223" s="33" t="n">
        <f>4300</f>
        <v>4300.0</v>
      </c>
      <c r="P223" s="34" t="s">
        <v>69</v>
      </c>
      <c r="Q223" s="33" t="n">
        <f>4379</f>
        <v>4379.0</v>
      </c>
      <c r="R223" s="34" t="s">
        <v>49</v>
      </c>
      <c r="S223" s="35" t="n">
        <f>4384.56</f>
        <v>4384.56</v>
      </c>
      <c r="T223" s="32" t="n">
        <f>286350</f>
        <v>286350.0</v>
      </c>
      <c r="U223" s="32" t="str">
        <f>"－"</f>
        <v>－</v>
      </c>
      <c r="V223" s="32" t="n">
        <f>1240941574</f>
        <v>1.240941574E9</v>
      </c>
      <c r="W223" s="32" t="str">
        <f>"－"</f>
        <v>－</v>
      </c>
      <c r="X223" s="36" t="n">
        <f>18</f>
        <v>18.0</v>
      </c>
    </row>
    <row r="224">
      <c r="A224" s="27" t="s">
        <v>42</v>
      </c>
      <c r="B224" s="27" t="s">
        <v>714</v>
      </c>
      <c r="C224" s="27" t="s">
        <v>715</v>
      </c>
      <c r="D224" s="27" t="s">
        <v>716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1.0</v>
      </c>
      <c r="K224" s="33" t="n">
        <f>4603</f>
        <v>4603.0</v>
      </c>
      <c r="L224" s="34" t="s">
        <v>67</v>
      </c>
      <c r="M224" s="33" t="n">
        <f>4603</f>
        <v>4603.0</v>
      </c>
      <c r="N224" s="34" t="s">
        <v>67</v>
      </c>
      <c r="O224" s="33" t="n">
        <f>4484</f>
        <v>4484.0</v>
      </c>
      <c r="P224" s="34" t="s">
        <v>83</v>
      </c>
      <c r="Q224" s="33" t="n">
        <f>4570</f>
        <v>4570.0</v>
      </c>
      <c r="R224" s="34" t="s">
        <v>49</v>
      </c>
      <c r="S224" s="35" t="n">
        <f>4546</f>
        <v>4546.0</v>
      </c>
      <c r="T224" s="32" t="n">
        <f>88915</f>
        <v>88915.0</v>
      </c>
      <c r="U224" s="32" t="str">
        <f>"－"</f>
        <v>－</v>
      </c>
      <c r="V224" s="32" t="n">
        <f>402119395</f>
        <v>4.02119395E8</v>
      </c>
      <c r="W224" s="32" t="str">
        <f>"－"</f>
        <v>－</v>
      </c>
      <c r="X224" s="36" t="n">
        <f>15</f>
        <v>15.0</v>
      </c>
    </row>
    <row r="225">
      <c r="A225" s="27" t="s">
        <v>42</v>
      </c>
      <c r="B225" s="27" t="s">
        <v>717</v>
      </c>
      <c r="C225" s="27" t="s">
        <v>718</v>
      </c>
      <c r="D225" s="27" t="s">
        <v>719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5109</f>
        <v>5109.0</v>
      </c>
      <c r="L225" s="34" t="s">
        <v>203</v>
      </c>
      <c r="M225" s="33" t="n">
        <f>5109</f>
        <v>5109.0</v>
      </c>
      <c r="N225" s="34" t="s">
        <v>203</v>
      </c>
      <c r="O225" s="33" t="n">
        <f>4566</f>
        <v>4566.0</v>
      </c>
      <c r="P225" s="34" t="s">
        <v>83</v>
      </c>
      <c r="Q225" s="33" t="n">
        <f>4672</f>
        <v>4672.0</v>
      </c>
      <c r="R225" s="34" t="s">
        <v>49</v>
      </c>
      <c r="S225" s="35" t="n">
        <f>4664.07</f>
        <v>4664.07</v>
      </c>
      <c r="T225" s="32" t="n">
        <f>3079</f>
        <v>3079.0</v>
      </c>
      <c r="U225" s="32" t="str">
        <f>"－"</f>
        <v>－</v>
      </c>
      <c r="V225" s="32" t="n">
        <f>14296192</f>
        <v>1.4296192E7</v>
      </c>
      <c r="W225" s="32" t="str">
        <f>"－"</f>
        <v>－</v>
      </c>
      <c r="X225" s="36" t="n">
        <f>15</f>
        <v>15.0</v>
      </c>
    </row>
    <row r="226">
      <c r="A226" s="27" t="s">
        <v>42</v>
      </c>
      <c r="B226" s="27" t="s">
        <v>720</v>
      </c>
      <c r="C226" s="27" t="s">
        <v>721</v>
      </c>
      <c r="D226" s="27" t="s">
        <v>722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5290</f>
        <v>5290.0</v>
      </c>
      <c r="L226" s="34" t="s">
        <v>48</v>
      </c>
      <c r="M226" s="33" t="n">
        <f>5460</f>
        <v>5460.0</v>
      </c>
      <c r="N226" s="34" t="s">
        <v>48</v>
      </c>
      <c r="O226" s="33" t="n">
        <f>5175</f>
        <v>5175.0</v>
      </c>
      <c r="P226" s="34" t="s">
        <v>67</v>
      </c>
      <c r="Q226" s="33" t="n">
        <f>5293</f>
        <v>5293.0</v>
      </c>
      <c r="R226" s="34" t="s">
        <v>49</v>
      </c>
      <c r="S226" s="35" t="n">
        <f>5257.94</f>
        <v>5257.94</v>
      </c>
      <c r="T226" s="32" t="n">
        <f>1041271</f>
        <v>1041271.0</v>
      </c>
      <c r="U226" s="32" t="n">
        <f>191000</f>
        <v>191000.0</v>
      </c>
      <c r="V226" s="32" t="n">
        <f>5455530301</f>
        <v>5.455530301E9</v>
      </c>
      <c r="W226" s="32" t="n">
        <f>1005087196</f>
        <v>1.005087196E9</v>
      </c>
      <c r="X226" s="36" t="n">
        <f>18</f>
        <v>18.0</v>
      </c>
    </row>
    <row r="227">
      <c r="A227" s="27" t="s">
        <v>42</v>
      </c>
      <c r="B227" s="27" t="s">
        <v>723</v>
      </c>
      <c r="C227" s="27" t="s">
        <v>724</v>
      </c>
      <c r="D227" s="27" t="s">
        <v>725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769</f>
        <v>769.0</v>
      </c>
      <c r="L227" s="34" t="s">
        <v>48</v>
      </c>
      <c r="M227" s="33" t="n">
        <f>803</f>
        <v>803.0</v>
      </c>
      <c r="N227" s="34" t="s">
        <v>104</v>
      </c>
      <c r="O227" s="33" t="n">
        <f>761</f>
        <v>761.0</v>
      </c>
      <c r="P227" s="34" t="s">
        <v>67</v>
      </c>
      <c r="Q227" s="33" t="n">
        <f>788</f>
        <v>788.0</v>
      </c>
      <c r="R227" s="34" t="s">
        <v>49</v>
      </c>
      <c r="S227" s="35" t="n">
        <f>788.83</f>
        <v>788.83</v>
      </c>
      <c r="T227" s="32" t="n">
        <f>126884</f>
        <v>126884.0</v>
      </c>
      <c r="U227" s="32" t="n">
        <f>8</f>
        <v>8.0</v>
      </c>
      <c r="V227" s="32" t="n">
        <f>99272351</f>
        <v>9.9272351E7</v>
      </c>
      <c r="W227" s="32" t="n">
        <f>6320</f>
        <v>6320.0</v>
      </c>
      <c r="X227" s="36" t="n">
        <f>18</f>
        <v>18.0</v>
      </c>
    </row>
    <row r="228">
      <c r="A228" s="27" t="s">
        <v>42</v>
      </c>
      <c r="B228" s="27" t="s">
        <v>726</v>
      </c>
      <c r="C228" s="27" t="s">
        <v>727</v>
      </c>
      <c r="D228" s="27" t="s">
        <v>728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1123</f>
        <v>1123.0</v>
      </c>
      <c r="L228" s="34" t="s">
        <v>48</v>
      </c>
      <c r="M228" s="33" t="n">
        <f>1124</f>
        <v>1124.0</v>
      </c>
      <c r="N228" s="34" t="s">
        <v>48</v>
      </c>
      <c r="O228" s="33" t="n">
        <f>1085</f>
        <v>1085.0</v>
      </c>
      <c r="P228" s="34" t="s">
        <v>83</v>
      </c>
      <c r="Q228" s="33" t="n">
        <f>1110</f>
        <v>1110.0</v>
      </c>
      <c r="R228" s="34" t="s">
        <v>49</v>
      </c>
      <c r="S228" s="35" t="n">
        <f>1105.61</f>
        <v>1105.61</v>
      </c>
      <c r="T228" s="32" t="n">
        <f>197891</f>
        <v>197891.0</v>
      </c>
      <c r="U228" s="32" t="str">
        <f>"－"</f>
        <v>－</v>
      </c>
      <c r="V228" s="32" t="n">
        <f>218711223</f>
        <v>2.18711223E8</v>
      </c>
      <c r="W228" s="32" t="str">
        <f>"－"</f>
        <v>－</v>
      </c>
      <c r="X228" s="36" t="n">
        <f>18</f>
        <v>18.0</v>
      </c>
    </row>
    <row r="229">
      <c r="A229" s="27" t="s">
        <v>42</v>
      </c>
      <c r="B229" s="27" t="s">
        <v>729</v>
      </c>
      <c r="C229" s="27" t="s">
        <v>730</v>
      </c>
      <c r="D229" s="27" t="s">
        <v>731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1052</f>
        <v>1052.0</v>
      </c>
      <c r="L229" s="34" t="s">
        <v>48</v>
      </c>
      <c r="M229" s="33" t="n">
        <f>1052</f>
        <v>1052.0</v>
      </c>
      <c r="N229" s="34" t="s">
        <v>48</v>
      </c>
      <c r="O229" s="33" t="n">
        <f>987</f>
        <v>987.0</v>
      </c>
      <c r="P229" s="34" t="s">
        <v>104</v>
      </c>
      <c r="Q229" s="33" t="n">
        <f>1008</f>
        <v>1008.0</v>
      </c>
      <c r="R229" s="34" t="s">
        <v>49</v>
      </c>
      <c r="S229" s="35" t="n">
        <f>1009.44</f>
        <v>1009.44</v>
      </c>
      <c r="T229" s="32" t="n">
        <f>569815</f>
        <v>569815.0</v>
      </c>
      <c r="U229" s="32" t="n">
        <f>330001</f>
        <v>330001.0</v>
      </c>
      <c r="V229" s="32" t="n">
        <f>581664024</f>
        <v>5.81664024E8</v>
      </c>
      <c r="W229" s="32" t="n">
        <f>338226162</f>
        <v>3.38226162E8</v>
      </c>
      <c r="X229" s="36" t="n">
        <f>18</f>
        <v>18.0</v>
      </c>
    </row>
    <row r="230">
      <c r="A230" s="27" t="s">
        <v>42</v>
      </c>
      <c r="B230" s="27" t="s">
        <v>732</v>
      </c>
      <c r="C230" s="27" t="s">
        <v>733</v>
      </c>
      <c r="D230" s="27" t="s">
        <v>734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1056</f>
        <v>1056.0</v>
      </c>
      <c r="L230" s="34" t="s">
        <v>48</v>
      </c>
      <c r="M230" s="33" t="n">
        <f>1056</f>
        <v>1056.0</v>
      </c>
      <c r="N230" s="34" t="s">
        <v>48</v>
      </c>
      <c r="O230" s="33" t="n">
        <f>992</f>
        <v>992.0</v>
      </c>
      <c r="P230" s="34" t="s">
        <v>104</v>
      </c>
      <c r="Q230" s="33" t="n">
        <f>1002</f>
        <v>1002.0</v>
      </c>
      <c r="R230" s="34" t="s">
        <v>49</v>
      </c>
      <c r="S230" s="35" t="n">
        <f>1015.17</f>
        <v>1015.17</v>
      </c>
      <c r="T230" s="32" t="n">
        <f>260077</f>
        <v>260077.0</v>
      </c>
      <c r="U230" s="32" t="str">
        <f>"－"</f>
        <v>－</v>
      </c>
      <c r="V230" s="32" t="n">
        <f>264236484</f>
        <v>2.64236484E8</v>
      </c>
      <c r="W230" s="32" t="str">
        <f>"－"</f>
        <v>－</v>
      </c>
      <c r="X230" s="36" t="n">
        <f>18</f>
        <v>18.0</v>
      </c>
    </row>
    <row r="231">
      <c r="A231" s="27" t="s">
        <v>42</v>
      </c>
      <c r="B231" s="27" t="s">
        <v>735</v>
      </c>
      <c r="C231" s="27" t="s">
        <v>736</v>
      </c>
      <c r="D231" s="27" t="s">
        <v>737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995</f>
        <v>995.0</v>
      </c>
      <c r="L231" s="34" t="s">
        <v>48</v>
      </c>
      <c r="M231" s="33" t="n">
        <f>1004</f>
        <v>1004.0</v>
      </c>
      <c r="N231" s="34" t="s">
        <v>67</v>
      </c>
      <c r="O231" s="33" t="n">
        <f>959</f>
        <v>959.0</v>
      </c>
      <c r="P231" s="34" t="s">
        <v>69</v>
      </c>
      <c r="Q231" s="33" t="n">
        <f>973</f>
        <v>973.0</v>
      </c>
      <c r="R231" s="34" t="s">
        <v>49</v>
      </c>
      <c r="S231" s="35" t="n">
        <f>973.11</f>
        <v>973.11</v>
      </c>
      <c r="T231" s="32" t="n">
        <f>365374</f>
        <v>365374.0</v>
      </c>
      <c r="U231" s="32" t="n">
        <f>127050</f>
        <v>127050.0</v>
      </c>
      <c r="V231" s="32" t="n">
        <f>354280163</f>
        <v>3.54280163E8</v>
      </c>
      <c r="W231" s="32" t="n">
        <f>122590913</f>
        <v>1.22590913E8</v>
      </c>
      <c r="X231" s="36" t="n">
        <f>18</f>
        <v>18.0</v>
      </c>
    </row>
    <row r="232">
      <c r="A232" s="27" t="s">
        <v>42</v>
      </c>
      <c r="B232" s="27" t="s">
        <v>738</v>
      </c>
      <c r="C232" s="27" t="s">
        <v>739</v>
      </c>
      <c r="D232" s="27" t="s">
        <v>740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1670</f>
        <v>1670.0</v>
      </c>
      <c r="L232" s="34" t="s">
        <v>48</v>
      </c>
      <c r="M232" s="33" t="n">
        <f>1678</f>
        <v>1678.0</v>
      </c>
      <c r="N232" s="34" t="s">
        <v>67</v>
      </c>
      <c r="O232" s="33" t="n">
        <f>1593</f>
        <v>1593.0</v>
      </c>
      <c r="P232" s="34" t="s">
        <v>70</v>
      </c>
      <c r="Q232" s="33" t="n">
        <f>1608</f>
        <v>1608.0</v>
      </c>
      <c r="R232" s="34" t="s">
        <v>49</v>
      </c>
      <c r="S232" s="35" t="n">
        <f>1625.5</f>
        <v>1625.5</v>
      </c>
      <c r="T232" s="32" t="n">
        <f>2029129</f>
        <v>2029129.0</v>
      </c>
      <c r="U232" s="32" t="n">
        <f>1528588</f>
        <v>1528588.0</v>
      </c>
      <c r="V232" s="32" t="n">
        <f>3263957497</f>
        <v>3.263957497E9</v>
      </c>
      <c r="W232" s="32" t="n">
        <f>2457150137</f>
        <v>2.457150137E9</v>
      </c>
      <c r="X232" s="36" t="n">
        <f>18</f>
        <v>18.0</v>
      </c>
    </row>
    <row r="233">
      <c r="A233" s="27" t="s">
        <v>42</v>
      </c>
      <c r="B233" s="27" t="s">
        <v>741</v>
      </c>
      <c r="C233" s="27" t="s">
        <v>742</v>
      </c>
      <c r="D233" s="27" t="s">
        <v>743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357.3</f>
        <v>357.3</v>
      </c>
      <c r="L233" s="34" t="s">
        <v>48</v>
      </c>
      <c r="M233" s="33" t="n">
        <f>449.8</f>
        <v>449.8</v>
      </c>
      <c r="N233" s="34" t="s">
        <v>68</v>
      </c>
      <c r="O233" s="33" t="n">
        <f>353.5</f>
        <v>353.5</v>
      </c>
      <c r="P233" s="34" t="s">
        <v>48</v>
      </c>
      <c r="Q233" s="33" t="n">
        <f>438</f>
        <v>438.0</v>
      </c>
      <c r="R233" s="34" t="s">
        <v>49</v>
      </c>
      <c r="S233" s="35" t="n">
        <f>402.87</f>
        <v>402.87</v>
      </c>
      <c r="T233" s="32" t="n">
        <f>20521820</f>
        <v>2.052182E7</v>
      </c>
      <c r="U233" s="32" t="n">
        <f>940</f>
        <v>940.0</v>
      </c>
      <c r="V233" s="32" t="n">
        <f>8269630298</f>
        <v>8.269630298E9</v>
      </c>
      <c r="W233" s="32" t="n">
        <f>366906</f>
        <v>366906.0</v>
      </c>
      <c r="X233" s="36" t="n">
        <f>18</f>
        <v>18.0</v>
      </c>
    </row>
    <row r="234">
      <c r="A234" s="27" t="s">
        <v>42</v>
      </c>
      <c r="B234" s="27" t="s">
        <v>744</v>
      </c>
      <c r="C234" s="27" t="s">
        <v>745</v>
      </c>
      <c r="D234" s="27" t="s">
        <v>746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1028.5</f>
        <v>1028.5</v>
      </c>
      <c r="L234" s="34" t="s">
        <v>48</v>
      </c>
      <c r="M234" s="33" t="n">
        <f>1273</f>
        <v>1273.0</v>
      </c>
      <c r="N234" s="34" t="s">
        <v>68</v>
      </c>
      <c r="O234" s="33" t="n">
        <f>1002</f>
        <v>1002.0</v>
      </c>
      <c r="P234" s="34" t="s">
        <v>48</v>
      </c>
      <c r="Q234" s="33" t="n">
        <f>1238</f>
        <v>1238.0</v>
      </c>
      <c r="R234" s="34" t="s">
        <v>49</v>
      </c>
      <c r="S234" s="35" t="n">
        <f>1139.97</f>
        <v>1139.97</v>
      </c>
      <c r="T234" s="32" t="n">
        <f>3719050</f>
        <v>3719050.0</v>
      </c>
      <c r="U234" s="32" t="n">
        <f>730</f>
        <v>730.0</v>
      </c>
      <c r="V234" s="32" t="n">
        <f>4281656625</f>
        <v>4.281656625E9</v>
      </c>
      <c r="W234" s="32" t="n">
        <f>883865</f>
        <v>883865.0</v>
      </c>
      <c r="X234" s="36" t="n">
        <f>18</f>
        <v>18.0</v>
      </c>
    </row>
    <row r="235">
      <c r="A235" s="27" t="s">
        <v>42</v>
      </c>
      <c r="B235" s="27" t="s">
        <v>747</v>
      </c>
      <c r="C235" s="27" t="s">
        <v>748</v>
      </c>
      <c r="D235" s="27" t="s">
        <v>749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3399</f>
        <v>3399.0</v>
      </c>
      <c r="L235" s="34" t="s">
        <v>48</v>
      </c>
      <c r="M235" s="33" t="n">
        <f>3536</f>
        <v>3536.0</v>
      </c>
      <c r="N235" s="34" t="s">
        <v>204</v>
      </c>
      <c r="O235" s="33" t="n">
        <f>3376</f>
        <v>3376.0</v>
      </c>
      <c r="P235" s="34" t="s">
        <v>87</v>
      </c>
      <c r="Q235" s="33" t="n">
        <f>3526</f>
        <v>3526.0</v>
      </c>
      <c r="R235" s="34" t="s">
        <v>49</v>
      </c>
      <c r="S235" s="35" t="n">
        <f>3453.11</f>
        <v>3453.11</v>
      </c>
      <c r="T235" s="32" t="n">
        <f>33844</f>
        <v>33844.0</v>
      </c>
      <c r="U235" s="32" t="n">
        <f>175</f>
        <v>175.0</v>
      </c>
      <c r="V235" s="32" t="n">
        <f>116858828</f>
        <v>1.16858828E8</v>
      </c>
      <c r="W235" s="32" t="n">
        <f>605335</f>
        <v>605335.0</v>
      </c>
      <c r="X235" s="36" t="n">
        <f>18</f>
        <v>18.0</v>
      </c>
    </row>
    <row r="236">
      <c r="A236" s="27" t="s">
        <v>42</v>
      </c>
      <c r="B236" s="27" t="s">
        <v>750</v>
      </c>
      <c r="C236" s="27" t="s">
        <v>751</v>
      </c>
      <c r="D236" s="27" t="s">
        <v>752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1395</f>
        <v>1395.0</v>
      </c>
      <c r="L236" s="34" t="s">
        <v>48</v>
      </c>
      <c r="M236" s="33" t="n">
        <f>1406</f>
        <v>1406.0</v>
      </c>
      <c r="N236" s="34" t="s">
        <v>70</v>
      </c>
      <c r="O236" s="33" t="n">
        <f>1362</f>
        <v>1362.0</v>
      </c>
      <c r="P236" s="34" t="s">
        <v>83</v>
      </c>
      <c r="Q236" s="33" t="n">
        <f>1400</f>
        <v>1400.0</v>
      </c>
      <c r="R236" s="34" t="s">
        <v>49</v>
      </c>
      <c r="S236" s="35" t="n">
        <f>1383.83</f>
        <v>1383.83</v>
      </c>
      <c r="T236" s="32" t="n">
        <f>954200</f>
        <v>954200.0</v>
      </c>
      <c r="U236" s="32" t="n">
        <f>434008</f>
        <v>434008.0</v>
      </c>
      <c r="V236" s="32" t="n">
        <f>1320978341</f>
        <v>1.320978341E9</v>
      </c>
      <c r="W236" s="32" t="n">
        <f>603210184</f>
        <v>6.03210184E8</v>
      </c>
      <c r="X236" s="36" t="n">
        <f>18</f>
        <v>18.0</v>
      </c>
    </row>
    <row r="237">
      <c r="A237" s="27" t="s">
        <v>42</v>
      </c>
      <c r="B237" s="27" t="s">
        <v>753</v>
      </c>
      <c r="C237" s="27" t="s">
        <v>754</v>
      </c>
      <c r="D237" s="27" t="s">
        <v>755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111300</f>
        <v>111300.0</v>
      </c>
      <c r="L237" s="34" t="s">
        <v>48</v>
      </c>
      <c r="M237" s="33" t="n">
        <f>122150</f>
        <v>122150.0</v>
      </c>
      <c r="N237" s="34" t="s">
        <v>49</v>
      </c>
      <c r="O237" s="33" t="n">
        <f>111300</f>
        <v>111300.0</v>
      </c>
      <c r="P237" s="34" t="s">
        <v>48</v>
      </c>
      <c r="Q237" s="33" t="n">
        <f>121950</f>
        <v>121950.0</v>
      </c>
      <c r="R237" s="34" t="s">
        <v>49</v>
      </c>
      <c r="S237" s="35" t="n">
        <f>117850</f>
        <v>117850.0</v>
      </c>
      <c r="T237" s="32" t="n">
        <f>13297</f>
        <v>13297.0</v>
      </c>
      <c r="U237" s="32" t="n">
        <f>178</f>
        <v>178.0</v>
      </c>
      <c r="V237" s="32" t="n">
        <f>1562043007</f>
        <v>1.562043007E9</v>
      </c>
      <c r="W237" s="32" t="n">
        <f>21058607</f>
        <v>2.1058607E7</v>
      </c>
      <c r="X237" s="36" t="n">
        <f>18</f>
        <v>18.0</v>
      </c>
    </row>
    <row r="238">
      <c r="A238" s="27" t="s">
        <v>42</v>
      </c>
      <c r="B238" s="27" t="s">
        <v>756</v>
      </c>
      <c r="C238" s="27" t="s">
        <v>757</v>
      </c>
      <c r="D238" s="27" t="s">
        <v>758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5513</f>
        <v>5513.0</v>
      </c>
      <c r="L238" s="34" t="s">
        <v>48</v>
      </c>
      <c r="M238" s="33" t="n">
        <f>5525</f>
        <v>5525.0</v>
      </c>
      <c r="N238" s="34" t="s">
        <v>48</v>
      </c>
      <c r="O238" s="33" t="n">
        <f>5278</f>
        <v>5278.0</v>
      </c>
      <c r="P238" s="34" t="s">
        <v>49</v>
      </c>
      <c r="Q238" s="33" t="n">
        <f>5278</f>
        <v>5278.0</v>
      </c>
      <c r="R238" s="34" t="s">
        <v>49</v>
      </c>
      <c r="S238" s="35" t="n">
        <f>5376.44</f>
        <v>5376.44</v>
      </c>
      <c r="T238" s="32" t="n">
        <f>96839</f>
        <v>96839.0</v>
      </c>
      <c r="U238" s="32" t="n">
        <f>13660</f>
        <v>13660.0</v>
      </c>
      <c r="V238" s="32" t="n">
        <f>521018138</f>
        <v>5.21018138E8</v>
      </c>
      <c r="W238" s="32" t="n">
        <f>73570165</f>
        <v>7.3570165E7</v>
      </c>
      <c r="X238" s="36" t="n">
        <f>18</f>
        <v>18.0</v>
      </c>
    </row>
    <row r="239">
      <c r="A239" s="27" t="s">
        <v>42</v>
      </c>
      <c r="B239" s="27" t="s">
        <v>759</v>
      </c>
      <c r="C239" s="27" t="s">
        <v>760</v>
      </c>
      <c r="D239" s="27" t="s">
        <v>761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24350</f>
        <v>24350.0</v>
      </c>
      <c r="L239" s="34" t="s">
        <v>48</v>
      </c>
      <c r="M239" s="33" t="n">
        <f>26685</f>
        <v>26685.0</v>
      </c>
      <c r="N239" s="34" t="s">
        <v>49</v>
      </c>
      <c r="O239" s="33" t="n">
        <f>24290</f>
        <v>24290.0</v>
      </c>
      <c r="P239" s="34" t="s">
        <v>48</v>
      </c>
      <c r="Q239" s="33" t="n">
        <f>26685</f>
        <v>26685.0</v>
      </c>
      <c r="R239" s="34" t="s">
        <v>49</v>
      </c>
      <c r="S239" s="35" t="n">
        <f>25706.94</f>
        <v>25706.94</v>
      </c>
      <c r="T239" s="32" t="n">
        <f>20657</f>
        <v>20657.0</v>
      </c>
      <c r="U239" s="32" t="n">
        <f>567</f>
        <v>567.0</v>
      </c>
      <c r="V239" s="32" t="n">
        <f>529782416</f>
        <v>5.29782416E8</v>
      </c>
      <c r="W239" s="32" t="n">
        <f>14429536</f>
        <v>1.4429536E7</v>
      </c>
      <c r="X239" s="36" t="n">
        <f>18</f>
        <v>18.0</v>
      </c>
    </row>
    <row r="240">
      <c r="A240" s="27" t="s">
        <v>42</v>
      </c>
      <c r="B240" s="27" t="s">
        <v>762</v>
      </c>
      <c r="C240" s="27" t="s">
        <v>763</v>
      </c>
      <c r="D240" s="27" t="s">
        <v>764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1580</f>
        <v>1580.0</v>
      </c>
      <c r="L240" s="34" t="s">
        <v>48</v>
      </c>
      <c r="M240" s="33" t="n">
        <f>1912</f>
        <v>1912.0</v>
      </c>
      <c r="N240" s="34" t="s">
        <v>49</v>
      </c>
      <c r="O240" s="33" t="n">
        <f>1572</f>
        <v>1572.0</v>
      </c>
      <c r="P240" s="34" t="s">
        <v>48</v>
      </c>
      <c r="Q240" s="33" t="n">
        <f>1912</f>
        <v>1912.0</v>
      </c>
      <c r="R240" s="34" t="s">
        <v>49</v>
      </c>
      <c r="S240" s="35" t="n">
        <f>1761.11</f>
        <v>1761.11</v>
      </c>
      <c r="T240" s="32" t="n">
        <f>1391712</f>
        <v>1391712.0</v>
      </c>
      <c r="U240" s="32" t="n">
        <f>29</f>
        <v>29.0</v>
      </c>
      <c r="V240" s="32" t="n">
        <f>2437589311</f>
        <v>2.437589311E9</v>
      </c>
      <c r="W240" s="32" t="n">
        <f>53785</f>
        <v>53785.0</v>
      </c>
      <c r="X240" s="36" t="n">
        <f>18</f>
        <v>18.0</v>
      </c>
    </row>
    <row r="241">
      <c r="A241" s="27" t="s">
        <v>42</v>
      </c>
      <c r="B241" s="27" t="s">
        <v>765</v>
      </c>
      <c r="C241" s="27" t="s">
        <v>766</v>
      </c>
      <c r="D241" s="27" t="s">
        <v>767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5637</f>
        <v>5637.0</v>
      </c>
      <c r="L241" s="34" t="s">
        <v>48</v>
      </c>
      <c r="M241" s="33" t="n">
        <f>5637</f>
        <v>5637.0</v>
      </c>
      <c r="N241" s="34" t="s">
        <v>48</v>
      </c>
      <c r="O241" s="33" t="n">
        <f>5349</f>
        <v>5349.0</v>
      </c>
      <c r="P241" s="34" t="s">
        <v>49</v>
      </c>
      <c r="Q241" s="33" t="n">
        <f>5350</f>
        <v>5350.0</v>
      </c>
      <c r="R241" s="34" t="s">
        <v>49</v>
      </c>
      <c r="S241" s="35" t="n">
        <f>5459.18</f>
        <v>5459.18</v>
      </c>
      <c r="T241" s="32" t="n">
        <f>5562</f>
        <v>5562.0</v>
      </c>
      <c r="U241" s="32" t="n">
        <f>9</f>
        <v>9.0</v>
      </c>
      <c r="V241" s="32" t="n">
        <f>30480917</f>
        <v>3.0480917E7</v>
      </c>
      <c r="W241" s="32" t="n">
        <f>48825</f>
        <v>48825.0</v>
      </c>
      <c r="X241" s="36" t="n">
        <f>17</f>
        <v>17.0</v>
      </c>
    </row>
    <row r="242">
      <c r="A242" s="27" t="s">
        <v>42</v>
      </c>
      <c r="B242" s="27" t="s">
        <v>768</v>
      </c>
      <c r="C242" s="27" t="s">
        <v>769</v>
      </c>
      <c r="D242" s="27" t="s">
        <v>770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875.1</f>
        <v>875.1</v>
      </c>
      <c r="L242" s="34" t="s">
        <v>48</v>
      </c>
      <c r="M242" s="33" t="n">
        <f>910.9</f>
        <v>910.9</v>
      </c>
      <c r="N242" s="34" t="s">
        <v>204</v>
      </c>
      <c r="O242" s="33" t="n">
        <f>862.8</f>
        <v>862.8</v>
      </c>
      <c r="P242" s="34" t="s">
        <v>203</v>
      </c>
      <c r="Q242" s="33" t="n">
        <f>896</f>
        <v>896.0</v>
      </c>
      <c r="R242" s="34" t="s">
        <v>49</v>
      </c>
      <c r="S242" s="35" t="n">
        <f>880.86</f>
        <v>880.86</v>
      </c>
      <c r="T242" s="32" t="n">
        <f>914780</f>
        <v>914780.0</v>
      </c>
      <c r="U242" s="32" t="n">
        <f>574670</f>
        <v>574670.0</v>
      </c>
      <c r="V242" s="32" t="n">
        <f>808437849</f>
        <v>8.08437849E8</v>
      </c>
      <c r="W242" s="32" t="n">
        <f>507121728</f>
        <v>5.07121728E8</v>
      </c>
      <c r="X242" s="36" t="n">
        <f>18</f>
        <v>18.0</v>
      </c>
    </row>
    <row r="243">
      <c r="A243" s="27" t="s">
        <v>42</v>
      </c>
      <c r="B243" s="27" t="s">
        <v>771</v>
      </c>
      <c r="C243" s="27" t="s">
        <v>772</v>
      </c>
      <c r="D243" s="27" t="s">
        <v>773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649</f>
        <v>649.0</v>
      </c>
      <c r="L243" s="34" t="s">
        <v>48</v>
      </c>
      <c r="M243" s="33" t="n">
        <f>658.9</f>
        <v>658.9</v>
      </c>
      <c r="N243" s="34" t="s">
        <v>70</v>
      </c>
      <c r="O243" s="33" t="n">
        <f>635.3</f>
        <v>635.3</v>
      </c>
      <c r="P243" s="34" t="s">
        <v>83</v>
      </c>
      <c r="Q243" s="33" t="n">
        <f>653</f>
        <v>653.0</v>
      </c>
      <c r="R243" s="34" t="s">
        <v>49</v>
      </c>
      <c r="S243" s="35" t="n">
        <f>646.95</f>
        <v>646.95</v>
      </c>
      <c r="T243" s="32" t="n">
        <f>18684000</f>
        <v>1.8684E7</v>
      </c>
      <c r="U243" s="32" t="n">
        <f>18304350</f>
        <v>1.830435E7</v>
      </c>
      <c r="V243" s="32" t="n">
        <f>12064424462</f>
        <v>1.2064424462E10</v>
      </c>
      <c r="W243" s="32" t="n">
        <f>11818097277</f>
        <v>1.1818097277E10</v>
      </c>
      <c r="X243" s="36" t="n">
        <f>18</f>
        <v>18.0</v>
      </c>
    </row>
    <row r="244">
      <c r="A244" s="27" t="s">
        <v>42</v>
      </c>
      <c r="B244" s="27" t="s">
        <v>774</v>
      </c>
      <c r="C244" s="27" t="s">
        <v>775</v>
      </c>
      <c r="D244" s="27" t="s">
        <v>776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3898</f>
        <v>3898.0</v>
      </c>
      <c r="L244" s="34" t="s">
        <v>48</v>
      </c>
      <c r="M244" s="33" t="n">
        <f>4926</f>
        <v>4926.0</v>
      </c>
      <c r="N244" s="34" t="s">
        <v>68</v>
      </c>
      <c r="O244" s="33" t="n">
        <f>3889</f>
        <v>3889.0</v>
      </c>
      <c r="P244" s="34" t="s">
        <v>48</v>
      </c>
      <c r="Q244" s="33" t="n">
        <f>4878</f>
        <v>4878.0</v>
      </c>
      <c r="R244" s="34" t="s">
        <v>49</v>
      </c>
      <c r="S244" s="35" t="n">
        <f>4470.11</f>
        <v>4470.11</v>
      </c>
      <c r="T244" s="32" t="n">
        <f>9776680</f>
        <v>9776680.0</v>
      </c>
      <c r="U244" s="32" t="n">
        <f>425748</f>
        <v>425748.0</v>
      </c>
      <c r="V244" s="32" t="n">
        <f>43883129354</f>
        <v>4.3883129354E10</v>
      </c>
      <c r="W244" s="32" t="n">
        <f>1898371351</f>
        <v>1.898371351E9</v>
      </c>
      <c r="X244" s="36" t="n">
        <f>18</f>
        <v>18.0</v>
      </c>
    </row>
    <row r="245">
      <c r="A245" s="27" t="s">
        <v>42</v>
      </c>
      <c r="B245" s="27" t="s">
        <v>777</v>
      </c>
      <c r="C245" s="27" t="s">
        <v>778</v>
      </c>
      <c r="D245" s="27" t="s">
        <v>779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3271</f>
        <v>3271.0</v>
      </c>
      <c r="L245" s="34" t="s">
        <v>48</v>
      </c>
      <c r="M245" s="33" t="n">
        <f>3639</f>
        <v>3639.0</v>
      </c>
      <c r="N245" s="34" t="s">
        <v>49</v>
      </c>
      <c r="O245" s="33" t="n">
        <f>3250</f>
        <v>3250.0</v>
      </c>
      <c r="P245" s="34" t="s">
        <v>48</v>
      </c>
      <c r="Q245" s="33" t="n">
        <f>3638</f>
        <v>3638.0</v>
      </c>
      <c r="R245" s="34" t="s">
        <v>49</v>
      </c>
      <c r="S245" s="35" t="n">
        <f>3487.67</f>
        <v>3487.67</v>
      </c>
      <c r="T245" s="32" t="n">
        <f>3397021</f>
        <v>3397021.0</v>
      </c>
      <c r="U245" s="32" t="n">
        <f>816</f>
        <v>816.0</v>
      </c>
      <c r="V245" s="32" t="n">
        <f>11838127814</f>
        <v>1.1838127814E10</v>
      </c>
      <c r="W245" s="32" t="n">
        <f>2812645</f>
        <v>2812645.0</v>
      </c>
      <c r="X245" s="36" t="n">
        <f>18</f>
        <v>18.0</v>
      </c>
    </row>
    <row r="246">
      <c r="A246" s="27" t="s">
        <v>42</v>
      </c>
      <c r="B246" s="27" t="s">
        <v>780</v>
      </c>
      <c r="C246" s="27" t="s">
        <v>781</v>
      </c>
      <c r="D246" s="27" t="s">
        <v>782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710.8</f>
        <v>710.8</v>
      </c>
      <c r="L246" s="34" t="s">
        <v>48</v>
      </c>
      <c r="M246" s="33" t="n">
        <f>723.2</f>
        <v>723.2</v>
      </c>
      <c r="N246" s="34" t="s">
        <v>205</v>
      </c>
      <c r="O246" s="33" t="n">
        <f>703.9</f>
        <v>703.9</v>
      </c>
      <c r="P246" s="34" t="s">
        <v>83</v>
      </c>
      <c r="Q246" s="33" t="n">
        <f>716.4</f>
        <v>716.4</v>
      </c>
      <c r="R246" s="34" t="s">
        <v>49</v>
      </c>
      <c r="S246" s="35" t="n">
        <f>713.91</f>
        <v>713.91</v>
      </c>
      <c r="T246" s="32" t="n">
        <f>7190</f>
        <v>7190.0</v>
      </c>
      <c r="U246" s="32" t="str">
        <f>"－"</f>
        <v>－</v>
      </c>
      <c r="V246" s="32" t="n">
        <f>5117198</f>
        <v>5117198.0</v>
      </c>
      <c r="W246" s="32" t="str">
        <f>"－"</f>
        <v>－</v>
      </c>
      <c r="X246" s="36" t="n">
        <f>15</f>
        <v>15.0</v>
      </c>
    </row>
    <row r="247">
      <c r="A247" s="27" t="s">
        <v>42</v>
      </c>
      <c r="B247" s="27" t="s">
        <v>783</v>
      </c>
      <c r="C247" s="27" t="s">
        <v>784</v>
      </c>
      <c r="D247" s="27" t="s">
        <v>785</v>
      </c>
      <c r="E247" s="28" t="s">
        <v>46</v>
      </c>
      <c r="F247" s="29" t="s">
        <v>46</v>
      </c>
      <c r="G247" s="30" t="s">
        <v>46</v>
      </c>
      <c r="H247" s="31" t="s">
        <v>786</v>
      </c>
      <c r="I247" s="31"/>
      <c r="J247" s="32" t="n">
        <v>10.0</v>
      </c>
      <c r="K247" s="33" t="n">
        <f>665.3</f>
        <v>665.3</v>
      </c>
      <c r="L247" s="34" t="s">
        <v>67</v>
      </c>
      <c r="M247" s="33" t="n">
        <f>722.8</f>
        <v>722.8</v>
      </c>
      <c r="N247" s="34" t="s">
        <v>49</v>
      </c>
      <c r="O247" s="33" t="n">
        <f>665.3</f>
        <v>665.3</v>
      </c>
      <c r="P247" s="34" t="s">
        <v>67</v>
      </c>
      <c r="Q247" s="33" t="n">
        <f>722.8</f>
        <v>722.8</v>
      </c>
      <c r="R247" s="34" t="s">
        <v>49</v>
      </c>
      <c r="S247" s="35" t="n">
        <f>717.36</f>
        <v>717.36</v>
      </c>
      <c r="T247" s="32" t="n">
        <f>2140</f>
        <v>2140.0</v>
      </c>
      <c r="U247" s="32" t="n">
        <f>40</f>
        <v>40.0</v>
      </c>
      <c r="V247" s="32" t="n">
        <f>1536962</f>
        <v>1536962.0</v>
      </c>
      <c r="W247" s="32" t="n">
        <f>28867</f>
        <v>28867.0</v>
      </c>
      <c r="X247" s="36" t="n">
        <f>9</f>
        <v>9.0</v>
      </c>
    </row>
    <row r="248">
      <c r="A248" s="27" t="s">
        <v>42</v>
      </c>
      <c r="B248" s="27" t="s">
        <v>787</v>
      </c>
      <c r="C248" s="27" t="s">
        <v>788</v>
      </c>
      <c r="D248" s="27" t="s">
        <v>789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2131</f>
        <v>2131.0</v>
      </c>
      <c r="L248" s="34" t="s">
        <v>48</v>
      </c>
      <c r="M248" s="33" t="n">
        <f>2287</f>
        <v>2287.0</v>
      </c>
      <c r="N248" s="34" t="s">
        <v>204</v>
      </c>
      <c r="O248" s="33" t="n">
        <f>2131</f>
        <v>2131.0</v>
      </c>
      <c r="P248" s="34" t="s">
        <v>48</v>
      </c>
      <c r="Q248" s="33" t="n">
        <f>2268</f>
        <v>2268.0</v>
      </c>
      <c r="R248" s="34" t="s">
        <v>49</v>
      </c>
      <c r="S248" s="35" t="n">
        <f>2211.06</f>
        <v>2211.06</v>
      </c>
      <c r="T248" s="32" t="n">
        <f>1103469</f>
        <v>1103469.0</v>
      </c>
      <c r="U248" s="32" t="n">
        <f>610930</f>
        <v>610930.0</v>
      </c>
      <c r="V248" s="32" t="n">
        <f>2405786896</f>
        <v>2.405786896E9</v>
      </c>
      <c r="W248" s="32" t="n">
        <f>1317790294</f>
        <v>1.317790294E9</v>
      </c>
      <c r="X248" s="36" t="n">
        <f>18</f>
        <v>18.0</v>
      </c>
    </row>
    <row r="249">
      <c r="A249" s="27" t="s">
        <v>42</v>
      </c>
      <c r="B249" s="27" t="s">
        <v>790</v>
      </c>
      <c r="C249" s="27" t="s">
        <v>791</v>
      </c>
      <c r="D249" s="27" t="s">
        <v>792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2610</f>
        <v>2610.0</v>
      </c>
      <c r="L249" s="34" t="s">
        <v>48</v>
      </c>
      <c r="M249" s="33" t="n">
        <f>2744</f>
        <v>2744.0</v>
      </c>
      <c r="N249" s="34" t="s">
        <v>49</v>
      </c>
      <c r="O249" s="33" t="n">
        <f>2610</f>
        <v>2610.0</v>
      </c>
      <c r="P249" s="34" t="s">
        <v>48</v>
      </c>
      <c r="Q249" s="33" t="n">
        <f>2739</f>
        <v>2739.0</v>
      </c>
      <c r="R249" s="34" t="s">
        <v>49</v>
      </c>
      <c r="S249" s="35" t="n">
        <f>2687.33</f>
        <v>2687.33</v>
      </c>
      <c r="T249" s="32" t="n">
        <f>5688637</f>
        <v>5688637.0</v>
      </c>
      <c r="U249" s="32" t="n">
        <f>5447942</f>
        <v>5447942.0</v>
      </c>
      <c r="V249" s="32" t="n">
        <f>15139628912</f>
        <v>1.5139628912E10</v>
      </c>
      <c r="W249" s="32" t="n">
        <f>14489613884</f>
        <v>1.4489613884E10</v>
      </c>
      <c r="X249" s="36" t="n">
        <f>18</f>
        <v>18.0</v>
      </c>
    </row>
    <row r="250">
      <c r="A250" s="27" t="s">
        <v>42</v>
      </c>
      <c r="B250" s="27" t="s">
        <v>793</v>
      </c>
      <c r="C250" s="27" t="s">
        <v>794</v>
      </c>
      <c r="D250" s="27" t="s">
        <v>795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10600</f>
        <v>10600.0</v>
      </c>
      <c r="L250" s="34" t="s">
        <v>48</v>
      </c>
      <c r="M250" s="33" t="n">
        <f>10600</f>
        <v>10600.0</v>
      </c>
      <c r="N250" s="34" t="s">
        <v>48</v>
      </c>
      <c r="O250" s="33" t="n">
        <f>9616</f>
        <v>9616.0</v>
      </c>
      <c r="P250" s="34" t="s">
        <v>49</v>
      </c>
      <c r="Q250" s="33" t="n">
        <f>9624</f>
        <v>9624.0</v>
      </c>
      <c r="R250" s="34" t="s">
        <v>49</v>
      </c>
      <c r="S250" s="35" t="n">
        <f>9993.83</f>
        <v>9993.83</v>
      </c>
      <c r="T250" s="32" t="n">
        <f>118889</f>
        <v>118889.0</v>
      </c>
      <c r="U250" s="32" t="n">
        <f>269</f>
        <v>269.0</v>
      </c>
      <c r="V250" s="32" t="n">
        <f>1192258500</f>
        <v>1.1922585E9</v>
      </c>
      <c r="W250" s="32" t="n">
        <f>2729491</f>
        <v>2729491.0</v>
      </c>
      <c r="X250" s="36" t="n">
        <f>18</f>
        <v>18.0</v>
      </c>
    </row>
    <row r="251">
      <c r="A251" s="27" t="s">
        <v>42</v>
      </c>
      <c r="B251" s="27" t="s">
        <v>796</v>
      </c>
      <c r="C251" s="27" t="s">
        <v>797</v>
      </c>
      <c r="D251" s="27" t="s">
        <v>798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2020</f>
        <v>2020.0</v>
      </c>
      <c r="L251" s="34" t="s">
        <v>48</v>
      </c>
      <c r="M251" s="33" t="n">
        <f>2090</f>
        <v>2090.0</v>
      </c>
      <c r="N251" s="34" t="s">
        <v>67</v>
      </c>
      <c r="O251" s="33" t="n">
        <f>1696</f>
        <v>1696.0</v>
      </c>
      <c r="P251" s="34" t="s">
        <v>69</v>
      </c>
      <c r="Q251" s="33" t="n">
        <f>1844</f>
        <v>1844.0</v>
      </c>
      <c r="R251" s="34" t="s">
        <v>49</v>
      </c>
      <c r="S251" s="35" t="n">
        <f>1879.61</f>
        <v>1879.61</v>
      </c>
      <c r="T251" s="32" t="n">
        <f>725116</f>
        <v>725116.0</v>
      </c>
      <c r="U251" s="32" t="n">
        <f>37</f>
        <v>37.0</v>
      </c>
      <c r="V251" s="32" t="n">
        <f>1381292488</f>
        <v>1.381292488E9</v>
      </c>
      <c r="W251" s="32" t="n">
        <f>65660</f>
        <v>65660.0</v>
      </c>
      <c r="X251" s="36" t="n">
        <f>18</f>
        <v>18.0</v>
      </c>
    </row>
    <row r="252">
      <c r="A252" s="27" t="s">
        <v>42</v>
      </c>
      <c r="B252" s="27" t="s">
        <v>799</v>
      </c>
      <c r="C252" s="27" t="s">
        <v>800</v>
      </c>
      <c r="D252" s="27" t="s">
        <v>801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336.4</f>
        <v>336.4</v>
      </c>
      <c r="L252" s="34" t="s">
        <v>48</v>
      </c>
      <c r="M252" s="33" t="n">
        <f>361.9</f>
        <v>361.9</v>
      </c>
      <c r="N252" s="34" t="s">
        <v>49</v>
      </c>
      <c r="O252" s="33" t="n">
        <f>334.1</f>
        <v>334.1</v>
      </c>
      <c r="P252" s="34" t="s">
        <v>48</v>
      </c>
      <c r="Q252" s="33" t="n">
        <f>361.9</f>
        <v>361.9</v>
      </c>
      <c r="R252" s="34" t="s">
        <v>49</v>
      </c>
      <c r="S252" s="35" t="n">
        <f>349.58</f>
        <v>349.58</v>
      </c>
      <c r="T252" s="32" t="n">
        <f>23240</f>
        <v>23240.0</v>
      </c>
      <c r="U252" s="32" t="n">
        <f>10</f>
        <v>10.0</v>
      </c>
      <c r="V252" s="32" t="n">
        <f>8089499</f>
        <v>8089499.0</v>
      </c>
      <c r="W252" s="32" t="n">
        <f>3487</f>
        <v>3487.0</v>
      </c>
      <c r="X252" s="36" t="n">
        <f>18</f>
        <v>18.0</v>
      </c>
    </row>
    <row r="253">
      <c r="A253" s="27" t="s">
        <v>42</v>
      </c>
      <c r="B253" s="27" t="s">
        <v>802</v>
      </c>
      <c r="C253" s="27" t="s">
        <v>803</v>
      </c>
      <c r="D253" s="27" t="s">
        <v>804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875.3</f>
        <v>875.3</v>
      </c>
      <c r="L253" s="34" t="s">
        <v>48</v>
      </c>
      <c r="M253" s="33" t="n">
        <f>910</f>
        <v>910.0</v>
      </c>
      <c r="N253" s="34" t="s">
        <v>69</v>
      </c>
      <c r="O253" s="33" t="n">
        <f>872</f>
        <v>872.0</v>
      </c>
      <c r="P253" s="34" t="s">
        <v>203</v>
      </c>
      <c r="Q253" s="33" t="n">
        <f>887.4</f>
        <v>887.4</v>
      </c>
      <c r="R253" s="34" t="s">
        <v>49</v>
      </c>
      <c r="S253" s="35" t="n">
        <f>889.61</f>
        <v>889.61</v>
      </c>
      <c r="T253" s="32" t="n">
        <f>1343900</f>
        <v>1343900.0</v>
      </c>
      <c r="U253" s="32" t="n">
        <f>1650</f>
        <v>1650.0</v>
      </c>
      <c r="V253" s="32" t="n">
        <f>1199419326</f>
        <v>1.199419326E9</v>
      </c>
      <c r="W253" s="32" t="n">
        <f>1469640</f>
        <v>1469640.0</v>
      </c>
      <c r="X253" s="36" t="n">
        <f>18</f>
        <v>18.0</v>
      </c>
    </row>
    <row r="254">
      <c r="A254" s="27" t="s">
        <v>42</v>
      </c>
      <c r="B254" s="27" t="s">
        <v>805</v>
      </c>
      <c r="C254" s="27" t="s">
        <v>806</v>
      </c>
      <c r="D254" s="27" t="s">
        <v>807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1343</f>
        <v>1343.0</v>
      </c>
      <c r="L254" s="34" t="s">
        <v>48</v>
      </c>
      <c r="M254" s="33" t="n">
        <f>1400</f>
        <v>1400.0</v>
      </c>
      <c r="N254" s="34" t="s">
        <v>68</v>
      </c>
      <c r="O254" s="33" t="n">
        <f>1337</f>
        <v>1337.0</v>
      </c>
      <c r="P254" s="34" t="s">
        <v>69</v>
      </c>
      <c r="Q254" s="33" t="n">
        <f>1396</f>
        <v>1396.0</v>
      </c>
      <c r="R254" s="34" t="s">
        <v>49</v>
      </c>
      <c r="S254" s="35" t="n">
        <f>1364.17</f>
        <v>1364.17</v>
      </c>
      <c r="T254" s="32" t="n">
        <f>57858</f>
        <v>57858.0</v>
      </c>
      <c r="U254" s="32" t="n">
        <f>1</f>
        <v>1.0</v>
      </c>
      <c r="V254" s="32" t="n">
        <f>78615621</f>
        <v>7.8615621E7</v>
      </c>
      <c r="W254" s="32" t="n">
        <f>1361</f>
        <v>1361.0</v>
      </c>
      <c r="X254" s="36" t="n">
        <f>18</f>
        <v>18.0</v>
      </c>
    </row>
    <row r="255">
      <c r="A255" s="27" t="s">
        <v>42</v>
      </c>
      <c r="B255" s="27" t="s">
        <v>808</v>
      </c>
      <c r="C255" s="27" t="s">
        <v>809</v>
      </c>
      <c r="D255" s="27" t="s">
        <v>810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1330</f>
        <v>1330.0</v>
      </c>
      <c r="L255" s="34" t="s">
        <v>48</v>
      </c>
      <c r="M255" s="33" t="n">
        <f>1338</f>
        <v>1338.0</v>
      </c>
      <c r="N255" s="34" t="s">
        <v>68</v>
      </c>
      <c r="O255" s="33" t="n">
        <f>1299</f>
        <v>1299.0</v>
      </c>
      <c r="P255" s="34" t="s">
        <v>67</v>
      </c>
      <c r="Q255" s="33" t="n">
        <f>1314</f>
        <v>1314.0</v>
      </c>
      <c r="R255" s="34" t="s">
        <v>49</v>
      </c>
      <c r="S255" s="35" t="n">
        <f>1317.83</f>
        <v>1317.83</v>
      </c>
      <c r="T255" s="32" t="n">
        <f>131451</f>
        <v>131451.0</v>
      </c>
      <c r="U255" s="32" t="n">
        <f>10</f>
        <v>10.0</v>
      </c>
      <c r="V255" s="32" t="n">
        <f>173449034</f>
        <v>1.73449034E8</v>
      </c>
      <c r="W255" s="32" t="n">
        <f>13080</f>
        <v>13080.0</v>
      </c>
      <c r="X255" s="36" t="n">
        <f>18</f>
        <v>18.0</v>
      </c>
    </row>
    <row r="256">
      <c r="A256" s="27" t="s">
        <v>42</v>
      </c>
      <c r="B256" s="27" t="s">
        <v>811</v>
      </c>
      <c r="C256" s="27" t="s">
        <v>812</v>
      </c>
      <c r="D256" s="27" t="s">
        <v>813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1368</f>
        <v>1368.0</v>
      </c>
      <c r="L256" s="34" t="s">
        <v>48</v>
      </c>
      <c r="M256" s="33" t="n">
        <f>1410</f>
        <v>1410.0</v>
      </c>
      <c r="N256" s="34" t="s">
        <v>67</v>
      </c>
      <c r="O256" s="33" t="n">
        <f>1277</f>
        <v>1277.0</v>
      </c>
      <c r="P256" s="34" t="s">
        <v>70</v>
      </c>
      <c r="Q256" s="33" t="n">
        <f>1294</f>
        <v>1294.0</v>
      </c>
      <c r="R256" s="34" t="s">
        <v>49</v>
      </c>
      <c r="S256" s="35" t="n">
        <f>1329.72</f>
        <v>1329.72</v>
      </c>
      <c r="T256" s="32" t="n">
        <f>523826</f>
        <v>523826.0</v>
      </c>
      <c r="U256" s="32" t="str">
        <f>"－"</f>
        <v>－</v>
      </c>
      <c r="V256" s="32" t="n">
        <f>707801461</f>
        <v>7.07801461E8</v>
      </c>
      <c r="W256" s="32" t="str">
        <f>"－"</f>
        <v>－</v>
      </c>
      <c r="X256" s="36" t="n">
        <f>18</f>
        <v>18.0</v>
      </c>
    </row>
    <row r="257">
      <c r="A257" s="27" t="s">
        <v>42</v>
      </c>
      <c r="B257" s="27" t="s">
        <v>814</v>
      </c>
      <c r="C257" s="27" t="s">
        <v>815</v>
      </c>
      <c r="D257" s="27" t="s">
        <v>816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208.7</f>
        <v>208.7</v>
      </c>
      <c r="L257" s="34" t="s">
        <v>48</v>
      </c>
      <c r="M257" s="33" t="n">
        <f>209.5</f>
        <v>209.5</v>
      </c>
      <c r="N257" s="34" t="s">
        <v>49</v>
      </c>
      <c r="O257" s="33" t="n">
        <f>201.1</f>
        <v>201.1</v>
      </c>
      <c r="P257" s="34" t="s">
        <v>69</v>
      </c>
      <c r="Q257" s="33" t="n">
        <f>209</f>
        <v>209.0</v>
      </c>
      <c r="R257" s="34" t="s">
        <v>49</v>
      </c>
      <c r="S257" s="35" t="n">
        <f>205.34</f>
        <v>205.34</v>
      </c>
      <c r="T257" s="32" t="n">
        <f>6117340</f>
        <v>6117340.0</v>
      </c>
      <c r="U257" s="32" t="n">
        <f>1582630</f>
        <v>1582630.0</v>
      </c>
      <c r="V257" s="32" t="n">
        <f>1255724074</f>
        <v>1.255724074E9</v>
      </c>
      <c r="W257" s="32" t="n">
        <f>325747823</f>
        <v>3.25747823E8</v>
      </c>
      <c r="X257" s="36" t="n">
        <f>18</f>
        <v>18.0</v>
      </c>
    </row>
    <row r="258">
      <c r="A258" s="27" t="s">
        <v>42</v>
      </c>
      <c r="B258" s="27" t="s">
        <v>817</v>
      </c>
      <c r="C258" s="27" t="s">
        <v>818</v>
      </c>
      <c r="D258" s="27" t="s">
        <v>819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228.4</f>
        <v>228.4</v>
      </c>
      <c r="L258" s="34" t="s">
        <v>48</v>
      </c>
      <c r="M258" s="33" t="n">
        <f>240</f>
        <v>240.0</v>
      </c>
      <c r="N258" s="34" t="s">
        <v>49</v>
      </c>
      <c r="O258" s="33" t="n">
        <f>220.5</f>
        <v>220.5</v>
      </c>
      <c r="P258" s="34" t="s">
        <v>67</v>
      </c>
      <c r="Q258" s="33" t="n">
        <f>224.9</f>
        <v>224.9</v>
      </c>
      <c r="R258" s="34" t="s">
        <v>49</v>
      </c>
      <c r="S258" s="35" t="n">
        <f>222.32</f>
        <v>222.32</v>
      </c>
      <c r="T258" s="32" t="n">
        <f>3333760</f>
        <v>3333760.0</v>
      </c>
      <c r="U258" s="32" t="n">
        <f>30250</f>
        <v>30250.0</v>
      </c>
      <c r="V258" s="32" t="n">
        <f>742321490</f>
        <v>7.4232149E8</v>
      </c>
      <c r="W258" s="32" t="n">
        <f>6716090</f>
        <v>6716090.0</v>
      </c>
      <c r="X258" s="36" t="n">
        <f>18</f>
        <v>18.0</v>
      </c>
    </row>
    <row r="259">
      <c r="A259" s="27" t="s">
        <v>42</v>
      </c>
      <c r="B259" s="27" t="s">
        <v>820</v>
      </c>
      <c r="C259" s="27" t="s">
        <v>821</v>
      </c>
      <c r="D259" s="27" t="s">
        <v>822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227.5</f>
        <v>227.5</v>
      </c>
      <c r="L259" s="34" t="s">
        <v>48</v>
      </c>
      <c r="M259" s="33" t="n">
        <f>227.5</f>
        <v>227.5</v>
      </c>
      <c r="N259" s="34" t="s">
        <v>48</v>
      </c>
      <c r="O259" s="33" t="n">
        <f>222.2</f>
        <v>222.2</v>
      </c>
      <c r="P259" s="34" t="s">
        <v>67</v>
      </c>
      <c r="Q259" s="33" t="n">
        <f>227</f>
        <v>227.0</v>
      </c>
      <c r="R259" s="34" t="s">
        <v>49</v>
      </c>
      <c r="S259" s="35" t="n">
        <f>224.23</f>
        <v>224.23</v>
      </c>
      <c r="T259" s="32" t="n">
        <f>1481940</f>
        <v>1481940.0</v>
      </c>
      <c r="U259" s="32" t="n">
        <f>14060</f>
        <v>14060.0</v>
      </c>
      <c r="V259" s="32" t="n">
        <f>331870262</f>
        <v>3.31870262E8</v>
      </c>
      <c r="W259" s="32" t="n">
        <f>3136767</f>
        <v>3136767.0</v>
      </c>
      <c r="X259" s="36" t="n">
        <f>18</f>
        <v>18.0</v>
      </c>
    </row>
    <row r="260">
      <c r="A260" s="27" t="s">
        <v>42</v>
      </c>
      <c r="B260" s="27" t="s">
        <v>823</v>
      </c>
      <c r="C260" s="27" t="s">
        <v>824</v>
      </c>
      <c r="D260" s="27" t="s">
        <v>825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228</f>
        <v>228.0</v>
      </c>
      <c r="L260" s="34" t="s">
        <v>48</v>
      </c>
      <c r="M260" s="33" t="n">
        <f>228.9</f>
        <v>228.9</v>
      </c>
      <c r="N260" s="34" t="s">
        <v>204</v>
      </c>
      <c r="O260" s="33" t="n">
        <f>223.5</f>
        <v>223.5</v>
      </c>
      <c r="P260" s="34" t="s">
        <v>67</v>
      </c>
      <c r="Q260" s="33" t="n">
        <f>228.2</f>
        <v>228.2</v>
      </c>
      <c r="R260" s="34" t="s">
        <v>49</v>
      </c>
      <c r="S260" s="35" t="n">
        <f>225.97</f>
        <v>225.97</v>
      </c>
      <c r="T260" s="32" t="n">
        <f>1266550</f>
        <v>1266550.0</v>
      </c>
      <c r="U260" s="32" t="n">
        <f>23480</f>
        <v>23480.0</v>
      </c>
      <c r="V260" s="32" t="n">
        <f>285481128</f>
        <v>2.85481128E8</v>
      </c>
      <c r="W260" s="32" t="n">
        <f>5301777</f>
        <v>5301777.0</v>
      </c>
      <c r="X260" s="36" t="n">
        <f>18</f>
        <v>18.0</v>
      </c>
    </row>
    <row r="261">
      <c r="A261" s="27" t="s">
        <v>42</v>
      </c>
      <c r="B261" s="27" t="s">
        <v>826</v>
      </c>
      <c r="C261" s="27" t="s">
        <v>827</v>
      </c>
      <c r="D261" s="27" t="s">
        <v>828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10.0</v>
      </c>
      <c r="K261" s="33" t="n">
        <f>183.9</f>
        <v>183.9</v>
      </c>
      <c r="L261" s="34" t="s">
        <v>48</v>
      </c>
      <c r="M261" s="33" t="n">
        <f>187.2</f>
        <v>187.2</v>
      </c>
      <c r="N261" s="34" t="s">
        <v>68</v>
      </c>
      <c r="O261" s="33" t="n">
        <f>183</f>
        <v>183.0</v>
      </c>
      <c r="P261" s="34" t="s">
        <v>83</v>
      </c>
      <c r="Q261" s="33" t="n">
        <f>187.1</f>
        <v>187.1</v>
      </c>
      <c r="R261" s="34" t="s">
        <v>49</v>
      </c>
      <c r="S261" s="35" t="n">
        <f>185.45</f>
        <v>185.45</v>
      </c>
      <c r="T261" s="32" t="n">
        <f>11313820</f>
        <v>1.131382E7</v>
      </c>
      <c r="U261" s="32" t="n">
        <f>7888950</f>
        <v>7888950.0</v>
      </c>
      <c r="V261" s="32" t="n">
        <f>2099418566</f>
        <v>2.099418566E9</v>
      </c>
      <c r="W261" s="32" t="n">
        <f>1462412626</f>
        <v>1.462412626E9</v>
      </c>
      <c r="X261" s="36" t="n">
        <f>18</f>
        <v>18.0</v>
      </c>
    </row>
    <row r="262">
      <c r="A262" s="27" t="s">
        <v>42</v>
      </c>
      <c r="B262" s="27" t="s">
        <v>829</v>
      </c>
      <c r="C262" s="27" t="s">
        <v>830</v>
      </c>
      <c r="D262" s="27" t="s">
        <v>831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1850</f>
        <v>1850.0</v>
      </c>
      <c r="L262" s="34" t="s">
        <v>48</v>
      </c>
      <c r="M262" s="33" t="n">
        <f>1884</f>
        <v>1884.0</v>
      </c>
      <c r="N262" s="34" t="s">
        <v>67</v>
      </c>
      <c r="O262" s="33" t="n">
        <f>1791</f>
        <v>1791.0</v>
      </c>
      <c r="P262" s="34" t="s">
        <v>205</v>
      </c>
      <c r="Q262" s="33" t="n">
        <f>1846</f>
        <v>1846.0</v>
      </c>
      <c r="R262" s="34" t="s">
        <v>49</v>
      </c>
      <c r="S262" s="35" t="n">
        <f>1832.78</f>
        <v>1832.78</v>
      </c>
      <c r="T262" s="32" t="n">
        <f>179026</f>
        <v>179026.0</v>
      </c>
      <c r="U262" s="32" t="n">
        <f>63</f>
        <v>63.0</v>
      </c>
      <c r="V262" s="32" t="n">
        <f>329318975</f>
        <v>3.29318975E8</v>
      </c>
      <c r="W262" s="32" t="n">
        <f>114136</f>
        <v>114136.0</v>
      </c>
      <c r="X262" s="36" t="n">
        <f>18</f>
        <v>18.0</v>
      </c>
    </row>
    <row r="263">
      <c r="A263" s="27" t="s">
        <v>42</v>
      </c>
      <c r="B263" s="27" t="s">
        <v>832</v>
      </c>
      <c r="C263" s="27" t="s">
        <v>833</v>
      </c>
      <c r="D263" s="27" t="s">
        <v>834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1368</f>
        <v>1368.0</v>
      </c>
      <c r="L263" s="34" t="s">
        <v>48</v>
      </c>
      <c r="M263" s="33" t="n">
        <f>1428</f>
        <v>1428.0</v>
      </c>
      <c r="N263" s="34" t="s">
        <v>196</v>
      </c>
      <c r="O263" s="33" t="n">
        <f>1355</f>
        <v>1355.0</v>
      </c>
      <c r="P263" s="34" t="s">
        <v>48</v>
      </c>
      <c r="Q263" s="33" t="n">
        <f>1400</f>
        <v>1400.0</v>
      </c>
      <c r="R263" s="34" t="s">
        <v>49</v>
      </c>
      <c r="S263" s="35" t="n">
        <f>1393.06</f>
        <v>1393.06</v>
      </c>
      <c r="T263" s="32" t="n">
        <f>64788</f>
        <v>64788.0</v>
      </c>
      <c r="U263" s="32" t="n">
        <f>1803</f>
        <v>1803.0</v>
      </c>
      <c r="V263" s="32" t="n">
        <f>90172505</f>
        <v>9.0172505E7</v>
      </c>
      <c r="W263" s="32" t="n">
        <f>2526110</f>
        <v>2526110.0</v>
      </c>
      <c r="X263" s="36" t="n">
        <f>18</f>
        <v>18.0</v>
      </c>
    </row>
    <row r="264">
      <c r="A264" s="27" t="s">
        <v>42</v>
      </c>
      <c r="B264" s="27" t="s">
        <v>835</v>
      </c>
      <c r="C264" s="27" t="s">
        <v>836</v>
      </c>
      <c r="D264" s="27" t="s">
        <v>837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1315</f>
        <v>1315.0</v>
      </c>
      <c r="L264" s="34" t="s">
        <v>48</v>
      </c>
      <c r="M264" s="33" t="n">
        <f>1368</f>
        <v>1368.0</v>
      </c>
      <c r="N264" s="34" t="s">
        <v>69</v>
      </c>
      <c r="O264" s="33" t="n">
        <f>1304</f>
        <v>1304.0</v>
      </c>
      <c r="P264" s="34" t="s">
        <v>48</v>
      </c>
      <c r="Q264" s="33" t="n">
        <f>1345</f>
        <v>1345.0</v>
      </c>
      <c r="R264" s="34" t="s">
        <v>49</v>
      </c>
      <c r="S264" s="35" t="n">
        <f>1333.39</f>
        <v>1333.39</v>
      </c>
      <c r="T264" s="32" t="n">
        <f>2021868</f>
        <v>2021868.0</v>
      </c>
      <c r="U264" s="32" t="n">
        <f>987165</f>
        <v>987165.0</v>
      </c>
      <c r="V264" s="32" t="n">
        <f>2698873870</f>
        <v>2.69887387E9</v>
      </c>
      <c r="W264" s="32" t="n">
        <f>1316119308</f>
        <v>1.316119308E9</v>
      </c>
      <c r="X264" s="36" t="n">
        <f>18</f>
        <v>18.0</v>
      </c>
    </row>
    <row r="265">
      <c r="A265" s="27" t="s">
        <v>42</v>
      </c>
      <c r="B265" s="27" t="s">
        <v>838</v>
      </c>
      <c r="C265" s="27" t="s">
        <v>839</v>
      </c>
      <c r="D265" s="27" t="s">
        <v>840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447.6</f>
        <v>447.6</v>
      </c>
      <c r="L265" s="34" t="s">
        <v>48</v>
      </c>
      <c r="M265" s="33" t="n">
        <f>450.4</f>
        <v>450.4</v>
      </c>
      <c r="N265" s="34" t="s">
        <v>68</v>
      </c>
      <c r="O265" s="33" t="n">
        <f>438.5</f>
        <v>438.5</v>
      </c>
      <c r="P265" s="34" t="s">
        <v>83</v>
      </c>
      <c r="Q265" s="33" t="n">
        <f>444.7</f>
        <v>444.7</v>
      </c>
      <c r="R265" s="34" t="s">
        <v>49</v>
      </c>
      <c r="S265" s="35" t="n">
        <f>444.06</f>
        <v>444.06</v>
      </c>
      <c r="T265" s="32" t="n">
        <f>6163310</f>
        <v>6163310.0</v>
      </c>
      <c r="U265" s="32" t="n">
        <f>4830360</f>
        <v>4830360.0</v>
      </c>
      <c r="V265" s="32" t="n">
        <f>2722957859</f>
        <v>2.722957859E9</v>
      </c>
      <c r="W265" s="32" t="n">
        <f>2131866358</f>
        <v>2.131866358E9</v>
      </c>
      <c r="X265" s="36" t="n">
        <f>18</f>
        <v>18.0</v>
      </c>
    </row>
    <row r="266">
      <c r="A266" s="27" t="s">
        <v>42</v>
      </c>
      <c r="B266" s="27" t="s">
        <v>841</v>
      </c>
      <c r="C266" s="27" t="s">
        <v>842</v>
      </c>
      <c r="D266" s="27" t="s">
        <v>843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158.4</f>
        <v>158.4</v>
      </c>
      <c r="L266" s="34" t="s">
        <v>48</v>
      </c>
      <c r="M266" s="33" t="n">
        <f>159.8</f>
        <v>159.8</v>
      </c>
      <c r="N266" s="34" t="s">
        <v>49</v>
      </c>
      <c r="O266" s="33" t="n">
        <f>150</f>
        <v>150.0</v>
      </c>
      <c r="P266" s="34" t="s">
        <v>69</v>
      </c>
      <c r="Q266" s="33" t="n">
        <f>159.2</f>
        <v>159.2</v>
      </c>
      <c r="R266" s="34" t="s">
        <v>49</v>
      </c>
      <c r="S266" s="35" t="n">
        <f>155.46</f>
        <v>155.46</v>
      </c>
      <c r="T266" s="32" t="n">
        <f>7744770</f>
        <v>7744770.0</v>
      </c>
      <c r="U266" s="32" t="n">
        <f>4730</f>
        <v>4730.0</v>
      </c>
      <c r="V266" s="32" t="n">
        <f>1199096952</f>
        <v>1.199096952E9</v>
      </c>
      <c r="W266" s="32" t="n">
        <f>727729</f>
        <v>727729.0</v>
      </c>
      <c r="X266" s="36" t="n">
        <f>18</f>
        <v>18.0</v>
      </c>
    </row>
    <row r="267">
      <c r="A267" s="27" t="s">
        <v>42</v>
      </c>
      <c r="B267" s="27" t="s">
        <v>844</v>
      </c>
      <c r="C267" s="27" t="s">
        <v>845</v>
      </c>
      <c r="D267" s="27" t="s">
        <v>846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130.9</f>
        <v>130.9</v>
      </c>
      <c r="L267" s="34" t="s">
        <v>48</v>
      </c>
      <c r="M267" s="33" t="n">
        <f>133.3</f>
        <v>133.3</v>
      </c>
      <c r="N267" s="34" t="s">
        <v>67</v>
      </c>
      <c r="O267" s="33" t="n">
        <f>124.5</f>
        <v>124.5</v>
      </c>
      <c r="P267" s="34" t="s">
        <v>69</v>
      </c>
      <c r="Q267" s="33" t="n">
        <f>132.2</f>
        <v>132.2</v>
      </c>
      <c r="R267" s="34" t="s">
        <v>49</v>
      </c>
      <c r="S267" s="35" t="n">
        <f>129.63</f>
        <v>129.63</v>
      </c>
      <c r="T267" s="32" t="n">
        <f>5172660</f>
        <v>5172660.0</v>
      </c>
      <c r="U267" s="32" t="n">
        <f>1720</f>
        <v>1720.0</v>
      </c>
      <c r="V267" s="32" t="n">
        <f>667892185</f>
        <v>6.67892185E8</v>
      </c>
      <c r="W267" s="32" t="n">
        <f>222092</f>
        <v>222092.0</v>
      </c>
      <c r="X267" s="36" t="n">
        <f>18</f>
        <v>18.0</v>
      </c>
    </row>
    <row r="268">
      <c r="A268" s="27" t="s">
        <v>42</v>
      </c>
      <c r="B268" s="27" t="s">
        <v>847</v>
      </c>
      <c r="C268" s="27" t="s">
        <v>848</v>
      </c>
      <c r="D268" s="27" t="s">
        <v>849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816</f>
        <v>816.0</v>
      </c>
      <c r="L268" s="34" t="s">
        <v>48</v>
      </c>
      <c r="M268" s="33" t="n">
        <f>820</f>
        <v>820.0</v>
      </c>
      <c r="N268" s="34" t="s">
        <v>67</v>
      </c>
      <c r="O268" s="33" t="n">
        <f>801</f>
        <v>801.0</v>
      </c>
      <c r="P268" s="34" t="s">
        <v>69</v>
      </c>
      <c r="Q268" s="33" t="n">
        <f>809.1</f>
        <v>809.1</v>
      </c>
      <c r="R268" s="34" t="s">
        <v>49</v>
      </c>
      <c r="S268" s="35" t="n">
        <f>810.13</f>
        <v>810.13</v>
      </c>
      <c r="T268" s="32" t="n">
        <f>56934040</f>
        <v>5.693404E7</v>
      </c>
      <c r="U268" s="32" t="n">
        <f>53251080</f>
        <v>5.325108E7</v>
      </c>
      <c r="V268" s="32" t="n">
        <f>46340186693</f>
        <v>4.6340186693E10</v>
      </c>
      <c r="W268" s="32" t="n">
        <f>43357829750</f>
        <v>4.335782975E10</v>
      </c>
      <c r="X268" s="36" t="n">
        <f>18</f>
        <v>18.0</v>
      </c>
    </row>
    <row r="269">
      <c r="A269" s="27" t="s">
        <v>42</v>
      </c>
      <c r="B269" s="27" t="s">
        <v>850</v>
      </c>
      <c r="C269" s="27" t="s">
        <v>851</v>
      </c>
      <c r="D269" s="27" t="s">
        <v>852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1181</f>
        <v>1181.0</v>
      </c>
      <c r="L269" s="34" t="s">
        <v>48</v>
      </c>
      <c r="M269" s="33" t="n">
        <f>1193</f>
        <v>1193.0</v>
      </c>
      <c r="N269" s="34" t="s">
        <v>49</v>
      </c>
      <c r="O269" s="33" t="n">
        <f>1167</f>
        <v>1167.0</v>
      </c>
      <c r="P269" s="34" t="s">
        <v>87</v>
      </c>
      <c r="Q269" s="33" t="n">
        <f>1191.5</f>
        <v>1191.5</v>
      </c>
      <c r="R269" s="34" t="s">
        <v>49</v>
      </c>
      <c r="S269" s="35" t="n">
        <f>1177.36</f>
        <v>1177.36</v>
      </c>
      <c r="T269" s="32" t="n">
        <f>5755270</f>
        <v>5755270.0</v>
      </c>
      <c r="U269" s="32" t="n">
        <f>3897340</f>
        <v>3897340.0</v>
      </c>
      <c r="V269" s="32" t="n">
        <f>6760922169</f>
        <v>6.760922169E9</v>
      </c>
      <c r="W269" s="32" t="n">
        <f>4570015679</f>
        <v>4.570015679E9</v>
      </c>
      <c r="X269" s="36" t="n">
        <f>18</f>
        <v>18.0</v>
      </c>
    </row>
    <row r="270">
      <c r="A270" s="27" t="s">
        <v>42</v>
      </c>
      <c r="B270" s="27" t="s">
        <v>853</v>
      </c>
      <c r="C270" s="27" t="s">
        <v>854</v>
      </c>
      <c r="D270" s="27" t="s">
        <v>855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735</f>
        <v>735.0</v>
      </c>
      <c r="L270" s="34" t="s">
        <v>48</v>
      </c>
      <c r="M270" s="33" t="n">
        <f>740.5</f>
        <v>740.5</v>
      </c>
      <c r="N270" s="34" t="s">
        <v>49</v>
      </c>
      <c r="O270" s="33" t="n">
        <f>726</f>
        <v>726.0</v>
      </c>
      <c r="P270" s="34" t="s">
        <v>69</v>
      </c>
      <c r="Q270" s="33" t="n">
        <f>740.5</f>
        <v>740.5</v>
      </c>
      <c r="R270" s="34" t="s">
        <v>49</v>
      </c>
      <c r="S270" s="35" t="n">
        <f>733.27</f>
        <v>733.27</v>
      </c>
      <c r="T270" s="32" t="n">
        <f>59071950</f>
        <v>5.907195E7</v>
      </c>
      <c r="U270" s="32" t="n">
        <f>58188700</f>
        <v>5.81887E7</v>
      </c>
      <c r="V270" s="32" t="n">
        <f>43423396457</f>
        <v>4.3423396457E10</v>
      </c>
      <c r="W270" s="32" t="n">
        <f>42773936780</f>
        <v>4.277393678E10</v>
      </c>
      <c r="X270" s="36" t="n">
        <f>18</f>
        <v>18.0</v>
      </c>
    </row>
    <row r="271">
      <c r="A271" s="27" t="s">
        <v>42</v>
      </c>
      <c r="B271" s="27" t="s">
        <v>856</v>
      </c>
      <c r="C271" s="27" t="s">
        <v>857</v>
      </c>
      <c r="D271" s="27" t="s">
        <v>858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3376</f>
        <v>3376.0</v>
      </c>
      <c r="L271" s="34" t="s">
        <v>48</v>
      </c>
      <c r="M271" s="33" t="n">
        <f>3556</f>
        <v>3556.0</v>
      </c>
      <c r="N271" s="34" t="s">
        <v>49</v>
      </c>
      <c r="O271" s="33" t="n">
        <f>3351</f>
        <v>3351.0</v>
      </c>
      <c r="P271" s="34" t="s">
        <v>48</v>
      </c>
      <c r="Q271" s="33" t="n">
        <f>3556</f>
        <v>3556.0</v>
      </c>
      <c r="R271" s="34" t="s">
        <v>49</v>
      </c>
      <c r="S271" s="35" t="n">
        <f>3467.61</f>
        <v>3467.61</v>
      </c>
      <c r="T271" s="32" t="n">
        <f>3242024</f>
        <v>3242024.0</v>
      </c>
      <c r="U271" s="32" t="n">
        <f>2175685</f>
        <v>2175685.0</v>
      </c>
      <c r="V271" s="32" t="n">
        <f>11218063402</f>
        <v>1.1218063402E10</v>
      </c>
      <c r="W271" s="32" t="n">
        <f>7534168656</f>
        <v>7.534168656E9</v>
      </c>
      <c r="X271" s="36" t="n">
        <f>18</f>
        <v>18.0</v>
      </c>
    </row>
    <row r="272">
      <c r="A272" s="27" t="s">
        <v>42</v>
      </c>
      <c r="B272" s="27" t="s">
        <v>859</v>
      </c>
      <c r="C272" s="27" t="s">
        <v>860</v>
      </c>
      <c r="D272" s="27" t="s">
        <v>861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1938</f>
        <v>1938.0</v>
      </c>
      <c r="L272" s="34" t="s">
        <v>48</v>
      </c>
      <c r="M272" s="33" t="n">
        <f>2065</f>
        <v>2065.0</v>
      </c>
      <c r="N272" s="34" t="s">
        <v>48</v>
      </c>
      <c r="O272" s="33" t="n">
        <f>1904</f>
        <v>1904.0</v>
      </c>
      <c r="P272" s="34" t="s">
        <v>48</v>
      </c>
      <c r="Q272" s="33" t="n">
        <f>2013</f>
        <v>2013.0</v>
      </c>
      <c r="R272" s="34" t="s">
        <v>49</v>
      </c>
      <c r="S272" s="35" t="n">
        <f>1979.33</f>
        <v>1979.33</v>
      </c>
      <c r="T272" s="32" t="n">
        <f>1447371</f>
        <v>1447371.0</v>
      </c>
      <c r="U272" s="32" t="n">
        <f>1235121</f>
        <v>1235121.0</v>
      </c>
      <c r="V272" s="32" t="n">
        <f>2837258980</f>
        <v>2.83725898E9</v>
      </c>
      <c r="W272" s="32" t="n">
        <f>2422058355</f>
        <v>2.422058355E9</v>
      </c>
      <c r="X272" s="36" t="n">
        <f>18</f>
        <v>18.0</v>
      </c>
    </row>
    <row r="273">
      <c r="A273" s="27" t="s">
        <v>42</v>
      </c>
      <c r="B273" s="27" t="s">
        <v>862</v>
      </c>
      <c r="C273" s="27" t="s">
        <v>863</v>
      </c>
      <c r="D273" s="27" t="s">
        <v>864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1636</f>
        <v>1636.0</v>
      </c>
      <c r="L273" s="34" t="s">
        <v>48</v>
      </c>
      <c r="M273" s="33" t="n">
        <f>1683</f>
        <v>1683.0</v>
      </c>
      <c r="N273" s="34" t="s">
        <v>68</v>
      </c>
      <c r="O273" s="33" t="n">
        <f>1610</f>
        <v>1610.0</v>
      </c>
      <c r="P273" s="34" t="s">
        <v>83</v>
      </c>
      <c r="Q273" s="33" t="n">
        <f>1669</f>
        <v>1669.0</v>
      </c>
      <c r="R273" s="34" t="s">
        <v>49</v>
      </c>
      <c r="S273" s="35" t="n">
        <f>1649</f>
        <v>1649.0</v>
      </c>
      <c r="T273" s="32" t="n">
        <f>1580935</f>
        <v>1580935.0</v>
      </c>
      <c r="U273" s="32" t="n">
        <f>860561</f>
        <v>860561.0</v>
      </c>
      <c r="V273" s="32" t="n">
        <f>2618731831</f>
        <v>2.618731831E9</v>
      </c>
      <c r="W273" s="32" t="n">
        <f>1425010979</f>
        <v>1.425010979E9</v>
      </c>
      <c r="X273" s="36" t="n">
        <f>18</f>
        <v>18.0</v>
      </c>
    </row>
    <row r="274">
      <c r="A274" s="27" t="s">
        <v>42</v>
      </c>
      <c r="B274" s="27" t="s">
        <v>865</v>
      </c>
      <c r="C274" s="27" t="s">
        <v>866</v>
      </c>
      <c r="D274" s="27" t="s">
        <v>867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609</f>
        <v>609.0</v>
      </c>
      <c r="L274" s="34" t="s">
        <v>48</v>
      </c>
      <c r="M274" s="33" t="n">
        <f>675</f>
        <v>675.0</v>
      </c>
      <c r="N274" s="34" t="s">
        <v>203</v>
      </c>
      <c r="O274" s="33" t="n">
        <f>607.6</f>
        <v>607.6</v>
      </c>
      <c r="P274" s="34" t="s">
        <v>48</v>
      </c>
      <c r="Q274" s="33" t="n">
        <f>648.1</f>
        <v>648.1</v>
      </c>
      <c r="R274" s="34" t="s">
        <v>49</v>
      </c>
      <c r="S274" s="35" t="n">
        <f>644.97</f>
        <v>644.97</v>
      </c>
      <c r="T274" s="32" t="n">
        <f>12862080</f>
        <v>1.286208E7</v>
      </c>
      <c r="U274" s="32" t="n">
        <f>1148940</f>
        <v>1148940.0</v>
      </c>
      <c r="V274" s="32" t="n">
        <f>8374241985</f>
        <v>8.374241985E9</v>
      </c>
      <c r="W274" s="32" t="n">
        <f>791736984</f>
        <v>7.91736984E8</v>
      </c>
      <c r="X274" s="36" t="n">
        <f>18</f>
        <v>18.0</v>
      </c>
    </row>
    <row r="275">
      <c r="A275" s="27" t="s">
        <v>42</v>
      </c>
      <c r="B275" s="27" t="s">
        <v>868</v>
      </c>
      <c r="C275" s="27" t="s">
        <v>869</v>
      </c>
      <c r="D275" s="27" t="s">
        <v>870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10.0</v>
      </c>
      <c r="K275" s="33" t="n">
        <f>1151.5</f>
        <v>1151.5</v>
      </c>
      <c r="L275" s="34" t="s">
        <v>48</v>
      </c>
      <c r="M275" s="33" t="n">
        <f>1164.5</f>
        <v>1164.5</v>
      </c>
      <c r="N275" s="34" t="s">
        <v>48</v>
      </c>
      <c r="O275" s="33" t="n">
        <f>1086.5</f>
        <v>1086.5</v>
      </c>
      <c r="P275" s="34" t="s">
        <v>68</v>
      </c>
      <c r="Q275" s="33" t="n">
        <f>1103</f>
        <v>1103.0</v>
      </c>
      <c r="R275" s="34" t="s">
        <v>49</v>
      </c>
      <c r="S275" s="35" t="n">
        <f>1108.81</f>
        <v>1108.81</v>
      </c>
      <c r="T275" s="32" t="n">
        <f>2359370</f>
        <v>2359370.0</v>
      </c>
      <c r="U275" s="32" t="n">
        <f>2134980</f>
        <v>2134980.0</v>
      </c>
      <c r="V275" s="32" t="n">
        <f>2610052794</f>
        <v>2.610052794E9</v>
      </c>
      <c r="W275" s="32" t="n">
        <f>2360242994</f>
        <v>2.360242994E9</v>
      </c>
      <c r="X275" s="36" t="n">
        <f>18</f>
        <v>18.0</v>
      </c>
    </row>
    <row r="276">
      <c r="A276" s="27" t="s">
        <v>42</v>
      </c>
      <c r="B276" s="27" t="s">
        <v>871</v>
      </c>
      <c r="C276" s="27" t="s">
        <v>872</v>
      </c>
      <c r="D276" s="27" t="s">
        <v>873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2157</f>
        <v>2157.0</v>
      </c>
      <c r="L276" s="34" t="s">
        <v>48</v>
      </c>
      <c r="M276" s="33" t="n">
        <f>2345</f>
        <v>2345.0</v>
      </c>
      <c r="N276" s="34" t="s">
        <v>100</v>
      </c>
      <c r="O276" s="33" t="n">
        <f>2106</f>
        <v>2106.0</v>
      </c>
      <c r="P276" s="34" t="s">
        <v>48</v>
      </c>
      <c r="Q276" s="33" t="n">
        <f>2295</f>
        <v>2295.0</v>
      </c>
      <c r="R276" s="34" t="s">
        <v>49</v>
      </c>
      <c r="S276" s="35" t="n">
        <f>2213.44</f>
        <v>2213.44</v>
      </c>
      <c r="T276" s="32" t="n">
        <f>273393</f>
        <v>273393.0</v>
      </c>
      <c r="U276" s="32" t="n">
        <f>200007</f>
        <v>200007.0</v>
      </c>
      <c r="V276" s="32" t="n">
        <f>597690552</f>
        <v>5.97690552E8</v>
      </c>
      <c r="W276" s="32" t="n">
        <f>435060359</f>
        <v>4.35060359E8</v>
      </c>
      <c r="X276" s="36" t="n">
        <f>18</f>
        <v>18.0</v>
      </c>
    </row>
    <row r="277">
      <c r="A277" s="27" t="s">
        <v>42</v>
      </c>
      <c r="B277" s="27" t="s">
        <v>874</v>
      </c>
      <c r="C277" s="27" t="s">
        <v>875</v>
      </c>
      <c r="D277" s="27" t="s">
        <v>876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1190</f>
        <v>1190.0</v>
      </c>
      <c r="L277" s="34" t="s">
        <v>48</v>
      </c>
      <c r="M277" s="33" t="n">
        <f>1199.5</f>
        <v>1199.5</v>
      </c>
      <c r="N277" s="34" t="s">
        <v>49</v>
      </c>
      <c r="O277" s="33" t="n">
        <f>1169.5</f>
        <v>1169.5</v>
      </c>
      <c r="P277" s="34" t="s">
        <v>48</v>
      </c>
      <c r="Q277" s="33" t="n">
        <f>1197</f>
        <v>1197.0</v>
      </c>
      <c r="R277" s="34" t="s">
        <v>49</v>
      </c>
      <c r="S277" s="35" t="n">
        <f>1181.47</f>
        <v>1181.47</v>
      </c>
      <c r="T277" s="32" t="n">
        <f>228250</f>
        <v>228250.0</v>
      </c>
      <c r="U277" s="32" t="n">
        <f>80910</f>
        <v>80910.0</v>
      </c>
      <c r="V277" s="32" t="n">
        <f>269842667</f>
        <v>2.69842667E8</v>
      </c>
      <c r="W277" s="32" t="n">
        <f>95803572</f>
        <v>9.5803572E7</v>
      </c>
      <c r="X277" s="36" t="n">
        <f>18</f>
        <v>18.0</v>
      </c>
    </row>
    <row r="278">
      <c r="A278" s="27" t="s">
        <v>42</v>
      </c>
      <c r="B278" s="27" t="s">
        <v>877</v>
      </c>
      <c r="C278" s="27" t="s">
        <v>878</v>
      </c>
      <c r="D278" s="27" t="s">
        <v>879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2214</f>
        <v>2214.0</v>
      </c>
      <c r="L278" s="34" t="s">
        <v>48</v>
      </c>
      <c r="M278" s="33" t="n">
        <f>2446</f>
        <v>2446.0</v>
      </c>
      <c r="N278" s="34" t="s">
        <v>68</v>
      </c>
      <c r="O278" s="33" t="n">
        <f>2209</f>
        <v>2209.0</v>
      </c>
      <c r="P278" s="34" t="s">
        <v>48</v>
      </c>
      <c r="Q278" s="33" t="n">
        <f>2438</f>
        <v>2438.0</v>
      </c>
      <c r="R278" s="34" t="s">
        <v>49</v>
      </c>
      <c r="S278" s="35" t="n">
        <f>2331.5</f>
        <v>2331.5</v>
      </c>
      <c r="T278" s="32" t="n">
        <f>389539</f>
        <v>389539.0</v>
      </c>
      <c r="U278" s="32" t="n">
        <f>76869</f>
        <v>76869.0</v>
      </c>
      <c r="V278" s="32" t="n">
        <f>921959228</f>
        <v>9.21959228E8</v>
      </c>
      <c r="W278" s="32" t="n">
        <f>185933008</f>
        <v>1.85933008E8</v>
      </c>
      <c r="X278" s="36" t="n">
        <f>18</f>
        <v>18.0</v>
      </c>
    </row>
    <row r="279">
      <c r="A279" s="27" t="s">
        <v>42</v>
      </c>
      <c r="B279" s="27" t="s">
        <v>880</v>
      </c>
      <c r="C279" s="27" t="s">
        <v>881</v>
      </c>
      <c r="D279" s="27" t="s">
        <v>882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2053</f>
        <v>2053.0</v>
      </c>
      <c r="L279" s="34" t="s">
        <v>48</v>
      </c>
      <c r="M279" s="33" t="n">
        <f>2151</f>
        <v>2151.0</v>
      </c>
      <c r="N279" s="34" t="s">
        <v>49</v>
      </c>
      <c r="O279" s="33" t="n">
        <f>2051</f>
        <v>2051.0</v>
      </c>
      <c r="P279" s="34" t="s">
        <v>48</v>
      </c>
      <c r="Q279" s="33" t="n">
        <f>2150</f>
        <v>2150.0</v>
      </c>
      <c r="R279" s="34" t="s">
        <v>49</v>
      </c>
      <c r="S279" s="35" t="n">
        <f>2109.44</f>
        <v>2109.44</v>
      </c>
      <c r="T279" s="32" t="n">
        <f>6642782</f>
        <v>6642782.0</v>
      </c>
      <c r="U279" s="32" t="n">
        <f>6344637</f>
        <v>6344637.0</v>
      </c>
      <c r="V279" s="32" t="n">
        <f>14028326197</f>
        <v>1.4028326197E10</v>
      </c>
      <c r="W279" s="32" t="n">
        <f>13403972091</f>
        <v>1.3403972091E10</v>
      </c>
      <c r="X279" s="36" t="n">
        <f>18</f>
        <v>18.0</v>
      </c>
    </row>
    <row r="280">
      <c r="A280" s="27" t="s">
        <v>42</v>
      </c>
      <c r="B280" s="27" t="s">
        <v>883</v>
      </c>
      <c r="C280" s="27" t="s">
        <v>884</v>
      </c>
      <c r="D280" s="27" t="s">
        <v>885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7824</f>
        <v>7824.0</v>
      </c>
      <c r="L280" s="34" t="s">
        <v>48</v>
      </c>
      <c r="M280" s="33" t="n">
        <f>9350</f>
        <v>9350.0</v>
      </c>
      <c r="N280" s="34" t="s">
        <v>204</v>
      </c>
      <c r="O280" s="33" t="n">
        <f>7783</f>
        <v>7783.0</v>
      </c>
      <c r="P280" s="34" t="s">
        <v>48</v>
      </c>
      <c r="Q280" s="33" t="n">
        <f>8704</f>
        <v>8704.0</v>
      </c>
      <c r="R280" s="34" t="s">
        <v>49</v>
      </c>
      <c r="S280" s="35" t="n">
        <f>8395.33</f>
        <v>8395.33</v>
      </c>
      <c r="T280" s="32" t="n">
        <f>147845</f>
        <v>147845.0</v>
      </c>
      <c r="U280" s="32" t="n">
        <f>6</f>
        <v>6.0</v>
      </c>
      <c r="V280" s="32" t="n">
        <f>1245014503</f>
        <v>1.245014503E9</v>
      </c>
      <c r="W280" s="32" t="n">
        <f>50244</f>
        <v>50244.0</v>
      </c>
      <c r="X280" s="36" t="n">
        <f>18</f>
        <v>18.0</v>
      </c>
    </row>
    <row r="281">
      <c r="A281" s="27" t="s">
        <v>42</v>
      </c>
      <c r="B281" s="27" t="s">
        <v>886</v>
      </c>
      <c r="C281" s="27" t="s">
        <v>887</v>
      </c>
      <c r="D281" s="27" t="s">
        <v>888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2980</f>
        <v>2980.0</v>
      </c>
      <c r="L281" s="34" t="s">
        <v>67</v>
      </c>
      <c r="M281" s="33" t="n">
        <f>3169</f>
        <v>3169.0</v>
      </c>
      <c r="N281" s="34" t="s">
        <v>68</v>
      </c>
      <c r="O281" s="33" t="n">
        <f>2980</f>
        <v>2980.0</v>
      </c>
      <c r="P281" s="34" t="s">
        <v>67</v>
      </c>
      <c r="Q281" s="33" t="n">
        <f>3103</f>
        <v>3103.0</v>
      </c>
      <c r="R281" s="34" t="s">
        <v>70</v>
      </c>
      <c r="S281" s="35" t="n">
        <f>3073.25</f>
        <v>3073.25</v>
      </c>
      <c r="T281" s="32" t="n">
        <f>2870</f>
        <v>2870.0</v>
      </c>
      <c r="U281" s="32" t="n">
        <f>10</f>
        <v>10.0</v>
      </c>
      <c r="V281" s="32" t="n">
        <f>8919920</f>
        <v>8919920.0</v>
      </c>
      <c r="W281" s="32" t="n">
        <f>29800</f>
        <v>29800.0</v>
      </c>
      <c r="X281" s="36" t="n">
        <f>4</f>
        <v>4.0</v>
      </c>
    </row>
    <row r="282">
      <c r="A282" s="27" t="s">
        <v>42</v>
      </c>
      <c r="B282" s="27" t="s">
        <v>889</v>
      </c>
      <c r="C282" s="27" t="s">
        <v>890</v>
      </c>
      <c r="D282" s="27" t="s">
        <v>891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3834</f>
        <v>3834.0</v>
      </c>
      <c r="L282" s="34" t="s">
        <v>48</v>
      </c>
      <c r="M282" s="33" t="n">
        <f>4104</f>
        <v>4104.0</v>
      </c>
      <c r="N282" s="34" t="s">
        <v>49</v>
      </c>
      <c r="O282" s="33" t="n">
        <f>3820</f>
        <v>3820.0</v>
      </c>
      <c r="P282" s="34" t="s">
        <v>48</v>
      </c>
      <c r="Q282" s="33" t="n">
        <f>4101</f>
        <v>4101.0</v>
      </c>
      <c r="R282" s="34" t="s">
        <v>49</v>
      </c>
      <c r="S282" s="35" t="n">
        <f>3990.22</f>
        <v>3990.22</v>
      </c>
      <c r="T282" s="32" t="n">
        <f>1223756</f>
        <v>1223756.0</v>
      </c>
      <c r="U282" s="32" t="n">
        <f>932705</f>
        <v>932705.0</v>
      </c>
      <c r="V282" s="32" t="n">
        <f>4935854161</f>
        <v>4.935854161E9</v>
      </c>
      <c r="W282" s="32" t="n">
        <f>3786823249</f>
        <v>3.786823249E9</v>
      </c>
      <c r="X282" s="36" t="n">
        <f>18</f>
        <v>18.0</v>
      </c>
    </row>
    <row r="283">
      <c r="A283" s="27" t="s">
        <v>42</v>
      </c>
      <c r="B283" s="27" t="s">
        <v>892</v>
      </c>
      <c r="C283" s="27" t="s">
        <v>893</v>
      </c>
      <c r="D283" s="27" t="s">
        <v>894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60320</f>
        <v>60320.0</v>
      </c>
      <c r="L283" s="34" t="s">
        <v>48</v>
      </c>
      <c r="M283" s="33" t="n">
        <f>67270</f>
        <v>67270.0</v>
      </c>
      <c r="N283" s="34" t="s">
        <v>49</v>
      </c>
      <c r="O283" s="33" t="n">
        <f>60120</f>
        <v>60120.0</v>
      </c>
      <c r="P283" s="34" t="s">
        <v>69</v>
      </c>
      <c r="Q283" s="33" t="n">
        <f>67270</f>
        <v>67270.0</v>
      </c>
      <c r="R283" s="34" t="s">
        <v>49</v>
      </c>
      <c r="S283" s="35" t="n">
        <f>63609.44</f>
        <v>63609.44</v>
      </c>
      <c r="T283" s="32" t="n">
        <f>96540</f>
        <v>96540.0</v>
      </c>
      <c r="U283" s="32" t="n">
        <f>42873</f>
        <v>42873.0</v>
      </c>
      <c r="V283" s="32" t="n">
        <f>6101486628</f>
        <v>6.101486628E9</v>
      </c>
      <c r="W283" s="32" t="n">
        <f>2701804488</f>
        <v>2.701804488E9</v>
      </c>
      <c r="X283" s="36" t="n">
        <f>18</f>
        <v>18.0</v>
      </c>
    </row>
    <row r="284">
      <c r="A284" s="27" t="s">
        <v>42</v>
      </c>
      <c r="B284" s="27" t="s">
        <v>895</v>
      </c>
      <c r="C284" s="27" t="s">
        <v>896</v>
      </c>
      <c r="D284" s="27" t="s">
        <v>897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34830</f>
        <v>34830.0</v>
      </c>
      <c r="L284" s="34" t="s">
        <v>48</v>
      </c>
      <c r="M284" s="33" t="n">
        <f>36830</f>
        <v>36830.0</v>
      </c>
      <c r="N284" s="34" t="s">
        <v>49</v>
      </c>
      <c r="O284" s="33" t="n">
        <f>34830</f>
        <v>34830.0</v>
      </c>
      <c r="P284" s="34" t="s">
        <v>48</v>
      </c>
      <c r="Q284" s="33" t="n">
        <f>36830</f>
        <v>36830.0</v>
      </c>
      <c r="R284" s="34" t="s">
        <v>49</v>
      </c>
      <c r="S284" s="35" t="n">
        <f>35928</f>
        <v>35928.0</v>
      </c>
      <c r="T284" s="32" t="n">
        <f>25561</f>
        <v>25561.0</v>
      </c>
      <c r="U284" s="32" t="str">
        <f>"－"</f>
        <v>－</v>
      </c>
      <c r="V284" s="32" t="n">
        <f>915268570</f>
        <v>9.1526857E8</v>
      </c>
      <c r="W284" s="32" t="str">
        <f>"－"</f>
        <v>－</v>
      </c>
      <c r="X284" s="36" t="n">
        <f>15</f>
        <v>15.0</v>
      </c>
    </row>
    <row r="285">
      <c r="A285" s="27" t="s">
        <v>42</v>
      </c>
      <c r="B285" s="27" t="s">
        <v>898</v>
      </c>
      <c r="C285" s="27" t="s">
        <v>899</v>
      </c>
      <c r="D285" s="27" t="s">
        <v>900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1157</f>
        <v>1157.0</v>
      </c>
      <c r="L285" s="34" t="s">
        <v>48</v>
      </c>
      <c r="M285" s="33" t="n">
        <f>1167</f>
        <v>1167.0</v>
      </c>
      <c r="N285" s="34" t="s">
        <v>67</v>
      </c>
      <c r="O285" s="33" t="n">
        <f>1109</f>
        <v>1109.0</v>
      </c>
      <c r="P285" s="34" t="s">
        <v>104</v>
      </c>
      <c r="Q285" s="33" t="n">
        <f>1127</f>
        <v>1127.0</v>
      </c>
      <c r="R285" s="34" t="s">
        <v>49</v>
      </c>
      <c r="S285" s="35" t="n">
        <f>1128.28</f>
        <v>1128.28</v>
      </c>
      <c r="T285" s="32" t="n">
        <f>1957065</f>
        <v>1957065.0</v>
      </c>
      <c r="U285" s="32" t="n">
        <f>1661851</f>
        <v>1661851.0</v>
      </c>
      <c r="V285" s="32" t="n">
        <f>2216539378</f>
        <v>2.216539378E9</v>
      </c>
      <c r="W285" s="32" t="n">
        <f>1880762067</f>
        <v>1.880762067E9</v>
      </c>
      <c r="X285" s="36" t="n">
        <f>18</f>
        <v>18.0</v>
      </c>
    </row>
    <row r="286">
      <c r="A286" s="27" t="s">
        <v>42</v>
      </c>
      <c r="B286" s="27" t="s">
        <v>901</v>
      </c>
      <c r="C286" s="27" t="s">
        <v>902</v>
      </c>
      <c r="D286" s="27" t="s">
        <v>903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1142</f>
        <v>1142.0</v>
      </c>
      <c r="L286" s="34" t="s">
        <v>48</v>
      </c>
      <c r="M286" s="33" t="n">
        <f>1145</f>
        <v>1145.0</v>
      </c>
      <c r="N286" s="34" t="s">
        <v>67</v>
      </c>
      <c r="O286" s="33" t="n">
        <f>1090</f>
        <v>1090.0</v>
      </c>
      <c r="P286" s="34" t="s">
        <v>104</v>
      </c>
      <c r="Q286" s="33" t="n">
        <f>1105</f>
        <v>1105.0</v>
      </c>
      <c r="R286" s="34" t="s">
        <v>49</v>
      </c>
      <c r="S286" s="35" t="n">
        <f>1110.39</f>
        <v>1110.39</v>
      </c>
      <c r="T286" s="32" t="n">
        <f>228240</f>
        <v>228240.0</v>
      </c>
      <c r="U286" s="32" t="n">
        <f>160</f>
        <v>160.0</v>
      </c>
      <c r="V286" s="32" t="n">
        <f>251834911</f>
        <v>2.51834911E8</v>
      </c>
      <c r="W286" s="32" t="n">
        <f>178756</f>
        <v>178756.0</v>
      </c>
      <c r="X286" s="36" t="n">
        <f>18</f>
        <v>18.0</v>
      </c>
    </row>
    <row r="287">
      <c r="A287" s="27" t="s">
        <v>42</v>
      </c>
      <c r="B287" s="27" t="s">
        <v>904</v>
      </c>
      <c r="C287" s="27" t="s">
        <v>905</v>
      </c>
      <c r="D287" s="27" t="s">
        <v>906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2136</f>
        <v>2136.0</v>
      </c>
      <c r="L287" s="34" t="s">
        <v>48</v>
      </c>
      <c r="M287" s="33" t="n">
        <f>2215</f>
        <v>2215.0</v>
      </c>
      <c r="N287" s="34" t="s">
        <v>59</v>
      </c>
      <c r="O287" s="33" t="n">
        <f>2107</f>
        <v>2107.0</v>
      </c>
      <c r="P287" s="34" t="s">
        <v>48</v>
      </c>
      <c r="Q287" s="33" t="n">
        <f>2214</f>
        <v>2214.0</v>
      </c>
      <c r="R287" s="34" t="s">
        <v>49</v>
      </c>
      <c r="S287" s="35" t="n">
        <f>2175.61</f>
        <v>2175.61</v>
      </c>
      <c r="T287" s="32" t="n">
        <f>2129571</f>
        <v>2129571.0</v>
      </c>
      <c r="U287" s="32" t="n">
        <f>1870155</f>
        <v>1870155.0</v>
      </c>
      <c r="V287" s="32" t="n">
        <f>4618523073</f>
        <v>4.618523073E9</v>
      </c>
      <c r="W287" s="32" t="n">
        <f>4054816776</f>
        <v>4.054816776E9</v>
      </c>
      <c r="X287" s="36" t="n">
        <f>18</f>
        <v>18.0</v>
      </c>
    </row>
    <row r="288">
      <c r="A288" s="27" t="s">
        <v>42</v>
      </c>
      <c r="B288" s="27" t="s">
        <v>907</v>
      </c>
      <c r="C288" s="27" t="s">
        <v>908</v>
      </c>
      <c r="D288" s="27" t="s">
        <v>909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17900</f>
        <v>17900.0</v>
      </c>
      <c r="L288" s="34" t="s">
        <v>48</v>
      </c>
      <c r="M288" s="33" t="n">
        <f>18540</f>
        <v>18540.0</v>
      </c>
      <c r="N288" s="34" t="s">
        <v>69</v>
      </c>
      <c r="O288" s="33" t="n">
        <f>17550</f>
        <v>17550.0</v>
      </c>
      <c r="P288" s="34" t="s">
        <v>48</v>
      </c>
      <c r="Q288" s="33" t="n">
        <f>18120</f>
        <v>18120.0</v>
      </c>
      <c r="R288" s="34" t="s">
        <v>49</v>
      </c>
      <c r="S288" s="35" t="n">
        <f>17998.53</f>
        <v>17998.53</v>
      </c>
      <c r="T288" s="32" t="n">
        <f>1500</f>
        <v>1500.0</v>
      </c>
      <c r="U288" s="32" t="str">
        <f>"－"</f>
        <v>－</v>
      </c>
      <c r="V288" s="32" t="n">
        <f>27032595</f>
        <v>2.7032595E7</v>
      </c>
      <c r="W288" s="32" t="str">
        <f>"－"</f>
        <v>－</v>
      </c>
      <c r="X288" s="36" t="n">
        <f>17</f>
        <v>17.0</v>
      </c>
    </row>
    <row r="289">
      <c r="A289" s="27" t="s">
        <v>42</v>
      </c>
      <c r="B289" s="27" t="s">
        <v>910</v>
      </c>
      <c r="C289" s="27" t="s">
        <v>911</v>
      </c>
      <c r="D289" s="27" t="s">
        <v>912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2032</f>
        <v>2032.0</v>
      </c>
      <c r="L289" s="34" t="s">
        <v>48</v>
      </c>
      <c r="M289" s="33" t="n">
        <f>2046</f>
        <v>2046.0</v>
      </c>
      <c r="N289" s="34" t="s">
        <v>67</v>
      </c>
      <c r="O289" s="33" t="n">
        <f>1925</f>
        <v>1925.0</v>
      </c>
      <c r="P289" s="34" t="s">
        <v>104</v>
      </c>
      <c r="Q289" s="33" t="n">
        <f>1951</f>
        <v>1951.0</v>
      </c>
      <c r="R289" s="34" t="s">
        <v>49</v>
      </c>
      <c r="S289" s="35" t="n">
        <f>1968.61</f>
        <v>1968.61</v>
      </c>
      <c r="T289" s="32" t="n">
        <f>330962</f>
        <v>330962.0</v>
      </c>
      <c r="U289" s="32" t="n">
        <f>262001</f>
        <v>262001.0</v>
      </c>
      <c r="V289" s="32" t="n">
        <f>649220528</f>
        <v>6.49220528E8</v>
      </c>
      <c r="W289" s="32" t="n">
        <f>512735192</f>
        <v>5.12735192E8</v>
      </c>
      <c r="X289" s="36" t="n">
        <f>18</f>
        <v>18.0</v>
      </c>
    </row>
    <row r="290">
      <c r="A290" s="27" t="s">
        <v>42</v>
      </c>
      <c r="B290" s="27" t="s">
        <v>913</v>
      </c>
      <c r="C290" s="27" t="s">
        <v>914</v>
      </c>
      <c r="D290" s="27" t="s">
        <v>915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2550</f>
        <v>2550.0</v>
      </c>
      <c r="L290" s="34" t="s">
        <v>48</v>
      </c>
      <c r="M290" s="33" t="n">
        <f>2765</f>
        <v>2765.0</v>
      </c>
      <c r="N290" s="34" t="s">
        <v>59</v>
      </c>
      <c r="O290" s="33" t="n">
        <f>2505.5</f>
        <v>2505.5</v>
      </c>
      <c r="P290" s="34" t="s">
        <v>48</v>
      </c>
      <c r="Q290" s="33" t="n">
        <f>2580</f>
        <v>2580.0</v>
      </c>
      <c r="R290" s="34" t="s">
        <v>49</v>
      </c>
      <c r="S290" s="35" t="n">
        <f>2619.78</f>
        <v>2619.78</v>
      </c>
      <c r="T290" s="32" t="n">
        <f>73660</f>
        <v>73660.0</v>
      </c>
      <c r="U290" s="32" t="str">
        <f>"－"</f>
        <v>－</v>
      </c>
      <c r="V290" s="32" t="n">
        <f>194357285</f>
        <v>1.94357285E8</v>
      </c>
      <c r="W290" s="32" t="str">
        <f>"－"</f>
        <v>－</v>
      </c>
      <c r="X290" s="36" t="n">
        <f>18</f>
        <v>18.0</v>
      </c>
    </row>
    <row r="291">
      <c r="A291" s="27" t="s">
        <v>42</v>
      </c>
      <c r="B291" s="27" t="s">
        <v>916</v>
      </c>
      <c r="C291" s="27" t="s">
        <v>917</v>
      </c>
      <c r="D291" s="27" t="s">
        <v>918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764.5</f>
        <v>764.5</v>
      </c>
      <c r="L291" s="34" t="s">
        <v>48</v>
      </c>
      <c r="M291" s="33" t="n">
        <f>767</f>
        <v>767.0</v>
      </c>
      <c r="N291" s="34" t="s">
        <v>67</v>
      </c>
      <c r="O291" s="33" t="n">
        <f>757</f>
        <v>757.0</v>
      </c>
      <c r="P291" s="34" t="s">
        <v>69</v>
      </c>
      <c r="Q291" s="33" t="n">
        <f>765.6</f>
        <v>765.6</v>
      </c>
      <c r="R291" s="34" t="s">
        <v>49</v>
      </c>
      <c r="S291" s="35" t="n">
        <f>761.87</f>
        <v>761.87</v>
      </c>
      <c r="T291" s="32" t="n">
        <f>534040</f>
        <v>534040.0</v>
      </c>
      <c r="U291" s="32" t="n">
        <f>466920</f>
        <v>466920.0</v>
      </c>
      <c r="V291" s="32" t="n">
        <f>407046401</f>
        <v>4.07046401E8</v>
      </c>
      <c r="W291" s="32" t="n">
        <f>355906796</f>
        <v>3.55906796E8</v>
      </c>
      <c r="X291" s="36" t="n">
        <f>18</f>
        <v>18.0</v>
      </c>
    </row>
    <row r="292">
      <c r="A292" s="27" t="s">
        <v>42</v>
      </c>
      <c r="B292" s="27" t="s">
        <v>919</v>
      </c>
      <c r="C292" s="27" t="s">
        <v>920</v>
      </c>
      <c r="D292" s="27" t="s">
        <v>921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1934.5</f>
        <v>1934.5</v>
      </c>
      <c r="L292" s="34" t="s">
        <v>48</v>
      </c>
      <c r="M292" s="33" t="n">
        <f>1949</f>
        <v>1949.0</v>
      </c>
      <c r="N292" s="34" t="s">
        <v>67</v>
      </c>
      <c r="O292" s="33" t="n">
        <f>1845.5</f>
        <v>1845.5</v>
      </c>
      <c r="P292" s="34" t="s">
        <v>104</v>
      </c>
      <c r="Q292" s="33" t="n">
        <f>1898.5</f>
        <v>1898.5</v>
      </c>
      <c r="R292" s="34" t="s">
        <v>49</v>
      </c>
      <c r="S292" s="35" t="n">
        <f>1883.75</f>
        <v>1883.75</v>
      </c>
      <c r="T292" s="32" t="n">
        <f>1929190</f>
        <v>1929190.0</v>
      </c>
      <c r="U292" s="32" t="n">
        <f>1690330</f>
        <v>1690330.0</v>
      </c>
      <c r="V292" s="32" t="n">
        <f>3694745173</f>
        <v>3.694745173E9</v>
      </c>
      <c r="W292" s="32" t="n">
        <f>3244761478</f>
        <v>3.244761478E9</v>
      </c>
      <c r="X292" s="36" t="n">
        <f>18</f>
        <v>18.0</v>
      </c>
    </row>
    <row r="293">
      <c r="A293" s="27" t="s">
        <v>42</v>
      </c>
      <c r="B293" s="27" t="s">
        <v>922</v>
      </c>
      <c r="C293" s="27" t="s">
        <v>923</v>
      </c>
      <c r="D293" s="27" t="s">
        <v>924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1932</f>
        <v>1932.0</v>
      </c>
      <c r="L293" s="34" t="s">
        <v>48</v>
      </c>
      <c r="M293" s="33" t="n">
        <f>1949.5</f>
        <v>1949.5</v>
      </c>
      <c r="N293" s="34" t="s">
        <v>67</v>
      </c>
      <c r="O293" s="33" t="n">
        <f>1840</f>
        <v>1840.0</v>
      </c>
      <c r="P293" s="34" t="s">
        <v>104</v>
      </c>
      <c r="Q293" s="33" t="n">
        <f>1871</f>
        <v>1871.0</v>
      </c>
      <c r="R293" s="34" t="s">
        <v>49</v>
      </c>
      <c r="S293" s="35" t="n">
        <f>1880.69</f>
        <v>1880.69</v>
      </c>
      <c r="T293" s="32" t="n">
        <f>3237730</f>
        <v>3237730.0</v>
      </c>
      <c r="U293" s="32" t="n">
        <f>2440670</f>
        <v>2440670.0</v>
      </c>
      <c r="V293" s="32" t="n">
        <f>6082243273</f>
        <v>6.082243273E9</v>
      </c>
      <c r="W293" s="32" t="n">
        <f>4578832373</f>
        <v>4.578832373E9</v>
      </c>
      <c r="X293" s="36" t="n">
        <f>18</f>
        <v>18.0</v>
      </c>
    </row>
    <row r="294">
      <c r="A294" s="27" t="s">
        <v>42</v>
      </c>
      <c r="B294" s="27" t="s">
        <v>925</v>
      </c>
      <c r="C294" s="27" t="s">
        <v>926</v>
      </c>
      <c r="D294" s="27" t="s">
        <v>927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3757</f>
        <v>3757.0</v>
      </c>
      <c r="L294" s="34" t="s">
        <v>48</v>
      </c>
      <c r="M294" s="33" t="n">
        <f>4028</f>
        <v>4028.0</v>
      </c>
      <c r="N294" s="34" t="s">
        <v>49</v>
      </c>
      <c r="O294" s="33" t="n">
        <f>3741</f>
        <v>3741.0</v>
      </c>
      <c r="P294" s="34" t="s">
        <v>48</v>
      </c>
      <c r="Q294" s="33" t="n">
        <f>4028</f>
        <v>4028.0</v>
      </c>
      <c r="R294" s="34" t="s">
        <v>49</v>
      </c>
      <c r="S294" s="35" t="n">
        <f>3913.83</f>
        <v>3913.83</v>
      </c>
      <c r="T294" s="32" t="n">
        <f>396940</f>
        <v>396940.0</v>
      </c>
      <c r="U294" s="32" t="n">
        <f>148520</f>
        <v>148520.0</v>
      </c>
      <c r="V294" s="32" t="n">
        <f>1559323540</f>
        <v>1.55932354E9</v>
      </c>
      <c r="W294" s="32" t="n">
        <f>585822110</f>
        <v>5.8582211E8</v>
      </c>
      <c r="X294" s="36" t="n">
        <f>18</f>
        <v>18.0</v>
      </c>
    </row>
    <row r="295">
      <c r="A295" s="27" t="s">
        <v>42</v>
      </c>
      <c r="B295" s="27" t="s">
        <v>928</v>
      </c>
      <c r="C295" s="27" t="s">
        <v>929</v>
      </c>
      <c r="D295" s="27" t="s">
        <v>930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32660</f>
        <v>32660.0</v>
      </c>
      <c r="L295" s="34" t="s">
        <v>48</v>
      </c>
      <c r="M295" s="33" t="n">
        <f>34800</f>
        <v>34800.0</v>
      </c>
      <c r="N295" s="34" t="s">
        <v>49</v>
      </c>
      <c r="O295" s="33" t="n">
        <f>32660</f>
        <v>32660.0</v>
      </c>
      <c r="P295" s="34" t="s">
        <v>48</v>
      </c>
      <c r="Q295" s="33" t="n">
        <f>34760</f>
        <v>34760.0</v>
      </c>
      <c r="R295" s="34" t="s">
        <v>49</v>
      </c>
      <c r="S295" s="35" t="n">
        <f>33918.33</f>
        <v>33918.33</v>
      </c>
      <c r="T295" s="32" t="n">
        <f>511589</f>
        <v>511589.0</v>
      </c>
      <c r="U295" s="32" t="n">
        <f>79342</f>
        <v>79342.0</v>
      </c>
      <c r="V295" s="32" t="n">
        <f>17374994081</f>
        <v>1.7374994081E10</v>
      </c>
      <c r="W295" s="32" t="n">
        <f>2708364911</f>
        <v>2.708364911E9</v>
      </c>
      <c r="X295" s="36" t="n">
        <f>18</f>
        <v>18.0</v>
      </c>
    </row>
    <row r="296">
      <c r="A296" s="27" t="s">
        <v>42</v>
      </c>
      <c r="B296" s="27" t="s">
        <v>931</v>
      </c>
      <c r="C296" s="27" t="s">
        <v>932</v>
      </c>
      <c r="D296" s="27" t="s">
        <v>933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28000</f>
        <v>28000.0</v>
      </c>
      <c r="L296" s="34" t="s">
        <v>48</v>
      </c>
      <c r="M296" s="33" t="n">
        <f>30290</f>
        <v>30290.0</v>
      </c>
      <c r="N296" s="34" t="s">
        <v>204</v>
      </c>
      <c r="O296" s="33" t="n">
        <f>27980</f>
        <v>27980.0</v>
      </c>
      <c r="P296" s="34" t="s">
        <v>48</v>
      </c>
      <c r="Q296" s="33" t="n">
        <f>29795</f>
        <v>29795.0</v>
      </c>
      <c r="R296" s="34" t="s">
        <v>49</v>
      </c>
      <c r="S296" s="35" t="n">
        <f>29005.56</f>
        <v>29005.56</v>
      </c>
      <c r="T296" s="32" t="n">
        <f>609129</f>
        <v>609129.0</v>
      </c>
      <c r="U296" s="32" t="n">
        <f>48216</f>
        <v>48216.0</v>
      </c>
      <c r="V296" s="32" t="n">
        <f>17679860809</f>
        <v>1.7679860809E10</v>
      </c>
      <c r="W296" s="32" t="n">
        <f>1386180779</f>
        <v>1.386180779E9</v>
      </c>
      <c r="X296" s="36" t="n">
        <f>18</f>
        <v>18.0</v>
      </c>
    </row>
    <row r="297">
      <c r="A297" s="27" t="s">
        <v>42</v>
      </c>
      <c r="B297" s="27" t="s">
        <v>934</v>
      </c>
      <c r="C297" s="27" t="s">
        <v>935</v>
      </c>
      <c r="D297" s="27" t="s">
        <v>936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50790</f>
        <v>50790.0</v>
      </c>
      <c r="L297" s="34" t="s">
        <v>209</v>
      </c>
      <c r="M297" s="33" t="n">
        <f>51850</f>
        <v>51850.0</v>
      </c>
      <c r="N297" s="34" t="s">
        <v>104</v>
      </c>
      <c r="O297" s="33" t="n">
        <f>49090</f>
        <v>49090.0</v>
      </c>
      <c r="P297" s="34" t="s">
        <v>87</v>
      </c>
      <c r="Q297" s="33" t="n">
        <f>51850</f>
        <v>51850.0</v>
      </c>
      <c r="R297" s="34" t="s">
        <v>104</v>
      </c>
      <c r="S297" s="35" t="n">
        <f>51028.57</f>
        <v>51028.57</v>
      </c>
      <c r="T297" s="32" t="n">
        <f>28</f>
        <v>28.0</v>
      </c>
      <c r="U297" s="32" t="n">
        <f>2</f>
        <v>2.0</v>
      </c>
      <c r="V297" s="32" t="n">
        <f>1418520</f>
        <v>1418520.0</v>
      </c>
      <c r="W297" s="32" t="n">
        <f>101720</f>
        <v>101720.0</v>
      </c>
      <c r="X297" s="36" t="n">
        <f>7</f>
        <v>7.0</v>
      </c>
    </row>
    <row r="298">
      <c r="A298" s="27" t="s">
        <v>42</v>
      </c>
      <c r="B298" s="27" t="s">
        <v>937</v>
      </c>
      <c r="C298" s="27" t="s">
        <v>938</v>
      </c>
      <c r="D298" s="27" t="s">
        <v>939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2042</f>
        <v>2042.0</v>
      </c>
      <c r="L298" s="34" t="s">
        <v>48</v>
      </c>
      <c r="M298" s="33" t="n">
        <f>2047</f>
        <v>2047.0</v>
      </c>
      <c r="N298" s="34" t="s">
        <v>209</v>
      </c>
      <c r="O298" s="33" t="n">
        <f>1980</f>
        <v>1980.0</v>
      </c>
      <c r="P298" s="34" t="s">
        <v>69</v>
      </c>
      <c r="Q298" s="33" t="n">
        <f>2017</f>
        <v>2017.0</v>
      </c>
      <c r="R298" s="34" t="s">
        <v>49</v>
      </c>
      <c r="S298" s="35" t="n">
        <f>2015.11</f>
        <v>2015.11</v>
      </c>
      <c r="T298" s="32" t="n">
        <f>9423459</f>
        <v>9423459.0</v>
      </c>
      <c r="U298" s="32" t="n">
        <f>9099414</f>
        <v>9099414.0</v>
      </c>
      <c r="V298" s="32" t="n">
        <f>18840813688</f>
        <v>1.8840813688E10</v>
      </c>
      <c r="W298" s="32" t="n">
        <f>18191353623</f>
        <v>1.8191353623E10</v>
      </c>
      <c r="X298" s="36" t="n">
        <f>18</f>
        <v>18.0</v>
      </c>
    </row>
    <row r="299">
      <c r="A299" s="27" t="s">
        <v>42</v>
      </c>
      <c r="B299" s="27" t="s">
        <v>940</v>
      </c>
      <c r="C299" s="27" t="s">
        <v>941</v>
      </c>
      <c r="D299" s="27" t="s">
        <v>942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3496</f>
        <v>3496.0</v>
      </c>
      <c r="L299" s="34" t="s">
        <v>48</v>
      </c>
      <c r="M299" s="33" t="n">
        <f>3583</f>
        <v>3583.0</v>
      </c>
      <c r="N299" s="34" t="s">
        <v>204</v>
      </c>
      <c r="O299" s="33" t="n">
        <f>3444</f>
        <v>3444.0</v>
      </c>
      <c r="P299" s="34" t="s">
        <v>83</v>
      </c>
      <c r="Q299" s="33" t="n">
        <f>3560</f>
        <v>3560.0</v>
      </c>
      <c r="R299" s="34" t="s">
        <v>49</v>
      </c>
      <c r="S299" s="35" t="n">
        <f>3511.72</f>
        <v>3511.72</v>
      </c>
      <c r="T299" s="32" t="n">
        <f>5440770</f>
        <v>5440770.0</v>
      </c>
      <c r="U299" s="32" t="n">
        <f>5255374</f>
        <v>5255374.0</v>
      </c>
      <c r="V299" s="32" t="n">
        <f>19047876806</f>
        <v>1.9047876806E10</v>
      </c>
      <c r="W299" s="32" t="n">
        <f>18396308917</f>
        <v>1.8396308917E10</v>
      </c>
      <c r="X299" s="36" t="n">
        <f>18</f>
        <v>18.0</v>
      </c>
    </row>
    <row r="300">
      <c r="A300" s="27" t="s">
        <v>42</v>
      </c>
      <c r="B300" s="27" t="s">
        <v>943</v>
      </c>
      <c r="C300" s="27" t="s">
        <v>944</v>
      </c>
      <c r="D300" s="27" t="s">
        <v>945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385.2</f>
        <v>385.2</v>
      </c>
      <c r="L300" s="34" t="s">
        <v>48</v>
      </c>
      <c r="M300" s="33" t="n">
        <f>403.8</f>
        <v>403.8</v>
      </c>
      <c r="N300" s="34" t="s">
        <v>49</v>
      </c>
      <c r="O300" s="33" t="n">
        <f>384.7</f>
        <v>384.7</v>
      </c>
      <c r="P300" s="34" t="s">
        <v>48</v>
      </c>
      <c r="Q300" s="33" t="n">
        <f>403.7</f>
        <v>403.7</v>
      </c>
      <c r="R300" s="34" t="s">
        <v>49</v>
      </c>
      <c r="S300" s="35" t="n">
        <f>396.17</f>
        <v>396.17</v>
      </c>
      <c r="T300" s="32" t="n">
        <f>53237530</f>
        <v>5.323753E7</v>
      </c>
      <c r="U300" s="32" t="n">
        <f>46278670</f>
        <v>4.627867E7</v>
      </c>
      <c r="V300" s="32" t="n">
        <f>21081290676</f>
        <v>2.1081290676E10</v>
      </c>
      <c r="W300" s="32" t="n">
        <f>18308406474</f>
        <v>1.8308406474E10</v>
      </c>
      <c r="X300" s="36" t="n">
        <f>18</f>
        <v>18.0</v>
      </c>
    </row>
    <row r="301">
      <c r="A301" s="27" t="s">
        <v>42</v>
      </c>
      <c r="B301" s="27" t="s">
        <v>946</v>
      </c>
      <c r="C301" s="27" t="s">
        <v>947</v>
      </c>
      <c r="D301" s="27" t="s">
        <v>948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3381</f>
        <v>3381.0</v>
      </c>
      <c r="L301" s="34" t="s">
        <v>48</v>
      </c>
      <c r="M301" s="33" t="n">
        <f>3450</f>
        <v>3450.0</v>
      </c>
      <c r="N301" s="34" t="s">
        <v>87</v>
      </c>
      <c r="O301" s="33" t="n">
        <f>3264</f>
        <v>3264.0</v>
      </c>
      <c r="P301" s="34" t="s">
        <v>70</v>
      </c>
      <c r="Q301" s="33" t="n">
        <f>3336</f>
        <v>3336.0</v>
      </c>
      <c r="R301" s="34" t="s">
        <v>49</v>
      </c>
      <c r="S301" s="35" t="n">
        <f>3348.06</f>
        <v>3348.06</v>
      </c>
      <c r="T301" s="32" t="n">
        <f>860378</f>
        <v>860378.0</v>
      </c>
      <c r="U301" s="32" t="n">
        <f>385675</f>
        <v>385675.0</v>
      </c>
      <c r="V301" s="32" t="n">
        <f>2865190121</f>
        <v>2.865190121E9</v>
      </c>
      <c r="W301" s="32" t="n">
        <f>1283239700</f>
        <v>1.2832397E9</v>
      </c>
      <c r="X301" s="36" t="n">
        <f>18</f>
        <v>18.0</v>
      </c>
    </row>
    <row r="302">
      <c r="A302" s="27" t="s">
        <v>42</v>
      </c>
      <c r="B302" s="27" t="s">
        <v>949</v>
      </c>
      <c r="C302" s="27" t="s">
        <v>950</v>
      </c>
      <c r="D302" s="27" t="s">
        <v>951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932</f>
        <v>932.0</v>
      </c>
      <c r="L302" s="34" t="s">
        <v>48</v>
      </c>
      <c r="M302" s="33" t="n">
        <f>941</f>
        <v>941.0</v>
      </c>
      <c r="N302" s="34" t="s">
        <v>67</v>
      </c>
      <c r="O302" s="33" t="n">
        <f>880</f>
        <v>880.0</v>
      </c>
      <c r="P302" s="34" t="s">
        <v>104</v>
      </c>
      <c r="Q302" s="33" t="n">
        <f>900</f>
        <v>900.0</v>
      </c>
      <c r="R302" s="34" t="s">
        <v>49</v>
      </c>
      <c r="S302" s="35" t="n">
        <f>900.83</f>
        <v>900.83</v>
      </c>
      <c r="T302" s="32" t="n">
        <f>462932</f>
        <v>462932.0</v>
      </c>
      <c r="U302" s="32" t="n">
        <f>139533</f>
        <v>139533.0</v>
      </c>
      <c r="V302" s="32" t="n">
        <f>416730355</f>
        <v>4.16730355E8</v>
      </c>
      <c r="W302" s="32" t="n">
        <f>124563935</f>
        <v>1.24563935E8</v>
      </c>
      <c r="X302" s="36" t="n">
        <f>18</f>
        <v>18.0</v>
      </c>
    </row>
    <row r="303">
      <c r="A303" s="27" t="s">
        <v>42</v>
      </c>
      <c r="B303" s="27" t="s">
        <v>952</v>
      </c>
      <c r="C303" s="27" t="s">
        <v>953</v>
      </c>
      <c r="D303" s="27" t="s">
        <v>954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1061</f>
        <v>1061.0</v>
      </c>
      <c r="L303" s="34" t="s">
        <v>48</v>
      </c>
      <c r="M303" s="33" t="n">
        <f>1065</f>
        <v>1065.0</v>
      </c>
      <c r="N303" s="34" t="s">
        <v>87</v>
      </c>
      <c r="O303" s="33" t="n">
        <f>1009</f>
        <v>1009.0</v>
      </c>
      <c r="P303" s="34" t="s">
        <v>104</v>
      </c>
      <c r="Q303" s="33" t="n">
        <f>1026</f>
        <v>1026.0</v>
      </c>
      <c r="R303" s="34" t="s">
        <v>49</v>
      </c>
      <c r="S303" s="35" t="n">
        <f>1031.56</f>
        <v>1031.56</v>
      </c>
      <c r="T303" s="32" t="n">
        <f>122010</f>
        <v>122010.0</v>
      </c>
      <c r="U303" s="32" t="n">
        <f>2932</f>
        <v>2932.0</v>
      </c>
      <c r="V303" s="32" t="n">
        <f>126774670</f>
        <v>1.2677467E8</v>
      </c>
      <c r="W303" s="32" t="n">
        <f>2996825</f>
        <v>2996825.0</v>
      </c>
      <c r="X303" s="36" t="n">
        <f>18</f>
        <v>18.0</v>
      </c>
    </row>
    <row r="304">
      <c r="A304" s="27" t="s">
        <v>42</v>
      </c>
      <c r="B304" s="27" t="s">
        <v>955</v>
      </c>
      <c r="C304" s="27" t="s">
        <v>956</v>
      </c>
      <c r="D304" s="27" t="s">
        <v>957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506</f>
        <v>506.0</v>
      </c>
      <c r="L304" s="34" t="s">
        <v>67</v>
      </c>
      <c r="M304" s="33" t="n">
        <f>528</f>
        <v>528.0</v>
      </c>
      <c r="N304" s="34" t="s">
        <v>68</v>
      </c>
      <c r="O304" s="33" t="n">
        <f>498</f>
        <v>498.0</v>
      </c>
      <c r="P304" s="34" t="s">
        <v>67</v>
      </c>
      <c r="Q304" s="33" t="n">
        <f>526.3</f>
        <v>526.3</v>
      </c>
      <c r="R304" s="34" t="s">
        <v>49</v>
      </c>
      <c r="S304" s="35" t="n">
        <f>515.29</f>
        <v>515.29</v>
      </c>
      <c r="T304" s="32" t="n">
        <f>3170</f>
        <v>3170.0</v>
      </c>
      <c r="U304" s="32" t="str">
        <f>"－"</f>
        <v>－</v>
      </c>
      <c r="V304" s="32" t="n">
        <f>1636777</f>
        <v>1636777.0</v>
      </c>
      <c r="W304" s="32" t="str">
        <f>"－"</f>
        <v>－</v>
      </c>
      <c r="X304" s="36" t="n">
        <f>14</f>
        <v>14.0</v>
      </c>
    </row>
    <row r="305">
      <c r="A305" s="27" t="s">
        <v>42</v>
      </c>
      <c r="B305" s="27" t="s">
        <v>958</v>
      </c>
      <c r="C305" s="27" t="s">
        <v>959</v>
      </c>
      <c r="D305" s="27" t="s">
        <v>960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7398</f>
        <v>7398.0</v>
      </c>
      <c r="L305" s="34" t="s">
        <v>48</v>
      </c>
      <c r="M305" s="33" t="n">
        <f>8275</f>
        <v>8275.0</v>
      </c>
      <c r="N305" s="34" t="s">
        <v>49</v>
      </c>
      <c r="O305" s="33" t="n">
        <f>7392</f>
        <v>7392.0</v>
      </c>
      <c r="P305" s="34" t="s">
        <v>48</v>
      </c>
      <c r="Q305" s="33" t="n">
        <f>8250</f>
        <v>8250.0</v>
      </c>
      <c r="R305" s="34" t="s">
        <v>49</v>
      </c>
      <c r="S305" s="35" t="n">
        <f>7947.17</f>
        <v>7947.17</v>
      </c>
      <c r="T305" s="32" t="n">
        <f>540504</f>
        <v>540504.0</v>
      </c>
      <c r="U305" s="32" t="n">
        <f>726</f>
        <v>726.0</v>
      </c>
      <c r="V305" s="32" t="n">
        <f>4287039834</f>
        <v>4.287039834E9</v>
      </c>
      <c r="W305" s="32" t="n">
        <f>5740041</f>
        <v>5740041.0</v>
      </c>
      <c r="X305" s="36" t="n">
        <f>18</f>
        <v>18.0</v>
      </c>
    </row>
    <row r="306">
      <c r="A306" s="27" t="s">
        <v>42</v>
      </c>
      <c r="B306" s="27" t="s">
        <v>961</v>
      </c>
      <c r="C306" s="27" t="s">
        <v>962</v>
      </c>
      <c r="D306" s="27" t="s">
        <v>963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4032</f>
        <v>4032.0</v>
      </c>
      <c r="L306" s="34" t="s">
        <v>48</v>
      </c>
      <c r="M306" s="33" t="n">
        <f>4440</f>
        <v>4440.0</v>
      </c>
      <c r="N306" s="34" t="s">
        <v>49</v>
      </c>
      <c r="O306" s="33" t="n">
        <f>4031</f>
        <v>4031.0</v>
      </c>
      <c r="P306" s="34" t="s">
        <v>48</v>
      </c>
      <c r="Q306" s="33" t="n">
        <f>4439</f>
        <v>4439.0</v>
      </c>
      <c r="R306" s="34" t="s">
        <v>49</v>
      </c>
      <c r="S306" s="35" t="n">
        <f>4291</f>
        <v>4291.0</v>
      </c>
      <c r="T306" s="32" t="n">
        <f>4167236</f>
        <v>4167236.0</v>
      </c>
      <c r="U306" s="32" t="n">
        <f>3375154</f>
        <v>3375154.0</v>
      </c>
      <c r="V306" s="32" t="n">
        <f>17826715668</f>
        <v>1.7826715668E10</v>
      </c>
      <c r="W306" s="32" t="n">
        <f>14522196899</f>
        <v>1.4522196899E10</v>
      </c>
      <c r="X306" s="36" t="n">
        <f>18</f>
        <v>18.0</v>
      </c>
    </row>
    <row r="307">
      <c r="A307" s="27" t="s">
        <v>42</v>
      </c>
      <c r="B307" s="27" t="s">
        <v>964</v>
      </c>
      <c r="C307" s="27" t="s">
        <v>965</v>
      </c>
      <c r="D307" s="27" t="s">
        <v>966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3220</f>
        <v>3220.0</v>
      </c>
      <c r="L307" s="34" t="s">
        <v>48</v>
      </c>
      <c r="M307" s="33" t="n">
        <f>3450</f>
        <v>3450.0</v>
      </c>
      <c r="N307" s="34" t="s">
        <v>59</v>
      </c>
      <c r="O307" s="33" t="n">
        <f>3155</f>
        <v>3155.0</v>
      </c>
      <c r="P307" s="34" t="s">
        <v>48</v>
      </c>
      <c r="Q307" s="33" t="n">
        <f>3423</f>
        <v>3423.0</v>
      </c>
      <c r="R307" s="34" t="s">
        <v>49</v>
      </c>
      <c r="S307" s="35" t="n">
        <f>3311.39</f>
        <v>3311.39</v>
      </c>
      <c r="T307" s="32" t="n">
        <f>6000</f>
        <v>6000.0</v>
      </c>
      <c r="U307" s="32" t="n">
        <f>1</f>
        <v>1.0</v>
      </c>
      <c r="V307" s="32" t="n">
        <f>20011246</f>
        <v>2.0011246E7</v>
      </c>
      <c r="W307" s="32" t="n">
        <f>3389</f>
        <v>3389.0</v>
      </c>
      <c r="X307" s="36" t="n">
        <f>18</f>
        <v>18.0</v>
      </c>
    </row>
    <row r="308">
      <c r="A308" s="27" t="s">
        <v>42</v>
      </c>
      <c r="B308" s="27" t="s">
        <v>967</v>
      </c>
      <c r="C308" s="27" t="s">
        <v>968</v>
      </c>
      <c r="D308" s="27" t="s">
        <v>969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2190</f>
        <v>2190.0</v>
      </c>
      <c r="L308" s="34" t="s">
        <v>48</v>
      </c>
      <c r="M308" s="33" t="n">
        <f>2201</f>
        <v>2201.0</v>
      </c>
      <c r="N308" s="34" t="s">
        <v>67</v>
      </c>
      <c r="O308" s="33" t="n">
        <f>2070</f>
        <v>2070.0</v>
      </c>
      <c r="P308" s="34" t="s">
        <v>204</v>
      </c>
      <c r="Q308" s="33" t="n">
        <f>2112</f>
        <v>2112.0</v>
      </c>
      <c r="R308" s="34" t="s">
        <v>49</v>
      </c>
      <c r="S308" s="35" t="n">
        <f>2116.83</f>
        <v>2116.83</v>
      </c>
      <c r="T308" s="32" t="n">
        <f>16777</f>
        <v>16777.0</v>
      </c>
      <c r="U308" s="32" t="n">
        <f>1</f>
        <v>1.0</v>
      </c>
      <c r="V308" s="32" t="n">
        <f>35958652</f>
        <v>3.5958652E7</v>
      </c>
      <c r="W308" s="32" t="n">
        <f>2120</f>
        <v>2120.0</v>
      </c>
      <c r="X308" s="36" t="n">
        <f>18</f>
        <v>18.0</v>
      </c>
    </row>
    <row r="309">
      <c r="A309" s="27" t="s">
        <v>42</v>
      </c>
      <c r="B309" s="27" t="s">
        <v>970</v>
      </c>
      <c r="C309" s="27" t="s">
        <v>971</v>
      </c>
      <c r="D309" s="27" t="s">
        <v>972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10.0</v>
      </c>
      <c r="K309" s="33" t="n">
        <f>367.4</f>
        <v>367.4</v>
      </c>
      <c r="L309" s="34" t="s">
        <v>48</v>
      </c>
      <c r="M309" s="33" t="n">
        <f>370.5</f>
        <v>370.5</v>
      </c>
      <c r="N309" s="34" t="s">
        <v>49</v>
      </c>
      <c r="O309" s="33" t="n">
        <f>362.5</f>
        <v>362.5</v>
      </c>
      <c r="P309" s="34" t="s">
        <v>67</v>
      </c>
      <c r="Q309" s="33" t="n">
        <f>369.9</f>
        <v>369.9</v>
      </c>
      <c r="R309" s="34" t="s">
        <v>49</v>
      </c>
      <c r="S309" s="35" t="n">
        <f>367.42</f>
        <v>367.42</v>
      </c>
      <c r="T309" s="32" t="n">
        <f>9540540</f>
        <v>9540540.0</v>
      </c>
      <c r="U309" s="32" t="n">
        <f>4825440</f>
        <v>4825440.0</v>
      </c>
      <c r="V309" s="32" t="n">
        <f>3495578324</f>
        <v>3.495578324E9</v>
      </c>
      <c r="W309" s="32" t="n">
        <f>1768963648</f>
        <v>1.768963648E9</v>
      </c>
      <c r="X309" s="36" t="n">
        <f>18</f>
        <v>18.0</v>
      </c>
    </row>
    <row r="310">
      <c r="A310" s="27" t="s">
        <v>42</v>
      </c>
      <c r="B310" s="27" t="s">
        <v>973</v>
      </c>
      <c r="C310" s="27" t="s">
        <v>974</v>
      </c>
      <c r="D310" s="27" t="s">
        <v>975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1045</f>
        <v>1045.0</v>
      </c>
      <c r="L310" s="34" t="s">
        <v>48</v>
      </c>
      <c r="M310" s="33" t="n">
        <f>1053</f>
        <v>1053.0</v>
      </c>
      <c r="N310" s="34" t="s">
        <v>67</v>
      </c>
      <c r="O310" s="33" t="n">
        <f>1009</f>
        <v>1009.0</v>
      </c>
      <c r="P310" s="34" t="s">
        <v>69</v>
      </c>
      <c r="Q310" s="33" t="n">
        <f>1045</f>
        <v>1045.0</v>
      </c>
      <c r="R310" s="34" t="s">
        <v>49</v>
      </c>
      <c r="S310" s="35" t="n">
        <f>1033.89</f>
        <v>1033.89</v>
      </c>
      <c r="T310" s="32" t="n">
        <f>12551699</f>
        <v>1.2551699E7</v>
      </c>
      <c r="U310" s="32" t="n">
        <f>3458</f>
        <v>3458.0</v>
      </c>
      <c r="V310" s="32" t="n">
        <f>12989160663</f>
        <v>1.2989160663E10</v>
      </c>
      <c r="W310" s="32" t="n">
        <f>3606550</f>
        <v>3606550.0</v>
      </c>
      <c r="X310" s="36" t="n">
        <f>18</f>
        <v>18.0</v>
      </c>
    </row>
    <row r="311">
      <c r="A311" s="27" t="s">
        <v>42</v>
      </c>
      <c r="B311" s="27" t="s">
        <v>976</v>
      </c>
      <c r="C311" s="27" t="s">
        <v>977</v>
      </c>
      <c r="D311" s="27" t="s">
        <v>978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1724</f>
        <v>1724.0</v>
      </c>
      <c r="L311" s="34" t="s">
        <v>48</v>
      </c>
      <c r="M311" s="33" t="n">
        <f>1745</f>
        <v>1745.0</v>
      </c>
      <c r="N311" s="34" t="s">
        <v>67</v>
      </c>
      <c r="O311" s="33" t="n">
        <f>1695</f>
        <v>1695.0</v>
      </c>
      <c r="P311" s="34" t="s">
        <v>69</v>
      </c>
      <c r="Q311" s="33" t="n">
        <f>1733</f>
        <v>1733.0</v>
      </c>
      <c r="R311" s="34" t="s">
        <v>49</v>
      </c>
      <c r="S311" s="35" t="n">
        <f>1723.11</f>
        <v>1723.11</v>
      </c>
      <c r="T311" s="32" t="n">
        <f>54360</f>
        <v>54360.0</v>
      </c>
      <c r="U311" s="32" t="n">
        <f>17</f>
        <v>17.0</v>
      </c>
      <c r="V311" s="32" t="n">
        <f>93730894</f>
        <v>9.3730894E7</v>
      </c>
      <c r="W311" s="32" t="n">
        <f>29410</f>
        <v>29410.0</v>
      </c>
      <c r="X311" s="36" t="n">
        <f>18</f>
        <v>18.0</v>
      </c>
    </row>
    <row r="312">
      <c r="A312" s="27" t="s">
        <v>42</v>
      </c>
      <c r="B312" s="27" t="s">
        <v>979</v>
      </c>
      <c r="C312" s="27" t="s">
        <v>980</v>
      </c>
      <c r="D312" s="27" t="s">
        <v>981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1941</f>
        <v>1941.0</v>
      </c>
      <c r="L312" s="34" t="s">
        <v>48</v>
      </c>
      <c r="M312" s="33" t="n">
        <f>1961</f>
        <v>1961.0</v>
      </c>
      <c r="N312" s="34" t="s">
        <v>60</v>
      </c>
      <c r="O312" s="33" t="n">
        <f>1920</f>
        <v>1920.0</v>
      </c>
      <c r="P312" s="34" t="s">
        <v>69</v>
      </c>
      <c r="Q312" s="33" t="n">
        <f>1946</f>
        <v>1946.0</v>
      </c>
      <c r="R312" s="34" t="s">
        <v>49</v>
      </c>
      <c r="S312" s="35" t="n">
        <f>1939.83</f>
        <v>1939.83</v>
      </c>
      <c r="T312" s="32" t="n">
        <f>329915</f>
        <v>329915.0</v>
      </c>
      <c r="U312" s="32" t="n">
        <f>309005</f>
        <v>309005.0</v>
      </c>
      <c r="V312" s="32" t="n">
        <f>639607489</f>
        <v>6.39607489E8</v>
      </c>
      <c r="W312" s="32" t="n">
        <f>599012385</f>
        <v>5.99012385E8</v>
      </c>
      <c r="X312" s="36" t="n">
        <f>18</f>
        <v>18.0</v>
      </c>
    </row>
    <row r="313">
      <c r="A313" s="27" t="s">
        <v>42</v>
      </c>
      <c r="B313" s="27" t="s">
        <v>982</v>
      </c>
      <c r="C313" s="27" t="s">
        <v>983</v>
      </c>
      <c r="D313" s="27" t="s">
        <v>984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6011</f>
        <v>6011.0</v>
      </c>
      <c r="L313" s="34" t="s">
        <v>48</v>
      </c>
      <c r="M313" s="33" t="n">
        <f>6684</f>
        <v>6684.0</v>
      </c>
      <c r="N313" s="34" t="s">
        <v>49</v>
      </c>
      <c r="O313" s="33" t="n">
        <f>5965</f>
        <v>5965.0</v>
      </c>
      <c r="P313" s="34" t="s">
        <v>69</v>
      </c>
      <c r="Q313" s="33" t="n">
        <f>6661</f>
        <v>6661.0</v>
      </c>
      <c r="R313" s="34" t="s">
        <v>49</v>
      </c>
      <c r="S313" s="35" t="n">
        <f>6319.67</f>
        <v>6319.67</v>
      </c>
      <c r="T313" s="32" t="n">
        <f>606115</f>
        <v>606115.0</v>
      </c>
      <c r="U313" s="32" t="n">
        <f>164692</f>
        <v>164692.0</v>
      </c>
      <c r="V313" s="32" t="n">
        <f>3861919594</f>
        <v>3.861919594E9</v>
      </c>
      <c r="W313" s="32" t="n">
        <f>1038567240</f>
        <v>1.03856724E9</v>
      </c>
      <c r="X313" s="36" t="n">
        <f>18</f>
        <v>18.0</v>
      </c>
    </row>
    <row r="314">
      <c r="A314" s="27" t="s">
        <v>42</v>
      </c>
      <c r="B314" s="27" t="s">
        <v>985</v>
      </c>
      <c r="C314" s="27" t="s">
        <v>986</v>
      </c>
      <c r="D314" s="27" t="s">
        <v>987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3740</f>
        <v>3740.0</v>
      </c>
      <c r="L314" s="34" t="s">
        <v>48</v>
      </c>
      <c r="M314" s="33" t="n">
        <f>3995</f>
        <v>3995.0</v>
      </c>
      <c r="N314" s="34" t="s">
        <v>49</v>
      </c>
      <c r="O314" s="33" t="n">
        <f>3700</f>
        <v>3700.0</v>
      </c>
      <c r="P314" s="34" t="s">
        <v>48</v>
      </c>
      <c r="Q314" s="33" t="n">
        <f>3980</f>
        <v>3980.0</v>
      </c>
      <c r="R314" s="34" t="s">
        <v>49</v>
      </c>
      <c r="S314" s="35" t="n">
        <f>3881.83</f>
        <v>3881.83</v>
      </c>
      <c r="T314" s="32" t="n">
        <f>555285</f>
        <v>555285.0</v>
      </c>
      <c r="U314" s="32" t="n">
        <f>363841</f>
        <v>363841.0</v>
      </c>
      <c r="V314" s="32" t="n">
        <f>2137097844</f>
        <v>2.137097844E9</v>
      </c>
      <c r="W314" s="32" t="n">
        <f>1397706092</f>
        <v>1.397706092E9</v>
      </c>
      <c r="X314" s="36" t="n">
        <f>18</f>
        <v>18.0</v>
      </c>
    </row>
    <row r="315">
      <c r="A315" s="27" t="s">
        <v>42</v>
      </c>
      <c r="B315" s="27" t="s">
        <v>988</v>
      </c>
      <c r="C315" s="27" t="s">
        <v>989</v>
      </c>
      <c r="D315" s="27" t="s">
        <v>990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2707</f>
        <v>2707.0</v>
      </c>
      <c r="L315" s="34" t="s">
        <v>48</v>
      </c>
      <c r="M315" s="33" t="n">
        <f>2980</f>
        <v>2980.0</v>
      </c>
      <c r="N315" s="34" t="s">
        <v>68</v>
      </c>
      <c r="O315" s="33" t="n">
        <f>2702</f>
        <v>2702.0</v>
      </c>
      <c r="P315" s="34" t="s">
        <v>48</v>
      </c>
      <c r="Q315" s="33" t="n">
        <f>2935</f>
        <v>2935.0</v>
      </c>
      <c r="R315" s="34" t="s">
        <v>49</v>
      </c>
      <c r="S315" s="35" t="n">
        <f>2833.94</f>
        <v>2833.94</v>
      </c>
      <c r="T315" s="32" t="n">
        <f>43215</f>
        <v>43215.0</v>
      </c>
      <c r="U315" s="32" t="n">
        <f>20</f>
        <v>20.0</v>
      </c>
      <c r="V315" s="32" t="n">
        <f>121601679</f>
        <v>1.21601679E8</v>
      </c>
      <c r="W315" s="32" t="n">
        <f>55628</f>
        <v>55628.0</v>
      </c>
      <c r="X315" s="36" t="n">
        <f>18</f>
        <v>18.0</v>
      </c>
    </row>
    <row r="316">
      <c r="A316" s="27" t="s">
        <v>42</v>
      </c>
      <c r="B316" s="27" t="s">
        <v>991</v>
      </c>
      <c r="C316" s="27" t="s">
        <v>992</v>
      </c>
      <c r="D316" s="27" t="s">
        <v>993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1369</f>
        <v>1369.0</v>
      </c>
      <c r="L316" s="34" t="s">
        <v>48</v>
      </c>
      <c r="M316" s="33" t="n">
        <f>1464</f>
        <v>1464.0</v>
      </c>
      <c r="N316" s="34" t="s">
        <v>60</v>
      </c>
      <c r="O316" s="33" t="n">
        <f>1365</f>
        <v>1365.0</v>
      </c>
      <c r="P316" s="34" t="s">
        <v>48</v>
      </c>
      <c r="Q316" s="33" t="n">
        <f>1430</f>
        <v>1430.0</v>
      </c>
      <c r="R316" s="34" t="s">
        <v>49</v>
      </c>
      <c r="S316" s="35" t="n">
        <f>1413.22</f>
        <v>1413.22</v>
      </c>
      <c r="T316" s="32" t="n">
        <f>9281</f>
        <v>9281.0</v>
      </c>
      <c r="U316" s="32" t="str">
        <f>"－"</f>
        <v>－</v>
      </c>
      <c r="V316" s="32" t="n">
        <f>13102460</f>
        <v>1.310246E7</v>
      </c>
      <c r="W316" s="32" t="str">
        <f>"－"</f>
        <v>－</v>
      </c>
      <c r="X316" s="36" t="n">
        <f>18</f>
        <v>18.0</v>
      </c>
    </row>
    <row r="317">
      <c r="A317" s="27" t="s">
        <v>42</v>
      </c>
      <c r="B317" s="27" t="s">
        <v>994</v>
      </c>
      <c r="C317" s="27" t="s">
        <v>995</v>
      </c>
      <c r="D317" s="27" t="s">
        <v>996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3650</f>
        <v>3650.0</v>
      </c>
      <c r="L317" s="34" t="s">
        <v>48</v>
      </c>
      <c r="M317" s="33" t="n">
        <f>4350</f>
        <v>4350.0</v>
      </c>
      <c r="N317" s="34" t="s">
        <v>104</v>
      </c>
      <c r="O317" s="33" t="n">
        <f>3490</f>
        <v>3490.0</v>
      </c>
      <c r="P317" s="34" t="s">
        <v>48</v>
      </c>
      <c r="Q317" s="33" t="n">
        <f>3950</f>
        <v>3950.0</v>
      </c>
      <c r="R317" s="34" t="s">
        <v>49</v>
      </c>
      <c r="S317" s="35" t="n">
        <f>3946.72</f>
        <v>3946.72</v>
      </c>
      <c r="T317" s="32" t="n">
        <f>249666</f>
        <v>249666.0</v>
      </c>
      <c r="U317" s="32" t="str">
        <f>"－"</f>
        <v>－</v>
      </c>
      <c r="V317" s="32" t="n">
        <f>992981280</f>
        <v>9.9298128E8</v>
      </c>
      <c r="W317" s="32" t="str">
        <f>"－"</f>
        <v>－</v>
      </c>
      <c r="X317" s="36" t="n">
        <f>18</f>
        <v>18.0</v>
      </c>
    </row>
    <row r="318">
      <c r="A318" s="27" t="s">
        <v>42</v>
      </c>
      <c r="B318" s="27" t="s">
        <v>997</v>
      </c>
      <c r="C318" s="27" t="s">
        <v>998</v>
      </c>
      <c r="D318" s="27" t="s">
        <v>999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3732</f>
        <v>3732.0</v>
      </c>
      <c r="L318" s="34" t="s">
        <v>48</v>
      </c>
      <c r="M318" s="33" t="n">
        <f>3900</f>
        <v>3900.0</v>
      </c>
      <c r="N318" s="34" t="s">
        <v>59</v>
      </c>
      <c r="O318" s="33" t="n">
        <f>3612</f>
        <v>3612.0</v>
      </c>
      <c r="P318" s="34" t="s">
        <v>67</v>
      </c>
      <c r="Q318" s="33" t="n">
        <f>3782</f>
        <v>3782.0</v>
      </c>
      <c r="R318" s="34" t="s">
        <v>49</v>
      </c>
      <c r="S318" s="35" t="n">
        <f>3748.17</f>
        <v>3748.17</v>
      </c>
      <c r="T318" s="32" t="n">
        <f>40089</f>
        <v>40089.0</v>
      </c>
      <c r="U318" s="32" t="str">
        <f>"－"</f>
        <v>－</v>
      </c>
      <c r="V318" s="32" t="n">
        <f>150350707</f>
        <v>1.50350707E8</v>
      </c>
      <c r="W318" s="32" t="str">
        <f>"－"</f>
        <v>－</v>
      </c>
      <c r="X318" s="36" t="n">
        <f>18</f>
        <v>18.0</v>
      </c>
    </row>
    <row r="319">
      <c r="A319" s="27" t="s">
        <v>42</v>
      </c>
      <c r="B319" s="27" t="s">
        <v>1000</v>
      </c>
      <c r="C319" s="27" t="s">
        <v>1001</v>
      </c>
      <c r="D319" s="27" t="s">
        <v>1002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15270</f>
        <v>15270.0</v>
      </c>
      <c r="L319" s="34" t="s">
        <v>48</v>
      </c>
      <c r="M319" s="33" t="n">
        <f>16025</f>
        <v>16025.0</v>
      </c>
      <c r="N319" s="34" t="s">
        <v>49</v>
      </c>
      <c r="O319" s="33" t="n">
        <f>15270</f>
        <v>15270.0</v>
      </c>
      <c r="P319" s="34" t="s">
        <v>48</v>
      </c>
      <c r="Q319" s="33" t="n">
        <f>16000</f>
        <v>16000.0</v>
      </c>
      <c r="R319" s="34" t="s">
        <v>49</v>
      </c>
      <c r="S319" s="35" t="n">
        <f>15723.33</f>
        <v>15723.33</v>
      </c>
      <c r="T319" s="32" t="n">
        <f>1348352</f>
        <v>1348352.0</v>
      </c>
      <c r="U319" s="32" t="n">
        <f>1287929</f>
        <v>1287929.0</v>
      </c>
      <c r="V319" s="32" t="n">
        <f>21166186342</f>
        <v>2.1166186342E10</v>
      </c>
      <c r="W319" s="32" t="n">
        <f>20221817302</f>
        <v>2.0221817302E10</v>
      </c>
      <c r="X319" s="36" t="n">
        <f>18</f>
        <v>18.0</v>
      </c>
    </row>
    <row r="320">
      <c r="A320" s="27" t="s">
        <v>42</v>
      </c>
      <c r="B320" s="27" t="s">
        <v>1003</v>
      </c>
      <c r="C320" s="27" t="s">
        <v>1004</v>
      </c>
      <c r="D320" s="27" t="s">
        <v>1005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30870</f>
        <v>30870.0</v>
      </c>
      <c r="L320" s="34" t="s">
        <v>48</v>
      </c>
      <c r="M320" s="33" t="n">
        <f>34560</f>
        <v>34560.0</v>
      </c>
      <c r="N320" s="34" t="s">
        <v>49</v>
      </c>
      <c r="O320" s="33" t="n">
        <f>30840</f>
        <v>30840.0</v>
      </c>
      <c r="P320" s="34" t="s">
        <v>48</v>
      </c>
      <c r="Q320" s="33" t="n">
        <f>34560</f>
        <v>34560.0</v>
      </c>
      <c r="R320" s="34" t="s">
        <v>49</v>
      </c>
      <c r="S320" s="35" t="n">
        <f>33171.11</f>
        <v>33171.11</v>
      </c>
      <c r="T320" s="32" t="n">
        <f>559984</f>
        <v>559984.0</v>
      </c>
      <c r="U320" s="32" t="n">
        <f>35605</f>
        <v>35605.0</v>
      </c>
      <c r="V320" s="32" t="n">
        <f>18738596212</f>
        <v>1.8738596212E10</v>
      </c>
      <c r="W320" s="32" t="n">
        <f>1148297742</f>
        <v>1.148297742E9</v>
      </c>
      <c r="X320" s="36" t="n">
        <f>18</f>
        <v>18.0</v>
      </c>
    </row>
    <row r="321">
      <c r="A321" s="27" t="s">
        <v>42</v>
      </c>
      <c r="B321" s="27" t="s">
        <v>1006</v>
      </c>
      <c r="C321" s="27" t="s">
        <v>1007</v>
      </c>
      <c r="D321" s="27" t="s">
        <v>1008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16825</f>
        <v>16825.0</v>
      </c>
      <c r="L321" s="34" t="s">
        <v>48</v>
      </c>
      <c r="M321" s="33" t="n">
        <f>18550</f>
        <v>18550.0</v>
      </c>
      <c r="N321" s="34" t="s">
        <v>49</v>
      </c>
      <c r="O321" s="33" t="n">
        <f>16550</f>
        <v>16550.0</v>
      </c>
      <c r="P321" s="34" t="s">
        <v>48</v>
      </c>
      <c r="Q321" s="33" t="n">
        <f>18550</f>
        <v>18550.0</v>
      </c>
      <c r="R321" s="34" t="s">
        <v>49</v>
      </c>
      <c r="S321" s="35" t="n">
        <f>17932.22</f>
        <v>17932.22</v>
      </c>
      <c r="T321" s="32" t="n">
        <f>287173</f>
        <v>287173.0</v>
      </c>
      <c r="U321" s="32" t="n">
        <f>116521</f>
        <v>116521.0</v>
      </c>
      <c r="V321" s="32" t="n">
        <f>5099411668</f>
        <v>5.099411668E9</v>
      </c>
      <c r="W321" s="32" t="n">
        <f>2105115238</f>
        <v>2.105115238E9</v>
      </c>
      <c r="X321" s="36" t="n">
        <f>18</f>
        <v>18.0</v>
      </c>
    </row>
    <row r="322">
      <c r="A322" s="27" t="s">
        <v>42</v>
      </c>
      <c r="B322" s="27" t="s">
        <v>1009</v>
      </c>
      <c r="C322" s="27" t="s">
        <v>1010</v>
      </c>
      <c r="D322" s="27" t="s">
        <v>1011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525.6</f>
        <v>525.6</v>
      </c>
      <c r="L322" s="34" t="s">
        <v>48</v>
      </c>
      <c r="M322" s="33" t="n">
        <f>556.5</f>
        <v>556.5</v>
      </c>
      <c r="N322" s="34" t="s">
        <v>49</v>
      </c>
      <c r="O322" s="33" t="n">
        <f>522.9</f>
        <v>522.9</v>
      </c>
      <c r="P322" s="34" t="s">
        <v>48</v>
      </c>
      <c r="Q322" s="33" t="n">
        <f>556.1</f>
        <v>556.1</v>
      </c>
      <c r="R322" s="34" t="s">
        <v>49</v>
      </c>
      <c r="S322" s="35" t="n">
        <f>542.71</f>
        <v>542.71</v>
      </c>
      <c r="T322" s="32" t="n">
        <f>8131120</f>
        <v>8131120.0</v>
      </c>
      <c r="U322" s="32" t="n">
        <f>4971410</f>
        <v>4971410.0</v>
      </c>
      <c r="V322" s="32" t="n">
        <f>4374108842</f>
        <v>4.374108842E9</v>
      </c>
      <c r="W322" s="32" t="n">
        <f>2665176317</f>
        <v>2.665176317E9</v>
      </c>
      <c r="X322" s="36" t="n">
        <f>18</f>
        <v>18.0</v>
      </c>
    </row>
    <row r="323">
      <c r="A323" s="27" t="s">
        <v>42</v>
      </c>
      <c r="B323" s="27" t="s">
        <v>1012</v>
      </c>
      <c r="C323" s="27" t="s">
        <v>1013</v>
      </c>
      <c r="D323" s="27" t="s">
        <v>1014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2998</f>
        <v>2998.0</v>
      </c>
      <c r="L323" s="34" t="s">
        <v>48</v>
      </c>
      <c r="M323" s="33" t="n">
        <f>3149</f>
        <v>3149.0</v>
      </c>
      <c r="N323" s="34" t="s">
        <v>104</v>
      </c>
      <c r="O323" s="33" t="n">
        <f>2998</f>
        <v>2998.0</v>
      </c>
      <c r="P323" s="34" t="s">
        <v>48</v>
      </c>
      <c r="Q323" s="33" t="n">
        <f>3148</f>
        <v>3148.0</v>
      </c>
      <c r="R323" s="34" t="s">
        <v>49</v>
      </c>
      <c r="S323" s="35" t="n">
        <f>3088.56</f>
        <v>3088.56</v>
      </c>
      <c r="T323" s="32" t="n">
        <f>1797662</f>
        <v>1797662.0</v>
      </c>
      <c r="U323" s="32" t="n">
        <f>1295315</f>
        <v>1295315.0</v>
      </c>
      <c r="V323" s="32" t="n">
        <f>5576308536</f>
        <v>5.576308536E9</v>
      </c>
      <c r="W323" s="32" t="n">
        <f>4025248354</f>
        <v>4.025248354E9</v>
      </c>
      <c r="X323" s="36" t="n">
        <f>18</f>
        <v>18.0</v>
      </c>
    </row>
    <row r="324">
      <c r="A324" s="27" t="s">
        <v>42</v>
      </c>
      <c r="B324" s="27" t="s">
        <v>1015</v>
      </c>
      <c r="C324" s="27" t="s">
        <v>1016</v>
      </c>
      <c r="D324" s="27" t="s">
        <v>1017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4562</f>
        <v>4562.0</v>
      </c>
      <c r="L324" s="34" t="s">
        <v>48</v>
      </c>
      <c r="M324" s="33" t="n">
        <f>4846</f>
        <v>4846.0</v>
      </c>
      <c r="N324" s="34" t="s">
        <v>70</v>
      </c>
      <c r="O324" s="33" t="n">
        <f>4526</f>
        <v>4526.0</v>
      </c>
      <c r="P324" s="34" t="s">
        <v>48</v>
      </c>
      <c r="Q324" s="33" t="n">
        <f>4820</f>
        <v>4820.0</v>
      </c>
      <c r="R324" s="34" t="s">
        <v>49</v>
      </c>
      <c r="S324" s="35" t="n">
        <f>4680.06</f>
        <v>4680.06</v>
      </c>
      <c r="T324" s="32" t="n">
        <f>3689</f>
        <v>3689.0</v>
      </c>
      <c r="U324" s="32" t="n">
        <f>50</f>
        <v>50.0</v>
      </c>
      <c r="V324" s="32" t="n">
        <f>17228074</f>
        <v>1.7228074E7</v>
      </c>
      <c r="W324" s="32" t="n">
        <f>238550</f>
        <v>238550.0</v>
      </c>
      <c r="X324" s="36" t="n">
        <f>18</f>
        <v>18.0</v>
      </c>
    </row>
    <row r="325">
      <c r="A325" s="27" t="s">
        <v>42</v>
      </c>
      <c r="B325" s="27" t="s">
        <v>1018</v>
      </c>
      <c r="C325" s="27" t="s">
        <v>1019</v>
      </c>
      <c r="D325" s="27" t="s">
        <v>1020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2572</f>
        <v>2572.0</v>
      </c>
      <c r="L325" s="34" t="s">
        <v>48</v>
      </c>
      <c r="M325" s="33" t="n">
        <f>3178</f>
        <v>3178.0</v>
      </c>
      <c r="N325" s="34" t="s">
        <v>49</v>
      </c>
      <c r="O325" s="33" t="n">
        <f>2506</f>
        <v>2506.0</v>
      </c>
      <c r="P325" s="34" t="s">
        <v>48</v>
      </c>
      <c r="Q325" s="33" t="n">
        <f>3145</f>
        <v>3145.0</v>
      </c>
      <c r="R325" s="34" t="s">
        <v>49</v>
      </c>
      <c r="S325" s="35" t="n">
        <f>2817.11</f>
        <v>2817.11</v>
      </c>
      <c r="T325" s="32" t="n">
        <f>82327</f>
        <v>82327.0</v>
      </c>
      <c r="U325" s="32" t="n">
        <f>340</f>
        <v>340.0</v>
      </c>
      <c r="V325" s="32" t="n">
        <f>239064681</f>
        <v>2.39064681E8</v>
      </c>
      <c r="W325" s="32" t="n">
        <f>1049336</f>
        <v>1049336.0</v>
      </c>
      <c r="X325" s="36" t="n">
        <f>18</f>
        <v>18.0</v>
      </c>
    </row>
    <row r="326">
      <c r="A326" s="27" t="s">
        <v>42</v>
      </c>
      <c r="B326" s="27" t="s">
        <v>1021</v>
      </c>
      <c r="C326" s="27" t="s">
        <v>1022</v>
      </c>
      <c r="D326" s="27" t="s">
        <v>1023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2590</f>
        <v>2590.0</v>
      </c>
      <c r="L326" s="34" t="s">
        <v>48</v>
      </c>
      <c r="M326" s="33" t="n">
        <f>3010</f>
        <v>3010.0</v>
      </c>
      <c r="N326" s="34" t="s">
        <v>204</v>
      </c>
      <c r="O326" s="33" t="n">
        <f>2570</f>
        <v>2570.0</v>
      </c>
      <c r="P326" s="34" t="s">
        <v>48</v>
      </c>
      <c r="Q326" s="33" t="n">
        <f>2895</f>
        <v>2895.0</v>
      </c>
      <c r="R326" s="34" t="s">
        <v>49</v>
      </c>
      <c r="S326" s="35" t="n">
        <f>2816.06</f>
        <v>2816.06</v>
      </c>
      <c r="T326" s="32" t="n">
        <f>1958673</f>
        <v>1958673.0</v>
      </c>
      <c r="U326" s="32" t="n">
        <f>212239</f>
        <v>212239.0</v>
      </c>
      <c r="V326" s="32" t="n">
        <f>5567399332</f>
        <v>5.567399332E9</v>
      </c>
      <c r="W326" s="32" t="n">
        <f>610825660</f>
        <v>6.1082566E8</v>
      </c>
      <c r="X326" s="36" t="n">
        <f>18</f>
        <v>18.0</v>
      </c>
    </row>
    <row r="327">
      <c r="A327" s="27" t="s">
        <v>42</v>
      </c>
      <c r="B327" s="27" t="s">
        <v>1024</v>
      </c>
      <c r="C327" s="27" t="s">
        <v>1025</v>
      </c>
      <c r="D327" s="27" t="s">
        <v>1026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1634</f>
        <v>1634.0</v>
      </c>
      <c r="L327" s="34" t="s">
        <v>48</v>
      </c>
      <c r="M327" s="33" t="n">
        <f>1702</f>
        <v>1702.0</v>
      </c>
      <c r="N327" s="34" t="s">
        <v>49</v>
      </c>
      <c r="O327" s="33" t="n">
        <f>1608</f>
        <v>1608.0</v>
      </c>
      <c r="P327" s="34" t="s">
        <v>67</v>
      </c>
      <c r="Q327" s="33" t="n">
        <f>1694</f>
        <v>1694.0</v>
      </c>
      <c r="R327" s="34" t="s">
        <v>49</v>
      </c>
      <c r="S327" s="35" t="n">
        <f>1654.44</f>
        <v>1654.44</v>
      </c>
      <c r="T327" s="32" t="n">
        <f>15426</f>
        <v>15426.0</v>
      </c>
      <c r="U327" s="32" t="n">
        <f>1</f>
        <v>1.0</v>
      </c>
      <c r="V327" s="32" t="n">
        <f>25335418</f>
        <v>2.5335418E7</v>
      </c>
      <c r="W327" s="32" t="n">
        <f>1623</f>
        <v>1623.0</v>
      </c>
      <c r="X327" s="36" t="n">
        <f>18</f>
        <v>18.0</v>
      </c>
    </row>
    <row r="328">
      <c r="A328" s="27" t="s">
        <v>42</v>
      </c>
      <c r="B328" s="27" t="s">
        <v>1027</v>
      </c>
      <c r="C328" s="27" t="s">
        <v>1028</v>
      </c>
      <c r="D328" s="27" t="s">
        <v>1029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3610</f>
        <v>3610.0</v>
      </c>
      <c r="L328" s="34" t="s">
        <v>48</v>
      </c>
      <c r="M328" s="33" t="n">
        <f>3789</f>
        <v>3789.0</v>
      </c>
      <c r="N328" s="34" t="s">
        <v>69</v>
      </c>
      <c r="O328" s="33" t="n">
        <f>3535</f>
        <v>3535.0</v>
      </c>
      <c r="P328" s="34" t="s">
        <v>70</v>
      </c>
      <c r="Q328" s="33" t="n">
        <f>3566</f>
        <v>3566.0</v>
      </c>
      <c r="R328" s="34" t="s">
        <v>49</v>
      </c>
      <c r="S328" s="35" t="n">
        <f>3634.06</f>
        <v>3634.06</v>
      </c>
      <c r="T328" s="32" t="n">
        <f>418631</f>
        <v>418631.0</v>
      </c>
      <c r="U328" s="32" t="n">
        <f>95360</f>
        <v>95360.0</v>
      </c>
      <c r="V328" s="32" t="n">
        <f>1517947608</f>
        <v>1.517947608E9</v>
      </c>
      <c r="W328" s="32" t="n">
        <f>342926969</f>
        <v>3.42926969E8</v>
      </c>
      <c r="X328" s="36" t="n">
        <f>18</f>
        <v>18.0</v>
      </c>
    </row>
    <row r="329">
      <c r="A329" s="27" t="s">
        <v>42</v>
      </c>
      <c r="B329" s="27" t="s">
        <v>1030</v>
      </c>
      <c r="C329" s="27" t="s">
        <v>1031</v>
      </c>
      <c r="D329" s="27" t="s">
        <v>1032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4207</f>
        <v>4207.0</v>
      </c>
      <c r="L329" s="34" t="s">
        <v>48</v>
      </c>
      <c r="M329" s="33" t="n">
        <f>4526</f>
        <v>4526.0</v>
      </c>
      <c r="N329" s="34" t="s">
        <v>49</v>
      </c>
      <c r="O329" s="33" t="n">
        <f>4164</f>
        <v>4164.0</v>
      </c>
      <c r="P329" s="34" t="s">
        <v>48</v>
      </c>
      <c r="Q329" s="33" t="n">
        <f>4520</f>
        <v>4520.0</v>
      </c>
      <c r="R329" s="34" t="s">
        <v>49</v>
      </c>
      <c r="S329" s="35" t="n">
        <f>4380.17</f>
        <v>4380.17</v>
      </c>
      <c r="T329" s="32" t="n">
        <f>710689</f>
        <v>710689.0</v>
      </c>
      <c r="U329" s="32" t="n">
        <f>625898</f>
        <v>625898.0</v>
      </c>
      <c r="V329" s="32" t="n">
        <f>3118754022</f>
        <v>3.118754022E9</v>
      </c>
      <c r="W329" s="32" t="n">
        <f>2748405719</f>
        <v>2.748405719E9</v>
      </c>
      <c r="X329" s="36" t="n">
        <f>18</f>
        <v>18.0</v>
      </c>
    </row>
    <row r="330">
      <c r="A330" s="27" t="s">
        <v>42</v>
      </c>
      <c r="B330" s="27" t="s">
        <v>1033</v>
      </c>
      <c r="C330" s="27" t="s">
        <v>1034</v>
      </c>
      <c r="D330" s="27" t="s">
        <v>1035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51000</f>
        <v>51000.0</v>
      </c>
      <c r="L330" s="34" t="s">
        <v>67</v>
      </c>
      <c r="M330" s="33" t="n">
        <f>52500</f>
        <v>52500.0</v>
      </c>
      <c r="N330" s="34" t="s">
        <v>49</v>
      </c>
      <c r="O330" s="33" t="n">
        <f>48680</f>
        <v>48680.0</v>
      </c>
      <c r="P330" s="34" t="s">
        <v>117</v>
      </c>
      <c r="Q330" s="33" t="n">
        <f>52500</f>
        <v>52500.0</v>
      </c>
      <c r="R330" s="34" t="s">
        <v>49</v>
      </c>
      <c r="S330" s="35" t="n">
        <f>51057.14</f>
        <v>51057.14</v>
      </c>
      <c r="T330" s="32" t="n">
        <f>49</f>
        <v>49.0</v>
      </c>
      <c r="U330" s="32" t="n">
        <f>4</f>
        <v>4.0</v>
      </c>
      <c r="V330" s="32" t="n">
        <f>2470380</f>
        <v>2470380.0</v>
      </c>
      <c r="W330" s="32" t="n">
        <f>204120</f>
        <v>204120.0</v>
      </c>
      <c r="X330" s="36" t="n">
        <f>14</f>
        <v>14.0</v>
      </c>
    </row>
    <row r="331">
      <c r="A331" s="27" t="s">
        <v>42</v>
      </c>
      <c r="B331" s="27" t="s">
        <v>1036</v>
      </c>
      <c r="C331" s="27" t="s">
        <v>1037</v>
      </c>
      <c r="D331" s="27" t="s">
        <v>1038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3891</f>
        <v>3891.0</v>
      </c>
      <c r="L331" s="34" t="s">
        <v>48</v>
      </c>
      <c r="M331" s="33" t="n">
        <f>4125</f>
        <v>4125.0</v>
      </c>
      <c r="N331" s="34" t="s">
        <v>204</v>
      </c>
      <c r="O331" s="33" t="n">
        <f>3877</f>
        <v>3877.0</v>
      </c>
      <c r="P331" s="34" t="s">
        <v>48</v>
      </c>
      <c r="Q331" s="33" t="n">
        <f>4076</f>
        <v>4076.0</v>
      </c>
      <c r="R331" s="34" t="s">
        <v>70</v>
      </c>
      <c r="S331" s="35" t="n">
        <f>4018.29</f>
        <v>4018.29</v>
      </c>
      <c r="T331" s="32" t="n">
        <f>53063</f>
        <v>53063.0</v>
      </c>
      <c r="U331" s="32" t="n">
        <f>2</f>
        <v>2.0</v>
      </c>
      <c r="V331" s="32" t="n">
        <f>212121882</f>
        <v>2.12121882E8</v>
      </c>
      <c r="W331" s="32" t="n">
        <f>8064</f>
        <v>8064.0</v>
      </c>
      <c r="X331" s="36" t="n">
        <f>17</f>
        <v>17.0</v>
      </c>
    </row>
    <row r="332">
      <c r="A332" s="27" t="s">
        <v>42</v>
      </c>
      <c r="B332" s="27" t="s">
        <v>1039</v>
      </c>
      <c r="C332" s="27" t="s">
        <v>1040</v>
      </c>
      <c r="D332" s="27" t="s">
        <v>1041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3685</f>
        <v>3685.0</v>
      </c>
      <c r="L332" s="34" t="s">
        <v>48</v>
      </c>
      <c r="M332" s="33" t="n">
        <f>4240</f>
        <v>4240.0</v>
      </c>
      <c r="N332" s="34" t="s">
        <v>68</v>
      </c>
      <c r="O332" s="33" t="n">
        <f>3539</f>
        <v>3539.0</v>
      </c>
      <c r="P332" s="34" t="s">
        <v>69</v>
      </c>
      <c r="Q332" s="33" t="n">
        <f>4124</f>
        <v>4124.0</v>
      </c>
      <c r="R332" s="34" t="s">
        <v>49</v>
      </c>
      <c r="S332" s="35" t="n">
        <f>3928.28</f>
        <v>3928.28</v>
      </c>
      <c r="T332" s="32" t="n">
        <f>39900173</f>
        <v>3.9900173E7</v>
      </c>
      <c r="U332" s="32" t="n">
        <f>425986</f>
        <v>425986.0</v>
      </c>
      <c r="V332" s="32" t="n">
        <f>157402024391</f>
        <v>1.57402024391E11</v>
      </c>
      <c r="W332" s="32" t="n">
        <f>1701939770</f>
        <v>1.70193977E9</v>
      </c>
      <c r="X332" s="36" t="n">
        <f>18</f>
        <v>18.0</v>
      </c>
    </row>
    <row r="333">
      <c r="A333" s="27" t="s">
        <v>42</v>
      </c>
      <c r="B333" s="27" t="s">
        <v>1042</v>
      </c>
      <c r="C333" s="27" t="s">
        <v>1043</v>
      </c>
      <c r="D333" s="27" t="s">
        <v>1044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2678</f>
        <v>2678.0</v>
      </c>
      <c r="L333" s="34" t="s">
        <v>48</v>
      </c>
      <c r="M333" s="33" t="n">
        <f>2799</f>
        <v>2799.0</v>
      </c>
      <c r="N333" s="34" t="s">
        <v>69</v>
      </c>
      <c r="O333" s="33" t="n">
        <f>2572</f>
        <v>2572.0</v>
      </c>
      <c r="P333" s="34" t="s">
        <v>209</v>
      </c>
      <c r="Q333" s="33" t="n">
        <f>2732</f>
        <v>2732.0</v>
      </c>
      <c r="R333" s="34" t="s">
        <v>49</v>
      </c>
      <c r="S333" s="35" t="n">
        <f>2695.39</f>
        <v>2695.39</v>
      </c>
      <c r="T333" s="32" t="n">
        <f>6026</f>
        <v>6026.0</v>
      </c>
      <c r="U333" s="32" t="n">
        <f>40</f>
        <v>40.0</v>
      </c>
      <c r="V333" s="32" t="n">
        <f>16175020</f>
        <v>1.617502E7</v>
      </c>
      <c r="W333" s="32" t="n">
        <f>107360</f>
        <v>107360.0</v>
      </c>
      <c r="X333" s="36" t="n">
        <f>18</f>
        <v>18.0</v>
      </c>
    </row>
    <row r="334">
      <c r="A334" s="27" t="s">
        <v>42</v>
      </c>
      <c r="B334" s="27" t="s">
        <v>1045</v>
      </c>
      <c r="C334" s="27" t="s">
        <v>1046</v>
      </c>
      <c r="D334" s="27" t="s">
        <v>1047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3968</f>
        <v>3968.0</v>
      </c>
      <c r="L334" s="34" t="s">
        <v>48</v>
      </c>
      <c r="M334" s="33" t="n">
        <f>4500</f>
        <v>4500.0</v>
      </c>
      <c r="N334" s="34" t="s">
        <v>203</v>
      </c>
      <c r="O334" s="33" t="n">
        <f>3865</f>
        <v>3865.0</v>
      </c>
      <c r="P334" s="34" t="s">
        <v>69</v>
      </c>
      <c r="Q334" s="33" t="n">
        <f>4188</f>
        <v>4188.0</v>
      </c>
      <c r="R334" s="34" t="s">
        <v>49</v>
      </c>
      <c r="S334" s="35" t="n">
        <f>4220.94</f>
        <v>4220.94</v>
      </c>
      <c r="T334" s="32" t="n">
        <f>501661</f>
        <v>501661.0</v>
      </c>
      <c r="U334" s="32" t="n">
        <f>4227</f>
        <v>4227.0</v>
      </c>
      <c r="V334" s="32" t="n">
        <f>2121663945</f>
        <v>2.121663945E9</v>
      </c>
      <c r="W334" s="32" t="n">
        <f>17367055</f>
        <v>1.7367055E7</v>
      </c>
      <c r="X334" s="36" t="n">
        <f>18</f>
        <v>18.0</v>
      </c>
    </row>
    <row r="335">
      <c r="A335" s="27" t="s">
        <v>42</v>
      </c>
      <c r="B335" s="27" t="s">
        <v>1048</v>
      </c>
      <c r="C335" s="27" t="s">
        <v>1049</v>
      </c>
      <c r="D335" s="27" t="s">
        <v>1050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5937</f>
        <v>5937.0</v>
      </c>
      <c r="L335" s="34" t="s">
        <v>48</v>
      </c>
      <c r="M335" s="33" t="n">
        <f>6102</f>
        <v>6102.0</v>
      </c>
      <c r="N335" s="34" t="s">
        <v>83</v>
      </c>
      <c r="O335" s="33" t="n">
        <f>5876</f>
        <v>5876.0</v>
      </c>
      <c r="P335" s="34" t="s">
        <v>69</v>
      </c>
      <c r="Q335" s="33" t="n">
        <f>5985</f>
        <v>5985.0</v>
      </c>
      <c r="R335" s="34" t="s">
        <v>49</v>
      </c>
      <c r="S335" s="35" t="n">
        <f>5937.67</f>
        <v>5937.67</v>
      </c>
      <c r="T335" s="32" t="n">
        <f>741252</f>
        <v>741252.0</v>
      </c>
      <c r="U335" s="32" t="n">
        <f>600000</f>
        <v>600000.0</v>
      </c>
      <c r="V335" s="32" t="n">
        <f>4388809462</f>
        <v>4.388809462E9</v>
      </c>
      <c r="W335" s="32" t="n">
        <f>3551988000</f>
        <v>3.551988E9</v>
      </c>
      <c r="X335" s="36" t="n">
        <f>18</f>
        <v>18.0</v>
      </c>
    </row>
    <row r="336">
      <c r="A336" s="27" t="s">
        <v>42</v>
      </c>
      <c r="B336" s="27" t="s">
        <v>1051</v>
      </c>
      <c r="C336" s="27" t="s">
        <v>1052</v>
      </c>
      <c r="D336" s="27" t="s">
        <v>1053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3440</f>
        <v>3440.0</v>
      </c>
      <c r="L336" s="34" t="s">
        <v>48</v>
      </c>
      <c r="M336" s="33" t="n">
        <f>3460</f>
        <v>3460.0</v>
      </c>
      <c r="N336" s="34" t="s">
        <v>209</v>
      </c>
      <c r="O336" s="33" t="n">
        <f>3379</f>
        <v>3379.0</v>
      </c>
      <c r="P336" s="34" t="s">
        <v>69</v>
      </c>
      <c r="Q336" s="33" t="n">
        <f>3431</f>
        <v>3431.0</v>
      </c>
      <c r="R336" s="34" t="s">
        <v>49</v>
      </c>
      <c r="S336" s="35" t="n">
        <f>3419.44</f>
        <v>3419.44</v>
      </c>
      <c r="T336" s="32" t="n">
        <f>528615</f>
        <v>528615.0</v>
      </c>
      <c r="U336" s="32" t="n">
        <f>247635</f>
        <v>247635.0</v>
      </c>
      <c r="V336" s="32" t="n">
        <f>1805053287</f>
        <v>1.805053287E9</v>
      </c>
      <c r="W336" s="32" t="n">
        <f>843038156</f>
        <v>8.43038156E8</v>
      </c>
      <c r="X336" s="36" t="n">
        <f>18</f>
        <v>18.0</v>
      </c>
    </row>
    <row r="337">
      <c r="A337" s="27" t="s">
        <v>42</v>
      </c>
      <c r="B337" s="27" t="s">
        <v>1054</v>
      </c>
      <c r="C337" s="27" t="s">
        <v>1055</v>
      </c>
      <c r="D337" s="27" t="s">
        <v>1056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592.3</f>
        <v>592.3</v>
      </c>
      <c r="L337" s="34" t="s">
        <v>48</v>
      </c>
      <c r="M337" s="33" t="n">
        <f>594.8</f>
        <v>594.8</v>
      </c>
      <c r="N337" s="34" t="s">
        <v>67</v>
      </c>
      <c r="O337" s="33" t="n">
        <f>580.4</f>
        <v>580.4</v>
      </c>
      <c r="P337" s="34" t="s">
        <v>69</v>
      </c>
      <c r="Q337" s="33" t="n">
        <f>590.6</f>
        <v>590.6</v>
      </c>
      <c r="R337" s="34" t="s">
        <v>49</v>
      </c>
      <c r="S337" s="35" t="n">
        <f>588.72</f>
        <v>588.72</v>
      </c>
      <c r="T337" s="32" t="n">
        <f>20440</f>
        <v>20440.0</v>
      </c>
      <c r="U337" s="32" t="n">
        <f>390</f>
        <v>390.0</v>
      </c>
      <c r="V337" s="32" t="n">
        <f>12029518</f>
        <v>1.2029518E7</v>
      </c>
      <c r="W337" s="32" t="n">
        <f>228471</f>
        <v>228471.0</v>
      </c>
      <c r="X337" s="36" t="n">
        <f>18</f>
        <v>18.0</v>
      </c>
    </row>
    <row r="338">
      <c r="A338" s="27" t="s">
        <v>42</v>
      </c>
      <c r="B338" s="27" t="s">
        <v>1057</v>
      </c>
      <c r="C338" s="27" t="s">
        <v>1058</v>
      </c>
      <c r="D338" s="27" t="s">
        <v>1059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9910</f>
        <v>9910.0</v>
      </c>
      <c r="L338" s="34" t="s">
        <v>48</v>
      </c>
      <c r="M338" s="33" t="n">
        <f>10010</f>
        <v>10010.0</v>
      </c>
      <c r="N338" s="34" t="s">
        <v>48</v>
      </c>
      <c r="O338" s="33" t="n">
        <f>9530</f>
        <v>9530.0</v>
      </c>
      <c r="P338" s="34" t="s">
        <v>67</v>
      </c>
      <c r="Q338" s="33" t="n">
        <f>9996</f>
        <v>9996.0</v>
      </c>
      <c r="R338" s="34" t="s">
        <v>49</v>
      </c>
      <c r="S338" s="35" t="n">
        <f>9850.72</f>
        <v>9850.72</v>
      </c>
      <c r="T338" s="32" t="n">
        <f>3241</f>
        <v>3241.0</v>
      </c>
      <c r="U338" s="32" t="n">
        <f>4</f>
        <v>4.0</v>
      </c>
      <c r="V338" s="32" t="n">
        <f>31754163</f>
        <v>3.1754163E7</v>
      </c>
      <c r="W338" s="32" t="n">
        <f>39276</f>
        <v>39276.0</v>
      </c>
      <c r="X338" s="36" t="n">
        <f>18</f>
        <v>18.0</v>
      </c>
    </row>
    <row r="339">
      <c r="A339" s="27" t="s">
        <v>42</v>
      </c>
      <c r="B339" s="27" t="s">
        <v>1060</v>
      </c>
      <c r="C339" s="27" t="s">
        <v>1061</v>
      </c>
      <c r="D339" s="27" t="s">
        <v>1062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2176</f>
        <v>2176.0</v>
      </c>
      <c r="L339" s="34" t="s">
        <v>48</v>
      </c>
      <c r="M339" s="33" t="n">
        <f>2624</f>
        <v>2624.0</v>
      </c>
      <c r="N339" s="34" t="s">
        <v>68</v>
      </c>
      <c r="O339" s="33" t="n">
        <f>2122</f>
        <v>2122.0</v>
      </c>
      <c r="P339" s="34" t="s">
        <v>69</v>
      </c>
      <c r="Q339" s="33" t="n">
        <f>2533</f>
        <v>2533.0</v>
      </c>
      <c r="R339" s="34" t="s">
        <v>49</v>
      </c>
      <c r="S339" s="35" t="n">
        <f>2360.44</f>
        <v>2360.44</v>
      </c>
      <c r="T339" s="32" t="n">
        <f>5630417</f>
        <v>5630417.0</v>
      </c>
      <c r="U339" s="32" t="n">
        <f>170746</f>
        <v>170746.0</v>
      </c>
      <c r="V339" s="32" t="n">
        <f>13334732963</f>
        <v>1.3334732963E10</v>
      </c>
      <c r="W339" s="32" t="n">
        <f>392272670</f>
        <v>3.9227267E8</v>
      </c>
      <c r="X339" s="36" t="n">
        <f>18</f>
        <v>18.0</v>
      </c>
    </row>
    <row r="340">
      <c r="A340" s="27" t="s">
        <v>42</v>
      </c>
      <c r="B340" s="27" t="s">
        <v>1063</v>
      </c>
      <c r="C340" s="27" t="s">
        <v>1064</v>
      </c>
      <c r="D340" s="27" t="s">
        <v>1065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2991</f>
        <v>2991.0</v>
      </c>
      <c r="L340" s="34" t="s">
        <v>48</v>
      </c>
      <c r="M340" s="33" t="n">
        <f>3041</f>
        <v>3041.0</v>
      </c>
      <c r="N340" s="34" t="s">
        <v>48</v>
      </c>
      <c r="O340" s="33" t="n">
        <f>2830</f>
        <v>2830.0</v>
      </c>
      <c r="P340" s="34" t="s">
        <v>70</v>
      </c>
      <c r="Q340" s="33" t="n">
        <f>2920</f>
        <v>2920.0</v>
      </c>
      <c r="R340" s="34" t="s">
        <v>49</v>
      </c>
      <c r="S340" s="35" t="n">
        <f>2915.61</f>
        <v>2915.61</v>
      </c>
      <c r="T340" s="32" t="n">
        <f>5841</f>
        <v>5841.0</v>
      </c>
      <c r="U340" s="32" t="n">
        <f>70</f>
        <v>70.0</v>
      </c>
      <c r="V340" s="32" t="n">
        <f>17056698</f>
        <v>1.7056698E7</v>
      </c>
      <c r="W340" s="32" t="n">
        <f>206982</f>
        <v>206982.0</v>
      </c>
      <c r="X340" s="36" t="n">
        <f>18</f>
        <v>18.0</v>
      </c>
    </row>
    <row r="341">
      <c r="A341" s="27" t="s">
        <v>42</v>
      </c>
      <c r="B341" s="27" t="s">
        <v>1066</v>
      </c>
      <c r="C341" s="27" t="s">
        <v>1067</v>
      </c>
      <c r="D341" s="27" t="s">
        <v>1068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3786</f>
        <v>3786.0</v>
      </c>
      <c r="L341" s="34" t="s">
        <v>48</v>
      </c>
      <c r="M341" s="33" t="n">
        <f>4890</f>
        <v>4890.0</v>
      </c>
      <c r="N341" s="34" t="s">
        <v>68</v>
      </c>
      <c r="O341" s="33" t="n">
        <f>3729</f>
        <v>3729.0</v>
      </c>
      <c r="P341" s="34" t="s">
        <v>48</v>
      </c>
      <c r="Q341" s="33" t="n">
        <f>4693</f>
        <v>4693.0</v>
      </c>
      <c r="R341" s="34" t="s">
        <v>49</v>
      </c>
      <c r="S341" s="35" t="n">
        <f>4324.17</f>
        <v>4324.17</v>
      </c>
      <c r="T341" s="32" t="n">
        <f>522240</f>
        <v>522240.0</v>
      </c>
      <c r="U341" s="32" t="n">
        <f>491</f>
        <v>491.0</v>
      </c>
      <c r="V341" s="32" t="n">
        <f>2285001344</f>
        <v>2.285001344E9</v>
      </c>
      <c r="W341" s="32" t="n">
        <f>2115387</f>
        <v>2115387.0</v>
      </c>
      <c r="X341" s="36" t="n">
        <f>18</f>
        <v>18.0</v>
      </c>
    </row>
    <row r="342">
      <c r="A342" s="27" t="s">
        <v>42</v>
      </c>
      <c r="B342" s="27" t="s">
        <v>1069</v>
      </c>
      <c r="C342" s="27" t="s">
        <v>1070</v>
      </c>
      <c r="D342" s="27" t="s">
        <v>1071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9050</f>
        <v>9050.0</v>
      </c>
      <c r="L342" s="34" t="s">
        <v>48</v>
      </c>
      <c r="M342" s="33" t="n">
        <f>9138</f>
        <v>9138.0</v>
      </c>
      <c r="N342" s="34" t="s">
        <v>67</v>
      </c>
      <c r="O342" s="33" t="n">
        <f>8662</f>
        <v>8662.0</v>
      </c>
      <c r="P342" s="34" t="s">
        <v>68</v>
      </c>
      <c r="Q342" s="33" t="n">
        <f>8857</f>
        <v>8857.0</v>
      </c>
      <c r="R342" s="34" t="s">
        <v>49</v>
      </c>
      <c r="S342" s="35" t="n">
        <f>8771.89</f>
        <v>8771.89</v>
      </c>
      <c r="T342" s="32" t="n">
        <f>406793</f>
        <v>406793.0</v>
      </c>
      <c r="U342" s="32" t="n">
        <f>314003</f>
        <v>314003.0</v>
      </c>
      <c r="V342" s="32" t="n">
        <f>3563116055</f>
        <v>3.563116055E9</v>
      </c>
      <c r="W342" s="32" t="n">
        <f>2745828197</f>
        <v>2.745828197E9</v>
      </c>
      <c r="X342" s="36" t="n">
        <f>18</f>
        <v>18.0</v>
      </c>
    </row>
    <row r="343">
      <c r="A343" s="27" t="s">
        <v>42</v>
      </c>
      <c r="B343" s="27" t="s">
        <v>1072</v>
      </c>
      <c r="C343" s="27" t="s">
        <v>1073</v>
      </c>
      <c r="D343" s="27" t="s">
        <v>1074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5139</f>
        <v>5139.0</v>
      </c>
      <c r="L343" s="34" t="s">
        <v>48</v>
      </c>
      <c r="M343" s="33" t="n">
        <f>5188</f>
        <v>5188.0</v>
      </c>
      <c r="N343" s="34" t="s">
        <v>209</v>
      </c>
      <c r="O343" s="33" t="n">
        <f>4988</f>
        <v>4988.0</v>
      </c>
      <c r="P343" s="34" t="s">
        <v>209</v>
      </c>
      <c r="Q343" s="33" t="n">
        <f>5086</f>
        <v>5086.0</v>
      </c>
      <c r="R343" s="34" t="s">
        <v>49</v>
      </c>
      <c r="S343" s="35" t="n">
        <f>5071.39</f>
        <v>5071.39</v>
      </c>
      <c r="T343" s="32" t="n">
        <f>41241</f>
        <v>41241.0</v>
      </c>
      <c r="U343" s="32" t="n">
        <f>40032</f>
        <v>40032.0</v>
      </c>
      <c r="V343" s="32" t="n">
        <f>209308645</f>
        <v>2.09308645E8</v>
      </c>
      <c r="W343" s="32" t="n">
        <f>203158615</f>
        <v>2.03158615E8</v>
      </c>
      <c r="X343" s="36" t="n">
        <f>18</f>
        <v>18.0</v>
      </c>
    </row>
    <row r="344">
      <c r="A344" s="27" t="s">
        <v>42</v>
      </c>
      <c r="B344" s="27" t="s">
        <v>1075</v>
      </c>
      <c r="C344" s="27" t="s">
        <v>1076</v>
      </c>
      <c r="D344" s="27" t="s">
        <v>1077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1285</f>
        <v>1285.0</v>
      </c>
      <c r="L344" s="34" t="s">
        <v>48</v>
      </c>
      <c r="M344" s="33" t="n">
        <f>1380</f>
        <v>1380.0</v>
      </c>
      <c r="N344" s="34" t="s">
        <v>49</v>
      </c>
      <c r="O344" s="33" t="n">
        <f>1278</f>
        <v>1278.0</v>
      </c>
      <c r="P344" s="34" t="s">
        <v>48</v>
      </c>
      <c r="Q344" s="33" t="n">
        <f>1380</f>
        <v>1380.0</v>
      </c>
      <c r="R344" s="34" t="s">
        <v>49</v>
      </c>
      <c r="S344" s="35" t="n">
        <f>1317.5</f>
        <v>1317.5</v>
      </c>
      <c r="T344" s="32" t="n">
        <f>266570</f>
        <v>266570.0</v>
      </c>
      <c r="U344" s="32" t="str">
        <f>"－"</f>
        <v>－</v>
      </c>
      <c r="V344" s="32" t="n">
        <f>346510256</f>
        <v>3.46510256E8</v>
      </c>
      <c r="W344" s="32" t="str">
        <f>"－"</f>
        <v>－</v>
      </c>
      <c r="X344" s="36" t="n">
        <f>18</f>
        <v>18.0</v>
      </c>
    </row>
    <row r="345">
      <c r="A345" s="27" t="s">
        <v>42</v>
      </c>
      <c r="B345" s="27" t="s">
        <v>1078</v>
      </c>
      <c r="C345" s="27" t="s">
        <v>1079</v>
      </c>
      <c r="D345" s="27" t="s">
        <v>1080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2489</f>
        <v>2489.0</v>
      </c>
      <c r="L345" s="34" t="s">
        <v>48</v>
      </c>
      <c r="M345" s="33" t="n">
        <f>2850</f>
        <v>2850.0</v>
      </c>
      <c r="N345" s="34" t="s">
        <v>204</v>
      </c>
      <c r="O345" s="33" t="n">
        <f>2486</f>
        <v>2486.0</v>
      </c>
      <c r="P345" s="34" t="s">
        <v>48</v>
      </c>
      <c r="Q345" s="33" t="n">
        <f>2780</f>
        <v>2780.0</v>
      </c>
      <c r="R345" s="34" t="s">
        <v>49</v>
      </c>
      <c r="S345" s="35" t="n">
        <f>2673.61</f>
        <v>2673.61</v>
      </c>
      <c r="T345" s="32" t="n">
        <f>3293857</f>
        <v>3293857.0</v>
      </c>
      <c r="U345" s="32" t="n">
        <f>32259</f>
        <v>32259.0</v>
      </c>
      <c r="V345" s="32" t="n">
        <f>8795455589</f>
        <v>8.795455589E9</v>
      </c>
      <c r="W345" s="32" t="n">
        <f>86009232</f>
        <v>8.6009232E7</v>
      </c>
      <c r="X345" s="36" t="n">
        <f>18</f>
        <v>18.0</v>
      </c>
    </row>
    <row r="346">
      <c r="A346" s="27" t="s">
        <v>42</v>
      </c>
      <c r="B346" s="27" t="s">
        <v>1081</v>
      </c>
      <c r="C346" s="27" t="s">
        <v>1082</v>
      </c>
      <c r="D346" s="27" t="s">
        <v>1083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1589</f>
        <v>1589.0</v>
      </c>
      <c r="L346" s="34" t="s">
        <v>48</v>
      </c>
      <c r="M346" s="33" t="n">
        <f>1749</f>
        <v>1749.0</v>
      </c>
      <c r="N346" s="34" t="s">
        <v>49</v>
      </c>
      <c r="O346" s="33" t="n">
        <f>1585</f>
        <v>1585.0</v>
      </c>
      <c r="P346" s="34" t="s">
        <v>48</v>
      </c>
      <c r="Q346" s="33" t="n">
        <f>1749</f>
        <v>1749.0</v>
      </c>
      <c r="R346" s="34" t="s">
        <v>49</v>
      </c>
      <c r="S346" s="35" t="n">
        <f>1692.17</f>
        <v>1692.17</v>
      </c>
      <c r="T346" s="32" t="n">
        <f>6925258</f>
        <v>6925258.0</v>
      </c>
      <c r="U346" s="32" t="n">
        <f>5176117</f>
        <v>5176117.0</v>
      </c>
      <c r="V346" s="32" t="n">
        <f>11559762592</f>
        <v>1.1559762592E10</v>
      </c>
      <c r="W346" s="32" t="n">
        <f>8657140567</f>
        <v>8.657140567E9</v>
      </c>
      <c r="X346" s="36" t="n">
        <f>18</f>
        <v>18.0</v>
      </c>
    </row>
    <row r="347">
      <c r="A347" s="27" t="s">
        <v>42</v>
      </c>
      <c r="B347" s="27" t="s">
        <v>1084</v>
      </c>
      <c r="C347" s="27" t="s">
        <v>1085</v>
      </c>
      <c r="D347" s="27" t="s">
        <v>1086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13110</f>
        <v>13110.0</v>
      </c>
      <c r="L347" s="34" t="s">
        <v>48</v>
      </c>
      <c r="M347" s="33" t="n">
        <f>13155</f>
        <v>13155.0</v>
      </c>
      <c r="N347" s="34" t="s">
        <v>48</v>
      </c>
      <c r="O347" s="33" t="n">
        <f>11905</f>
        <v>11905.0</v>
      </c>
      <c r="P347" s="34" t="s">
        <v>49</v>
      </c>
      <c r="Q347" s="33" t="n">
        <f>11925</f>
        <v>11925.0</v>
      </c>
      <c r="R347" s="34" t="s">
        <v>49</v>
      </c>
      <c r="S347" s="35" t="n">
        <f>12338.61</f>
        <v>12338.61</v>
      </c>
      <c r="T347" s="32" t="n">
        <f>218329</f>
        <v>218329.0</v>
      </c>
      <c r="U347" s="32" t="n">
        <f>80593</f>
        <v>80593.0</v>
      </c>
      <c r="V347" s="32" t="n">
        <f>2691438334</f>
        <v>2.691438334E9</v>
      </c>
      <c r="W347" s="32" t="n">
        <f>991436134</f>
        <v>9.91436134E8</v>
      </c>
      <c r="X347" s="36" t="n">
        <f>18</f>
        <v>18.0</v>
      </c>
    </row>
    <row r="348">
      <c r="A348" s="27" t="s">
        <v>42</v>
      </c>
      <c r="B348" s="27" t="s">
        <v>1087</v>
      </c>
      <c r="C348" s="27" t="s">
        <v>1088</v>
      </c>
      <c r="D348" s="27" t="s">
        <v>1089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3934</f>
        <v>3934.0</v>
      </c>
      <c r="L348" s="34" t="s">
        <v>48</v>
      </c>
      <c r="M348" s="33" t="n">
        <f>3934</f>
        <v>3934.0</v>
      </c>
      <c r="N348" s="34" t="s">
        <v>48</v>
      </c>
      <c r="O348" s="33" t="n">
        <f>3668</f>
        <v>3668.0</v>
      </c>
      <c r="P348" s="34" t="s">
        <v>83</v>
      </c>
      <c r="Q348" s="33" t="n">
        <f>3753</f>
        <v>3753.0</v>
      </c>
      <c r="R348" s="34" t="s">
        <v>49</v>
      </c>
      <c r="S348" s="35" t="n">
        <f>3714</f>
        <v>3714.0</v>
      </c>
      <c r="T348" s="32" t="n">
        <f>260926</f>
        <v>260926.0</v>
      </c>
      <c r="U348" s="32" t="n">
        <f>150910</f>
        <v>150910.0</v>
      </c>
      <c r="V348" s="32" t="n">
        <f>970601496</f>
        <v>9.70601496E8</v>
      </c>
      <c r="W348" s="32" t="n">
        <f>561343611</f>
        <v>5.61343611E8</v>
      </c>
      <c r="X348" s="36" t="n">
        <f>17</f>
        <v>17.0</v>
      </c>
    </row>
    <row r="349">
      <c r="A349" s="27" t="s">
        <v>42</v>
      </c>
      <c r="B349" s="27" t="s">
        <v>1090</v>
      </c>
      <c r="C349" s="27" t="s">
        <v>1091</v>
      </c>
      <c r="D349" s="27" t="s">
        <v>1092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5750</f>
        <v>5750.0</v>
      </c>
      <c r="L349" s="34" t="s">
        <v>48</v>
      </c>
      <c r="M349" s="33" t="n">
        <f>5750</f>
        <v>5750.0</v>
      </c>
      <c r="N349" s="34" t="s">
        <v>48</v>
      </c>
      <c r="O349" s="33" t="n">
        <f>5516</f>
        <v>5516.0</v>
      </c>
      <c r="P349" s="34" t="s">
        <v>69</v>
      </c>
      <c r="Q349" s="33" t="n">
        <f>5697</f>
        <v>5697.0</v>
      </c>
      <c r="R349" s="34" t="s">
        <v>49</v>
      </c>
      <c r="S349" s="35" t="n">
        <f>5617.33</f>
        <v>5617.33</v>
      </c>
      <c r="T349" s="32" t="n">
        <f>1050443</f>
        <v>1050443.0</v>
      </c>
      <c r="U349" s="32" t="n">
        <f>906813</f>
        <v>906813.0</v>
      </c>
      <c r="V349" s="32" t="n">
        <f>5867427764</f>
        <v>5.867427764E9</v>
      </c>
      <c r="W349" s="32" t="n">
        <f>5063609411</f>
        <v>5.063609411E9</v>
      </c>
      <c r="X349" s="36" t="n">
        <f>18</f>
        <v>18.0</v>
      </c>
    </row>
    <row r="350">
      <c r="A350" s="27" t="s">
        <v>42</v>
      </c>
      <c r="B350" s="27" t="s">
        <v>1093</v>
      </c>
      <c r="C350" s="27" t="s">
        <v>1094</v>
      </c>
      <c r="D350" s="27" t="s">
        <v>1095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3353</f>
        <v>3353.0</v>
      </c>
      <c r="L350" s="34" t="s">
        <v>48</v>
      </c>
      <c r="M350" s="33" t="n">
        <f>3663</f>
        <v>3663.0</v>
      </c>
      <c r="N350" s="34" t="s">
        <v>49</v>
      </c>
      <c r="O350" s="33" t="n">
        <f>3325</f>
        <v>3325.0</v>
      </c>
      <c r="P350" s="34" t="s">
        <v>48</v>
      </c>
      <c r="Q350" s="33" t="n">
        <f>3663</f>
        <v>3663.0</v>
      </c>
      <c r="R350" s="34" t="s">
        <v>49</v>
      </c>
      <c r="S350" s="35" t="n">
        <f>3539.39</f>
        <v>3539.39</v>
      </c>
      <c r="T350" s="32" t="n">
        <f>961279</f>
        <v>961279.0</v>
      </c>
      <c r="U350" s="32" t="n">
        <f>397845</f>
        <v>397845.0</v>
      </c>
      <c r="V350" s="32" t="n">
        <f>3357420563</f>
        <v>3.357420563E9</v>
      </c>
      <c r="W350" s="32" t="n">
        <f>1416678200</f>
        <v>1.4166782E9</v>
      </c>
      <c r="X350" s="36" t="n">
        <f>18</f>
        <v>18.0</v>
      </c>
    </row>
    <row r="351">
      <c r="A351" s="27" t="s">
        <v>42</v>
      </c>
      <c r="B351" s="27" t="s">
        <v>1096</v>
      </c>
      <c r="C351" s="27" t="s">
        <v>1097</v>
      </c>
      <c r="D351" s="27" t="s">
        <v>1098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2410</f>
        <v>2410.0</v>
      </c>
      <c r="L351" s="34" t="s">
        <v>48</v>
      </c>
      <c r="M351" s="33" t="n">
        <f>2481</f>
        <v>2481.0</v>
      </c>
      <c r="N351" s="34" t="s">
        <v>204</v>
      </c>
      <c r="O351" s="33" t="n">
        <f>2384</f>
        <v>2384.0</v>
      </c>
      <c r="P351" s="34" t="s">
        <v>83</v>
      </c>
      <c r="Q351" s="33" t="n">
        <f>2462</f>
        <v>2462.0</v>
      </c>
      <c r="R351" s="34" t="s">
        <v>49</v>
      </c>
      <c r="S351" s="35" t="n">
        <f>2430.33</f>
        <v>2430.33</v>
      </c>
      <c r="T351" s="32" t="n">
        <f>3980962</f>
        <v>3980962.0</v>
      </c>
      <c r="U351" s="32" t="n">
        <f>3598642</f>
        <v>3598642.0</v>
      </c>
      <c r="V351" s="32" t="n">
        <f>9695231774</f>
        <v>9.695231774E9</v>
      </c>
      <c r="W351" s="32" t="n">
        <f>8769859953</f>
        <v>8.769859953E9</v>
      </c>
      <c r="X351" s="36" t="n">
        <f>18</f>
        <v>18.0</v>
      </c>
    </row>
    <row r="352">
      <c r="A352" s="27" t="s">
        <v>42</v>
      </c>
      <c r="B352" s="27" t="s">
        <v>1099</v>
      </c>
      <c r="C352" s="27" t="s">
        <v>1100</v>
      </c>
      <c r="D352" s="27" t="s">
        <v>1101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2900</f>
        <v>2900.0</v>
      </c>
      <c r="L352" s="34" t="s">
        <v>48</v>
      </c>
      <c r="M352" s="33" t="n">
        <f>3401</f>
        <v>3401.0</v>
      </c>
      <c r="N352" s="34" t="s">
        <v>68</v>
      </c>
      <c r="O352" s="33" t="n">
        <f>2751</f>
        <v>2751.0</v>
      </c>
      <c r="P352" s="34" t="s">
        <v>48</v>
      </c>
      <c r="Q352" s="33" t="n">
        <f>3210</f>
        <v>3210.0</v>
      </c>
      <c r="R352" s="34" t="s">
        <v>49</v>
      </c>
      <c r="S352" s="35" t="n">
        <f>3038.28</f>
        <v>3038.28</v>
      </c>
      <c r="T352" s="32" t="n">
        <f>25247</f>
        <v>25247.0</v>
      </c>
      <c r="U352" s="32" t="str">
        <f>"－"</f>
        <v>－</v>
      </c>
      <c r="V352" s="32" t="n">
        <f>76729340</f>
        <v>7.672934E7</v>
      </c>
      <c r="W352" s="32" t="str">
        <f>"－"</f>
        <v>－</v>
      </c>
      <c r="X352" s="36" t="n">
        <f>18</f>
        <v>18.0</v>
      </c>
    </row>
    <row r="353">
      <c r="A353" s="27" t="s">
        <v>42</v>
      </c>
      <c r="B353" s="27" t="s">
        <v>1102</v>
      </c>
      <c r="C353" s="27" t="s">
        <v>1103</v>
      </c>
      <c r="D353" s="27" t="s">
        <v>1104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2796</f>
        <v>2796.0</v>
      </c>
      <c r="L353" s="34" t="s">
        <v>48</v>
      </c>
      <c r="M353" s="33" t="n">
        <f>3005</f>
        <v>3005.0</v>
      </c>
      <c r="N353" s="34" t="s">
        <v>68</v>
      </c>
      <c r="O353" s="33" t="n">
        <f>2796</f>
        <v>2796.0</v>
      </c>
      <c r="P353" s="34" t="s">
        <v>48</v>
      </c>
      <c r="Q353" s="33" t="n">
        <f>2995</f>
        <v>2995.0</v>
      </c>
      <c r="R353" s="34" t="s">
        <v>49</v>
      </c>
      <c r="S353" s="35" t="n">
        <f>2899</f>
        <v>2899.0</v>
      </c>
      <c r="T353" s="32" t="n">
        <f>7282</f>
        <v>7282.0</v>
      </c>
      <c r="U353" s="32" t="n">
        <f>126</f>
        <v>126.0</v>
      </c>
      <c r="V353" s="32" t="n">
        <f>21135784</f>
        <v>2.1135784E7</v>
      </c>
      <c r="W353" s="32" t="n">
        <f>369624</f>
        <v>369624.0</v>
      </c>
      <c r="X353" s="36" t="n">
        <f>17</f>
        <v>17.0</v>
      </c>
    </row>
    <row r="354">
      <c r="A354" s="27" t="s">
        <v>42</v>
      </c>
      <c r="B354" s="27" t="s">
        <v>1105</v>
      </c>
      <c r="C354" s="27" t="s">
        <v>1106</v>
      </c>
      <c r="D354" s="27" t="s">
        <v>1107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5220</f>
        <v>5220.0</v>
      </c>
      <c r="L354" s="34" t="s">
        <v>48</v>
      </c>
      <c r="M354" s="33" t="n">
        <f>5299</f>
        <v>5299.0</v>
      </c>
      <c r="N354" s="34" t="s">
        <v>59</v>
      </c>
      <c r="O354" s="33" t="n">
        <f>5069</f>
        <v>5069.0</v>
      </c>
      <c r="P354" s="34" t="s">
        <v>48</v>
      </c>
      <c r="Q354" s="33" t="n">
        <f>5266</f>
        <v>5266.0</v>
      </c>
      <c r="R354" s="34" t="s">
        <v>49</v>
      </c>
      <c r="S354" s="35" t="n">
        <f>5170.33</f>
        <v>5170.33</v>
      </c>
      <c r="T354" s="32" t="n">
        <f>19130</f>
        <v>19130.0</v>
      </c>
      <c r="U354" s="32" t="n">
        <f>10028</f>
        <v>10028.0</v>
      </c>
      <c r="V354" s="32" t="n">
        <f>99440054</f>
        <v>9.9440054E7</v>
      </c>
      <c r="W354" s="32" t="n">
        <f>52375020</f>
        <v>5.237502E7</v>
      </c>
      <c r="X354" s="36" t="n">
        <f>18</f>
        <v>18.0</v>
      </c>
    </row>
    <row r="355">
      <c r="A355" s="27" t="s">
        <v>42</v>
      </c>
      <c r="B355" s="27" t="s">
        <v>1108</v>
      </c>
      <c r="C355" s="27" t="s">
        <v>1109</v>
      </c>
      <c r="D355" s="27" t="s">
        <v>1110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351.1</f>
        <v>351.1</v>
      </c>
      <c r="L355" s="34" t="s">
        <v>48</v>
      </c>
      <c r="M355" s="33" t="n">
        <f>382.2</f>
        <v>382.2</v>
      </c>
      <c r="N355" s="34" t="s">
        <v>49</v>
      </c>
      <c r="O355" s="33" t="n">
        <f>348.6</f>
        <v>348.6</v>
      </c>
      <c r="P355" s="34" t="s">
        <v>48</v>
      </c>
      <c r="Q355" s="33" t="n">
        <f>382.1</f>
        <v>382.1</v>
      </c>
      <c r="R355" s="34" t="s">
        <v>49</v>
      </c>
      <c r="S355" s="35" t="n">
        <f>367.71</f>
        <v>367.71</v>
      </c>
      <c r="T355" s="32" t="n">
        <f>28680</f>
        <v>28680.0</v>
      </c>
      <c r="U355" s="32" t="n">
        <f>2100</f>
        <v>2100.0</v>
      </c>
      <c r="V355" s="32" t="n">
        <f>10535529</f>
        <v>1.0535529E7</v>
      </c>
      <c r="W355" s="32" t="n">
        <f>790110</f>
        <v>790110.0</v>
      </c>
      <c r="X355" s="36" t="n">
        <f>17</f>
        <v>17.0</v>
      </c>
    </row>
    <row r="356">
      <c r="A356" s="27" t="s">
        <v>42</v>
      </c>
      <c r="B356" s="27" t="s">
        <v>1111</v>
      </c>
      <c r="C356" s="27" t="s">
        <v>1112</v>
      </c>
      <c r="D356" s="27" t="s">
        <v>1113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184.6</f>
        <v>184.6</v>
      </c>
      <c r="L356" s="34" t="s">
        <v>48</v>
      </c>
      <c r="M356" s="33" t="n">
        <f>185.6</f>
        <v>185.6</v>
      </c>
      <c r="N356" s="34" t="s">
        <v>48</v>
      </c>
      <c r="O356" s="33" t="n">
        <f>173.7</f>
        <v>173.7</v>
      </c>
      <c r="P356" s="34" t="s">
        <v>104</v>
      </c>
      <c r="Q356" s="33" t="n">
        <f>176.7</f>
        <v>176.7</v>
      </c>
      <c r="R356" s="34" t="s">
        <v>49</v>
      </c>
      <c r="S356" s="35" t="n">
        <f>177.64</f>
        <v>177.64</v>
      </c>
      <c r="T356" s="32" t="n">
        <f>230020</f>
        <v>230020.0</v>
      </c>
      <c r="U356" s="32" t="n">
        <f>131340</f>
        <v>131340.0</v>
      </c>
      <c r="V356" s="32" t="n">
        <f>40547681</f>
        <v>4.0547681E7</v>
      </c>
      <c r="W356" s="32" t="n">
        <f>23033503</f>
        <v>2.3033503E7</v>
      </c>
      <c r="X356" s="36" t="n">
        <f>18</f>
        <v>18.0</v>
      </c>
    </row>
    <row r="357">
      <c r="A357" s="27" t="s">
        <v>42</v>
      </c>
      <c r="B357" s="27" t="s">
        <v>1114</v>
      </c>
      <c r="C357" s="27" t="s">
        <v>1115</v>
      </c>
      <c r="D357" s="27" t="s">
        <v>1116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621.6</f>
        <v>621.6</v>
      </c>
      <c r="L357" s="34" t="s">
        <v>48</v>
      </c>
      <c r="M357" s="33" t="n">
        <f>635.9</f>
        <v>635.9</v>
      </c>
      <c r="N357" s="34" t="s">
        <v>104</v>
      </c>
      <c r="O357" s="33" t="n">
        <f>611.2</f>
        <v>611.2</v>
      </c>
      <c r="P357" s="34" t="s">
        <v>68</v>
      </c>
      <c r="Q357" s="33" t="n">
        <f>627.4</f>
        <v>627.4</v>
      </c>
      <c r="R357" s="34" t="s">
        <v>49</v>
      </c>
      <c r="S357" s="35" t="n">
        <f>621.44</f>
        <v>621.44</v>
      </c>
      <c r="T357" s="32" t="n">
        <f>42630</f>
        <v>42630.0</v>
      </c>
      <c r="U357" s="32" t="n">
        <f>38660</f>
        <v>38660.0</v>
      </c>
      <c r="V357" s="32" t="n">
        <f>26142708</f>
        <v>2.6142708E7</v>
      </c>
      <c r="W357" s="32" t="n">
        <f>23664773</f>
        <v>2.3664773E7</v>
      </c>
      <c r="X357" s="36" t="n">
        <f>15</f>
        <v>15.0</v>
      </c>
    </row>
    <row r="358">
      <c r="A358" s="27" t="s">
        <v>42</v>
      </c>
      <c r="B358" s="27" t="s">
        <v>1117</v>
      </c>
      <c r="C358" s="27" t="s">
        <v>1118</v>
      </c>
      <c r="D358" s="27" t="s">
        <v>1119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2301</f>
        <v>2301.0</v>
      </c>
      <c r="L358" s="34" t="s">
        <v>48</v>
      </c>
      <c r="M358" s="33" t="n">
        <f>2623</f>
        <v>2623.0</v>
      </c>
      <c r="N358" s="34" t="s">
        <v>49</v>
      </c>
      <c r="O358" s="33" t="n">
        <f>2279</f>
        <v>2279.0</v>
      </c>
      <c r="P358" s="34" t="s">
        <v>48</v>
      </c>
      <c r="Q358" s="33" t="n">
        <f>2610</f>
        <v>2610.0</v>
      </c>
      <c r="R358" s="34" t="s">
        <v>49</v>
      </c>
      <c r="S358" s="35" t="n">
        <f>2454.83</f>
        <v>2454.83</v>
      </c>
      <c r="T358" s="32" t="n">
        <f>819828</f>
        <v>819828.0</v>
      </c>
      <c r="U358" s="32" t="n">
        <f>9676</f>
        <v>9676.0</v>
      </c>
      <c r="V358" s="32" t="n">
        <f>2019400234</f>
        <v>2.019400234E9</v>
      </c>
      <c r="W358" s="32" t="n">
        <f>24142836</f>
        <v>2.4142836E7</v>
      </c>
      <c r="X358" s="36" t="n">
        <f>18</f>
        <v>18.0</v>
      </c>
    </row>
    <row r="359">
      <c r="A359" s="27" t="s">
        <v>42</v>
      </c>
      <c r="B359" s="27" t="s">
        <v>1120</v>
      </c>
      <c r="C359" s="27" t="s">
        <v>1121</v>
      </c>
      <c r="D359" s="27" t="s">
        <v>1122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985</f>
        <v>985.0</v>
      </c>
      <c r="L359" s="34" t="s">
        <v>48</v>
      </c>
      <c r="M359" s="33" t="n">
        <f>1032</f>
        <v>1032.0</v>
      </c>
      <c r="N359" s="34" t="s">
        <v>209</v>
      </c>
      <c r="O359" s="33" t="n">
        <f>936</f>
        <v>936.0</v>
      </c>
      <c r="P359" s="34" t="s">
        <v>104</v>
      </c>
      <c r="Q359" s="33" t="n">
        <f>953</f>
        <v>953.0</v>
      </c>
      <c r="R359" s="34" t="s">
        <v>49</v>
      </c>
      <c r="S359" s="35" t="n">
        <f>958.94</f>
        <v>958.94</v>
      </c>
      <c r="T359" s="32" t="n">
        <f>164608</f>
        <v>164608.0</v>
      </c>
      <c r="U359" s="32" t="n">
        <f>92</f>
        <v>92.0</v>
      </c>
      <c r="V359" s="32" t="n">
        <f>160497726</f>
        <v>1.60497726E8</v>
      </c>
      <c r="W359" s="32" t="n">
        <f>87840</f>
        <v>87840.0</v>
      </c>
      <c r="X359" s="36" t="n">
        <f>18</f>
        <v>18.0</v>
      </c>
    </row>
    <row r="360">
      <c r="A360" s="27" t="s">
        <v>42</v>
      </c>
      <c r="B360" s="27" t="s">
        <v>1123</v>
      </c>
      <c r="C360" s="27" t="s">
        <v>1124</v>
      </c>
      <c r="D360" s="27" t="s">
        <v>1125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662.1</f>
        <v>662.1</v>
      </c>
      <c r="L360" s="34" t="s">
        <v>48</v>
      </c>
      <c r="M360" s="33" t="n">
        <f>663</f>
        <v>663.0</v>
      </c>
      <c r="N360" s="34" t="s">
        <v>209</v>
      </c>
      <c r="O360" s="33" t="n">
        <f>653</f>
        <v>653.0</v>
      </c>
      <c r="P360" s="34" t="s">
        <v>69</v>
      </c>
      <c r="Q360" s="33" t="n">
        <f>658.6</f>
        <v>658.6</v>
      </c>
      <c r="R360" s="34" t="s">
        <v>49</v>
      </c>
      <c r="S360" s="35" t="n">
        <f>658.05</f>
        <v>658.05</v>
      </c>
      <c r="T360" s="32" t="n">
        <f>856600</f>
        <v>856600.0</v>
      </c>
      <c r="U360" s="32" t="n">
        <f>11630</f>
        <v>11630.0</v>
      </c>
      <c r="V360" s="32" t="n">
        <f>564674701</f>
        <v>5.64674701E8</v>
      </c>
      <c r="W360" s="32" t="n">
        <f>7659489</f>
        <v>7659489.0</v>
      </c>
      <c r="X360" s="36" t="n">
        <f>18</f>
        <v>18.0</v>
      </c>
    </row>
    <row r="361">
      <c r="A361" s="27" t="s">
        <v>42</v>
      </c>
      <c r="B361" s="27" t="s">
        <v>1126</v>
      </c>
      <c r="C361" s="27" t="s">
        <v>1127</v>
      </c>
      <c r="D361" s="27" t="s">
        <v>1128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631.4</f>
        <v>631.4</v>
      </c>
      <c r="L361" s="34" t="s">
        <v>48</v>
      </c>
      <c r="M361" s="33" t="n">
        <f>635.7</f>
        <v>635.7</v>
      </c>
      <c r="N361" s="34" t="s">
        <v>205</v>
      </c>
      <c r="O361" s="33" t="n">
        <f>625.6</f>
        <v>625.6</v>
      </c>
      <c r="P361" s="34" t="s">
        <v>83</v>
      </c>
      <c r="Q361" s="33" t="n">
        <f>635.4</f>
        <v>635.4</v>
      </c>
      <c r="R361" s="34" t="s">
        <v>49</v>
      </c>
      <c r="S361" s="35" t="n">
        <f>631</f>
        <v>631.0</v>
      </c>
      <c r="T361" s="32" t="n">
        <f>9396730</f>
        <v>9396730.0</v>
      </c>
      <c r="U361" s="32" t="n">
        <f>3464580</f>
        <v>3464580.0</v>
      </c>
      <c r="V361" s="32" t="n">
        <f>5930440631</f>
        <v>5.930440631E9</v>
      </c>
      <c r="W361" s="32" t="n">
        <f>2183481266</f>
        <v>2.183481266E9</v>
      </c>
      <c r="X361" s="36" t="n">
        <f>18</f>
        <v>18.0</v>
      </c>
    </row>
    <row r="362">
      <c r="A362" s="27" t="s">
        <v>42</v>
      </c>
      <c r="B362" s="27" t="s">
        <v>1129</v>
      </c>
      <c r="C362" s="27" t="s">
        <v>1130</v>
      </c>
      <c r="D362" s="27" t="s">
        <v>1131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1440</f>
        <v>1440.0</v>
      </c>
      <c r="L362" s="34" t="s">
        <v>48</v>
      </c>
      <c r="M362" s="33" t="n">
        <f>1563</f>
        <v>1563.0</v>
      </c>
      <c r="N362" s="34" t="s">
        <v>203</v>
      </c>
      <c r="O362" s="33" t="n">
        <f>1388</f>
        <v>1388.0</v>
      </c>
      <c r="P362" s="34" t="s">
        <v>69</v>
      </c>
      <c r="Q362" s="33" t="n">
        <f>1482</f>
        <v>1482.0</v>
      </c>
      <c r="R362" s="34" t="s">
        <v>49</v>
      </c>
      <c r="S362" s="35" t="n">
        <f>1464.83</f>
        <v>1464.83</v>
      </c>
      <c r="T362" s="32" t="n">
        <f>46922</f>
        <v>46922.0</v>
      </c>
      <c r="U362" s="32" t="str">
        <f>"－"</f>
        <v>－</v>
      </c>
      <c r="V362" s="32" t="n">
        <f>68437651</f>
        <v>6.8437651E7</v>
      </c>
      <c r="W362" s="32" t="str">
        <f>"－"</f>
        <v>－</v>
      </c>
      <c r="X362" s="36" t="n">
        <f>18</f>
        <v>18.0</v>
      </c>
    </row>
    <row r="363">
      <c r="A363" s="27" t="s">
        <v>42</v>
      </c>
      <c r="B363" s="27" t="s">
        <v>1132</v>
      </c>
      <c r="C363" s="27" t="s">
        <v>1133</v>
      </c>
      <c r="D363" s="27" t="s">
        <v>1134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2984</f>
        <v>2984.0</v>
      </c>
      <c r="L363" s="34" t="s">
        <v>48</v>
      </c>
      <c r="M363" s="33" t="n">
        <f>3128</f>
        <v>3128.0</v>
      </c>
      <c r="N363" s="34" t="s">
        <v>68</v>
      </c>
      <c r="O363" s="33" t="n">
        <f>2929</f>
        <v>2929.0</v>
      </c>
      <c r="P363" s="34" t="s">
        <v>83</v>
      </c>
      <c r="Q363" s="33" t="n">
        <f>3088</f>
        <v>3088.0</v>
      </c>
      <c r="R363" s="34" t="s">
        <v>49</v>
      </c>
      <c r="S363" s="35" t="n">
        <f>3027.22</f>
        <v>3027.22</v>
      </c>
      <c r="T363" s="32" t="n">
        <f>31322</f>
        <v>31322.0</v>
      </c>
      <c r="U363" s="32" t="n">
        <f>978</f>
        <v>978.0</v>
      </c>
      <c r="V363" s="32" t="n">
        <f>95151286</f>
        <v>9.5151286E7</v>
      </c>
      <c r="W363" s="32" t="n">
        <f>2942263</f>
        <v>2942263.0</v>
      </c>
      <c r="X363" s="36" t="n">
        <f>18</f>
        <v>18.0</v>
      </c>
    </row>
    <row r="364">
      <c r="A364" s="27" t="s">
        <v>42</v>
      </c>
      <c r="B364" s="27" t="s">
        <v>1135</v>
      </c>
      <c r="C364" s="27" t="s">
        <v>1136</v>
      </c>
      <c r="D364" s="27" t="s">
        <v>1137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3119</f>
        <v>3119.0</v>
      </c>
      <c r="L364" s="34" t="s">
        <v>48</v>
      </c>
      <c r="M364" s="33" t="n">
        <f>3248</f>
        <v>3248.0</v>
      </c>
      <c r="N364" s="34" t="s">
        <v>104</v>
      </c>
      <c r="O364" s="33" t="n">
        <f>3020</f>
        <v>3020.0</v>
      </c>
      <c r="P364" s="34" t="s">
        <v>83</v>
      </c>
      <c r="Q364" s="33" t="n">
        <f>3219</f>
        <v>3219.0</v>
      </c>
      <c r="R364" s="34" t="s">
        <v>49</v>
      </c>
      <c r="S364" s="35" t="n">
        <f>3147.5</f>
        <v>3147.5</v>
      </c>
      <c r="T364" s="32" t="n">
        <f>65054</f>
        <v>65054.0</v>
      </c>
      <c r="U364" s="32" t="n">
        <f>3619</f>
        <v>3619.0</v>
      </c>
      <c r="V364" s="32" t="n">
        <f>205684987</f>
        <v>2.05684987E8</v>
      </c>
      <c r="W364" s="32" t="n">
        <f>11307877</f>
        <v>1.1307877E7</v>
      </c>
      <c r="X364" s="36" t="n">
        <f>18</f>
        <v>18.0</v>
      </c>
    </row>
    <row r="365">
      <c r="A365" s="27" t="s">
        <v>42</v>
      </c>
      <c r="B365" s="27" t="s">
        <v>1138</v>
      </c>
      <c r="C365" s="27" t="s">
        <v>1139</v>
      </c>
      <c r="D365" s="27" t="s">
        <v>1140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5974</f>
        <v>5974.0</v>
      </c>
      <c r="L365" s="34" t="s">
        <v>48</v>
      </c>
      <c r="M365" s="33" t="n">
        <f>5974</f>
        <v>5974.0</v>
      </c>
      <c r="N365" s="34" t="s">
        <v>48</v>
      </c>
      <c r="O365" s="33" t="n">
        <f>5674</f>
        <v>5674.0</v>
      </c>
      <c r="P365" s="34" t="s">
        <v>48</v>
      </c>
      <c r="Q365" s="33" t="n">
        <f>5900</f>
        <v>5900.0</v>
      </c>
      <c r="R365" s="34" t="s">
        <v>49</v>
      </c>
      <c r="S365" s="35" t="n">
        <f>5828.94</f>
        <v>5828.94</v>
      </c>
      <c r="T365" s="32" t="n">
        <f>45130</f>
        <v>45130.0</v>
      </c>
      <c r="U365" s="32" t="n">
        <f>70</f>
        <v>70.0</v>
      </c>
      <c r="V365" s="32" t="n">
        <f>262127695</f>
        <v>2.62127695E8</v>
      </c>
      <c r="W365" s="32" t="n">
        <f>406357</f>
        <v>406357.0</v>
      </c>
      <c r="X365" s="36" t="n">
        <f>18</f>
        <v>18.0</v>
      </c>
    </row>
    <row r="366">
      <c r="A366" s="27" t="s">
        <v>42</v>
      </c>
      <c r="B366" s="27" t="s">
        <v>1141</v>
      </c>
      <c r="C366" s="27" t="s">
        <v>1142</v>
      </c>
      <c r="D366" s="27" t="s">
        <v>1143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4050</f>
        <v>4050.0</v>
      </c>
      <c r="L366" s="34" t="s">
        <v>48</v>
      </c>
      <c r="M366" s="33" t="n">
        <f>4050</f>
        <v>4050.0</v>
      </c>
      <c r="N366" s="34" t="s">
        <v>48</v>
      </c>
      <c r="O366" s="33" t="n">
        <f>3902</f>
        <v>3902.0</v>
      </c>
      <c r="P366" s="34" t="s">
        <v>83</v>
      </c>
      <c r="Q366" s="33" t="n">
        <f>3981</f>
        <v>3981.0</v>
      </c>
      <c r="R366" s="34" t="s">
        <v>49</v>
      </c>
      <c r="S366" s="35" t="n">
        <f>3964.6</f>
        <v>3964.6</v>
      </c>
      <c r="T366" s="32" t="n">
        <f>323998</f>
        <v>323998.0</v>
      </c>
      <c r="U366" s="32" t="n">
        <f>323391</f>
        <v>323391.0</v>
      </c>
      <c r="V366" s="32" t="n">
        <f>1271818348</f>
        <v>1.271818348E9</v>
      </c>
      <c r="W366" s="32" t="n">
        <f>1269421955</f>
        <v>1.269421955E9</v>
      </c>
      <c r="X366" s="36" t="n">
        <f>10</f>
        <v>10.0</v>
      </c>
    </row>
    <row r="367">
      <c r="A367" s="27" t="s">
        <v>42</v>
      </c>
      <c r="B367" s="27" t="s">
        <v>1144</v>
      </c>
      <c r="C367" s="27" t="s">
        <v>1145</v>
      </c>
      <c r="D367" s="27" t="s">
        <v>1146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1363</f>
        <v>1363.0</v>
      </c>
      <c r="L367" s="34" t="s">
        <v>48</v>
      </c>
      <c r="M367" s="33" t="n">
        <f>1500</f>
        <v>1500.0</v>
      </c>
      <c r="N367" s="34" t="s">
        <v>204</v>
      </c>
      <c r="O367" s="33" t="n">
        <f>1358</f>
        <v>1358.0</v>
      </c>
      <c r="P367" s="34" t="s">
        <v>48</v>
      </c>
      <c r="Q367" s="33" t="n">
        <f>1434</f>
        <v>1434.0</v>
      </c>
      <c r="R367" s="34" t="s">
        <v>49</v>
      </c>
      <c r="S367" s="35" t="n">
        <f>1394.11</f>
        <v>1394.11</v>
      </c>
      <c r="T367" s="32" t="n">
        <f>54489</f>
        <v>54489.0</v>
      </c>
      <c r="U367" s="32" t="n">
        <f>2</f>
        <v>2.0</v>
      </c>
      <c r="V367" s="32" t="n">
        <f>75167827</f>
        <v>7.5167827E7</v>
      </c>
      <c r="W367" s="32" t="n">
        <f>2784</f>
        <v>2784.0</v>
      </c>
      <c r="X367" s="36" t="n">
        <f>18</f>
        <v>18.0</v>
      </c>
    </row>
    <row r="368">
      <c r="A368" s="27" t="s">
        <v>42</v>
      </c>
      <c r="B368" s="27" t="s">
        <v>1147</v>
      </c>
      <c r="C368" s="27" t="s">
        <v>1148</v>
      </c>
      <c r="D368" s="27" t="s">
        <v>1149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1255</f>
        <v>1255.0</v>
      </c>
      <c r="L368" s="34" t="s">
        <v>48</v>
      </c>
      <c r="M368" s="33" t="n">
        <f>1273</f>
        <v>1273.0</v>
      </c>
      <c r="N368" s="34" t="s">
        <v>49</v>
      </c>
      <c r="O368" s="33" t="n">
        <f>1238</f>
        <v>1238.0</v>
      </c>
      <c r="P368" s="34" t="s">
        <v>83</v>
      </c>
      <c r="Q368" s="33" t="n">
        <f>1271</f>
        <v>1271.0</v>
      </c>
      <c r="R368" s="34" t="s">
        <v>49</v>
      </c>
      <c r="S368" s="35" t="n">
        <f>1253.72</f>
        <v>1253.72</v>
      </c>
      <c r="T368" s="32" t="n">
        <f>5024236</f>
        <v>5024236.0</v>
      </c>
      <c r="U368" s="32" t="n">
        <f>2378</f>
        <v>2378.0</v>
      </c>
      <c r="V368" s="32" t="n">
        <f>6295003536</f>
        <v>6.295003536E9</v>
      </c>
      <c r="W368" s="32" t="n">
        <f>2875621</f>
        <v>2875621.0</v>
      </c>
      <c r="X368" s="36" t="n">
        <f>18</f>
        <v>18.0</v>
      </c>
    </row>
    <row r="369">
      <c r="A369" s="27" t="s">
        <v>42</v>
      </c>
      <c r="B369" s="27" t="s">
        <v>1150</v>
      </c>
      <c r="C369" s="27" t="s">
        <v>1151</v>
      </c>
      <c r="D369" s="27" t="s">
        <v>1152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1013</f>
        <v>1013.0</v>
      </c>
      <c r="L369" s="34" t="s">
        <v>48</v>
      </c>
      <c r="M369" s="33" t="n">
        <f>1020</f>
        <v>1020.0</v>
      </c>
      <c r="N369" s="34" t="s">
        <v>49</v>
      </c>
      <c r="O369" s="33" t="n">
        <f>997</f>
        <v>997.0</v>
      </c>
      <c r="P369" s="34" t="s">
        <v>69</v>
      </c>
      <c r="Q369" s="33" t="n">
        <f>1017</f>
        <v>1017.0</v>
      </c>
      <c r="R369" s="34" t="s">
        <v>49</v>
      </c>
      <c r="S369" s="35" t="n">
        <f>1008.28</f>
        <v>1008.28</v>
      </c>
      <c r="T369" s="32" t="n">
        <f>743735</f>
        <v>743735.0</v>
      </c>
      <c r="U369" s="32" t="n">
        <f>36</f>
        <v>36.0</v>
      </c>
      <c r="V369" s="32" t="n">
        <f>749058433</f>
        <v>7.49058433E8</v>
      </c>
      <c r="W369" s="32" t="n">
        <f>36368</f>
        <v>36368.0</v>
      </c>
      <c r="X369" s="36" t="n">
        <f>18</f>
        <v>18.0</v>
      </c>
    </row>
    <row r="370">
      <c r="A370" s="27" t="s">
        <v>42</v>
      </c>
      <c r="B370" s="27" t="s">
        <v>1153</v>
      </c>
      <c r="C370" s="27" t="s">
        <v>1154</v>
      </c>
      <c r="D370" s="27" t="s">
        <v>1155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1856</f>
        <v>1856.0</v>
      </c>
      <c r="L370" s="34" t="s">
        <v>48</v>
      </c>
      <c r="M370" s="33" t="n">
        <f>2107</f>
        <v>2107.0</v>
      </c>
      <c r="N370" s="34" t="s">
        <v>49</v>
      </c>
      <c r="O370" s="33" t="n">
        <f>1856</f>
        <v>1856.0</v>
      </c>
      <c r="P370" s="34" t="s">
        <v>48</v>
      </c>
      <c r="Q370" s="33" t="n">
        <f>2107</f>
        <v>2107.0</v>
      </c>
      <c r="R370" s="34" t="s">
        <v>49</v>
      </c>
      <c r="S370" s="35" t="n">
        <f>1981.39</f>
        <v>1981.39</v>
      </c>
      <c r="T370" s="32" t="n">
        <f>35992</f>
        <v>35992.0</v>
      </c>
      <c r="U370" s="32" t="str">
        <f>"－"</f>
        <v>－</v>
      </c>
      <c r="V370" s="32" t="n">
        <f>72395439</f>
        <v>7.2395439E7</v>
      </c>
      <c r="W370" s="32" t="str">
        <f>"－"</f>
        <v>－</v>
      </c>
      <c r="X370" s="36" t="n">
        <f>18</f>
        <v>18.0</v>
      </c>
    </row>
    <row r="371">
      <c r="A371" s="27" t="s">
        <v>42</v>
      </c>
      <c r="B371" s="27" t="s">
        <v>1156</v>
      </c>
      <c r="C371" s="27" t="s">
        <v>1157</v>
      </c>
      <c r="D371" s="27" t="s">
        <v>1158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1103</f>
        <v>1103.0</v>
      </c>
      <c r="L371" s="34" t="s">
        <v>48</v>
      </c>
      <c r="M371" s="33" t="n">
        <f>1130</f>
        <v>1130.0</v>
      </c>
      <c r="N371" s="34" t="s">
        <v>49</v>
      </c>
      <c r="O371" s="33" t="n">
        <f>1097</f>
        <v>1097.0</v>
      </c>
      <c r="P371" s="34" t="s">
        <v>209</v>
      </c>
      <c r="Q371" s="33" t="n">
        <f>1130</f>
        <v>1130.0</v>
      </c>
      <c r="R371" s="34" t="s">
        <v>49</v>
      </c>
      <c r="S371" s="35" t="n">
        <f>1112</f>
        <v>1112.0</v>
      </c>
      <c r="T371" s="32" t="n">
        <f>1006505</f>
        <v>1006505.0</v>
      </c>
      <c r="U371" s="32" t="n">
        <f>17</f>
        <v>17.0</v>
      </c>
      <c r="V371" s="32" t="n">
        <f>1115997824</f>
        <v>1.115997824E9</v>
      </c>
      <c r="W371" s="32" t="n">
        <f>18809</f>
        <v>18809.0</v>
      </c>
      <c r="X371" s="36" t="n">
        <f>18</f>
        <v>18.0</v>
      </c>
    </row>
    <row r="372">
      <c r="A372" s="27" t="s">
        <v>42</v>
      </c>
      <c r="B372" s="27" t="s">
        <v>1159</v>
      </c>
      <c r="C372" s="27" t="s">
        <v>1160</v>
      </c>
      <c r="D372" s="27" t="s">
        <v>1161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66770</f>
        <v>66770.0</v>
      </c>
      <c r="L372" s="34" t="s">
        <v>48</v>
      </c>
      <c r="M372" s="33" t="n">
        <f>80310</f>
        <v>80310.0</v>
      </c>
      <c r="N372" s="34" t="s">
        <v>49</v>
      </c>
      <c r="O372" s="33" t="n">
        <f>66620</f>
        <v>66620.0</v>
      </c>
      <c r="P372" s="34" t="s">
        <v>48</v>
      </c>
      <c r="Q372" s="33" t="n">
        <f>80210</f>
        <v>80210.0</v>
      </c>
      <c r="R372" s="34" t="s">
        <v>49</v>
      </c>
      <c r="S372" s="35" t="n">
        <f>75251.67</f>
        <v>75251.67</v>
      </c>
      <c r="T372" s="32" t="n">
        <f>267982</f>
        <v>267982.0</v>
      </c>
      <c r="U372" s="32" t="n">
        <f>2783</f>
        <v>2783.0</v>
      </c>
      <c r="V372" s="32" t="n">
        <f>20217841028</f>
        <v>2.0217841028E10</v>
      </c>
      <c r="W372" s="32" t="n">
        <f>209114288</f>
        <v>2.09114288E8</v>
      </c>
      <c r="X372" s="36" t="n">
        <f>18</f>
        <v>18.0</v>
      </c>
    </row>
    <row r="373">
      <c r="A373" s="27" t="s">
        <v>42</v>
      </c>
      <c r="B373" s="27" t="s">
        <v>1162</v>
      </c>
      <c r="C373" s="27" t="s">
        <v>1163</v>
      </c>
      <c r="D373" s="27" t="s">
        <v>1164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8980</f>
        <v>8980.0</v>
      </c>
      <c r="L373" s="34" t="s">
        <v>48</v>
      </c>
      <c r="M373" s="33" t="n">
        <f>9002</f>
        <v>9002.0</v>
      </c>
      <c r="N373" s="34" t="s">
        <v>48</v>
      </c>
      <c r="O373" s="33" t="n">
        <f>7394</f>
        <v>7394.0</v>
      </c>
      <c r="P373" s="34" t="s">
        <v>49</v>
      </c>
      <c r="Q373" s="33" t="n">
        <f>7395</f>
        <v>7395.0</v>
      </c>
      <c r="R373" s="34" t="s">
        <v>49</v>
      </c>
      <c r="S373" s="35" t="n">
        <f>7939.83</f>
        <v>7939.83</v>
      </c>
      <c r="T373" s="32" t="n">
        <f>625705</f>
        <v>625705.0</v>
      </c>
      <c r="U373" s="32" t="n">
        <f>1752</f>
        <v>1752.0</v>
      </c>
      <c r="V373" s="32" t="n">
        <f>4985860076</f>
        <v>4.985860076E9</v>
      </c>
      <c r="W373" s="32" t="n">
        <f>13909361</f>
        <v>1.3909361E7</v>
      </c>
      <c r="X373" s="36" t="n">
        <f>18</f>
        <v>18.0</v>
      </c>
    </row>
    <row r="374">
      <c r="A374" s="27" t="s">
        <v>42</v>
      </c>
      <c r="B374" s="27" t="s">
        <v>1165</v>
      </c>
      <c r="C374" s="27" t="s">
        <v>1166</v>
      </c>
      <c r="D374" s="27" t="s">
        <v>1167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2698</f>
        <v>2698.0</v>
      </c>
      <c r="L374" s="34" t="s">
        <v>48</v>
      </c>
      <c r="M374" s="33" t="n">
        <f>2857</f>
        <v>2857.0</v>
      </c>
      <c r="N374" s="34" t="s">
        <v>104</v>
      </c>
      <c r="O374" s="33" t="n">
        <f>2698</f>
        <v>2698.0</v>
      </c>
      <c r="P374" s="34" t="s">
        <v>48</v>
      </c>
      <c r="Q374" s="33" t="n">
        <f>2842</f>
        <v>2842.0</v>
      </c>
      <c r="R374" s="34" t="s">
        <v>104</v>
      </c>
      <c r="S374" s="35" t="n">
        <f>2783.67</f>
        <v>2783.67</v>
      </c>
      <c r="T374" s="32" t="n">
        <f>452</f>
        <v>452.0</v>
      </c>
      <c r="U374" s="32" t="str">
        <f>"－"</f>
        <v>－</v>
      </c>
      <c r="V374" s="32" t="n">
        <f>1268565</f>
        <v>1268565.0</v>
      </c>
      <c r="W374" s="32" t="str">
        <f>"－"</f>
        <v>－</v>
      </c>
      <c r="X374" s="36" t="n">
        <f>12</f>
        <v>12.0</v>
      </c>
    </row>
    <row r="375">
      <c r="A375" s="27" t="s">
        <v>42</v>
      </c>
      <c r="B375" s="27" t="s">
        <v>1168</v>
      </c>
      <c r="C375" s="27" t="s">
        <v>1169</v>
      </c>
      <c r="D375" s="27" t="s">
        <v>1170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9960</f>
        <v>9960.0</v>
      </c>
      <c r="L375" s="34" t="s">
        <v>48</v>
      </c>
      <c r="M375" s="33" t="n">
        <f>11040</f>
        <v>11040.0</v>
      </c>
      <c r="N375" s="34" t="s">
        <v>196</v>
      </c>
      <c r="O375" s="33" t="n">
        <f>9690</f>
        <v>9690.0</v>
      </c>
      <c r="P375" s="34" t="s">
        <v>196</v>
      </c>
      <c r="Q375" s="33" t="n">
        <f>10070</f>
        <v>10070.0</v>
      </c>
      <c r="R375" s="34" t="s">
        <v>49</v>
      </c>
      <c r="S375" s="35" t="n">
        <f>9961.78</f>
        <v>9961.78</v>
      </c>
      <c r="T375" s="32" t="n">
        <f>6812</f>
        <v>6812.0</v>
      </c>
      <c r="U375" s="32" t="n">
        <f>1</f>
        <v>1.0</v>
      </c>
      <c r="V375" s="32" t="n">
        <f>69397626</f>
        <v>6.9397626E7</v>
      </c>
      <c r="W375" s="32" t="n">
        <f>9965</f>
        <v>9965.0</v>
      </c>
      <c r="X375" s="36" t="n">
        <f>18</f>
        <v>18.0</v>
      </c>
    </row>
    <row r="376">
      <c r="A376" s="27" t="s">
        <v>42</v>
      </c>
      <c r="B376" s="27" t="s">
        <v>1171</v>
      </c>
      <c r="C376" s="27" t="s">
        <v>1172</v>
      </c>
      <c r="D376" s="27" t="s">
        <v>1173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122100</f>
        <v>122100.0</v>
      </c>
      <c r="L376" s="34" t="s">
        <v>48</v>
      </c>
      <c r="M376" s="33" t="n">
        <f>122200</f>
        <v>122200.0</v>
      </c>
      <c r="N376" s="34" t="s">
        <v>67</v>
      </c>
      <c r="O376" s="33" t="n">
        <f>115500</f>
        <v>115500.0</v>
      </c>
      <c r="P376" s="34" t="s">
        <v>69</v>
      </c>
      <c r="Q376" s="33" t="n">
        <f>117700</f>
        <v>117700.0</v>
      </c>
      <c r="R376" s="34" t="s">
        <v>49</v>
      </c>
      <c r="S376" s="35" t="n">
        <f>118072.22</f>
        <v>118072.22</v>
      </c>
      <c r="T376" s="32" t="n">
        <f>14235</f>
        <v>14235.0</v>
      </c>
      <c r="U376" s="32" t="n">
        <f>2454</f>
        <v>2454.0</v>
      </c>
      <c r="V376" s="32" t="n">
        <f>1676751185</f>
        <v>1.676751185E9</v>
      </c>
      <c r="W376" s="32" t="n">
        <f>289860385</f>
        <v>2.89860385E8</v>
      </c>
      <c r="X376" s="36" t="n">
        <f>18</f>
        <v>18.0</v>
      </c>
    </row>
    <row r="377">
      <c r="A377" s="27" t="s">
        <v>42</v>
      </c>
      <c r="B377" s="27" t="s">
        <v>1174</v>
      </c>
      <c r="C377" s="27" t="s">
        <v>1175</v>
      </c>
      <c r="D377" s="27" t="s">
        <v>1176</v>
      </c>
      <c r="E377" s="28" t="s">
        <v>46</v>
      </c>
      <c r="F377" s="29" t="s">
        <v>46</v>
      </c>
      <c r="G377" s="30" t="s">
        <v>46</v>
      </c>
      <c r="H377" s="31"/>
      <c r="I377" s="31" t="s">
        <v>416</v>
      </c>
      <c r="J377" s="32" t="n">
        <v>1.0</v>
      </c>
      <c r="K377" s="33" t="n">
        <f>124700</f>
        <v>124700.0</v>
      </c>
      <c r="L377" s="34" t="s">
        <v>48</v>
      </c>
      <c r="M377" s="33" t="n">
        <f>127800</f>
        <v>127800.0</v>
      </c>
      <c r="N377" s="34" t="s">
        <v>209</v>
      </c>
      <c r="O377" s="33" t="n">
        <f>112400</f>
        <v>112400.0</v>
      </c>
      <c r="P377" s="34" t="s">
        <v>69</v>
      </c>
      <c r="Q377" s="33" t="n">
        <f>121000</f>
        <v>121000.0</v>
      </c>
      <c r="R377" s="34" t="s">
        <v>49</v>
      </c>
      <c r="S377" s="35" t="n">
        <f>121794.44</f>
        <v>121794.44</v>
      </c>
      <c r="T377" s="32" t="n">
        <f>84287</f>
        <v>84287.0</v>
      </c>
      <c r="U377" s="32" t="n">
        <f>6027</f>
        <v>6027.0</v>
      </c>
      <c r="V377" s="32" t="n">
        <f>10103313046</f>
        <v>1.0103313046E10</v>
      </c>
      <c r="W377" s="32" t="n">
        <f>723147046</f>
        <v>7.23147046E8</v>
      </c>
      <c r="X377" s="36" t="n">
        <f>18</f>
        <v>18.0</v>
      </c>
    </row>
    <row r="378">
      <c r="A378" s="27" t="s">
        <v>42</v>
      </c>
      <c r="B378" s="27" t="s">
        <v>1177</v>
      </c>
      <c r="C378" s="27" t="s">
        <v>1178</v>
      </c>
      <c r="D378" s="27" t="s">
        <v>1179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123100</f>
        <v>123100.0</v>
      </c>
      <c r="L378" s="34" t="s">
        <v>48</v>
      </c>
      <c r="M378" s="33" t="n">
        <f>124900</f>
        <v>124900.0</v>
      </c>
      <c r="N378" s="34" t="s">
        <v>67</v>
      </c>
      <c r="O378" s="33" t="n">
        <f>114200</f>
        <v>114200.0</v>
      </c>
      <c r="P378" s="34" t="s">
        <v>49</v>
      </c>
      <c r="Q378" s="33" t="n">
        <f>114500</f>
        <v>114500.0</v>
      </c>
      <c r="R378" s="34" t="s">
        <v>49</v>
      </c>
      <c r="S378" s="35" t="n">
        <f>120527.78</f>
        <v>120527.78</v>
      </c>
      <c r="T378" s="32" t="n">
        <f>50809</f>
        <v>50809.0</v>
      </c>
      <c r="U378" s="32" t="n">
        <f>6999</f>
        <v>6999.0</v>
      </c>
      <c r="V378" s="32" t="n">
        <f>6090074391</f>
        <v>6.090074391E9</v>
      </c>
      <c r="W378" s="32" t="n">
        <f>839570391</f>
        <v>8.39570391E8</v>
      </c>
      <c r="X378" s="36" t="n">
        <f>18</f>
        <v>18.0</v>
      </c>
    </row>
    <row r="379">
      <c r="A379" s="27" t="s">
        <v>42</v>
      </c>
      <c r="B379" s="27" t="s">
        <v>1180</v>
      </c>
      <c r="C379" s="27" t="s">
        <v>1181</v>
      </c>
      <c r="D379" s="27" t="s">
        <v>1182</v>
      </c>
      <c r="E379" s="28" t="s">
        <v>46</v>
      </c>
      <c r="F379" s="29" t="s">
        <v>46</v>
      </c>
      <c r="G379" s="30" t="s">
        <v>46</v>
      </c>
      <c r="H379" s="31"/>
      <c r="I379" s="31" t="s">
        <v>416</v>
      </c>
      <c r="J379" s="32" t="n">
        <v>1.0</v>
      </c>
      <c r="K379" s="33" t="n">
        <f>106800</f>
        <v>106800.0</v>
      </c>
      <c r="L379" s="34" t="s">
        <v>48</v>
      </c>
      <c r="M379" s="33" t="n">
        <f>107000</f>
        <v>107000.0</v>
      </c>
      <c r="N379" s="34" t="s">
        <v>209</v>
      </c>
      <c r="O379" s="33" t="n">
        <f>97700</f>
        <v>97700.0</v>
      </c>
      <c r="P379" s="34" t="s">
        <v>83</v>
      </c>
      <c r="Q379" s="33" t="n">
        <f>102800</f>
        <v>102800.0</v>
      </c>
      <c r="R379" s="34" t="s">
        <v>49</v>
      </c>
      <c r="S379" s="35" t="n">
        <f>103372.22</f>
        <v>103372.22</v>
      </c>
      <c r="T379" s="32" t="n">
        <f>33989</f>
        <v>33989.0</v>
      </c>
      <c r="U379" s="32" t="n">
        <f>3065</f>
        <v>3065.0</v>
      </c>
      <c r="V379" s="32" t="n">
        <f>3516740241</f>
        <v>3.516740241E9</v>
      </c>
      <c r="W379" s="32" t="n">
        <f>316596141</f>
        <v>3.16596141E8</v>
      </c>
      <c r="X379" s="36" t="n">
        <f>18</f>
        <v>18.0</v>
      </c>
    </row>
    <row r="380">
      <c r="A380" s="27" t="s">
        <v>42</v>
      </c>
      <c r="B380" s="27" t="s">
        <v>1183</v>
      </c>
      <c r="C380" s="27" t="s">
        <v>1184</v>
      </c>
      <c r="D380" s="27" t="s">
        <v>1185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10.0</v>
      </c>
      <c r="K380" s="33" t="n">
        <f>252</f>
        <v>252.0</v>
      </c>
      <c r="L380" s="34" t="s">
        <v>48</v>
      </c>
      <c r="M380" s="33" t="n">
        <f>269.7</f>
        <v>269.7</v>
      </c>
      <c r="N380" s="34" t="s">
        <v>49</v>
      </c>
      <c r="O380" s="33" t="n">
        <f>249.6</f>
        <v>249.6</v>
      </c>
      <c r="P380" s="34" t="s">
        <v>48</v>
      </c>
      <c r="Q380" s="33" t="n">
        <f>269.3</f>
        <v>269.3</v>
      </c>
      <c r="R380" s="34" t="s">
        <v>49</v>
      </c>
      <c r="S380" s="35" t="n">
        <f>263.16</f>
        <v>263.16</v>
      </c>
      <c r="T380" s="32" t="n">
        <f>5026310</f>
        <v>5026310.0</v>
      </c>
      <c r="U380" s="32" t="n">
        <f>90</f>
        <v>90.0</v>
      </c>
      <c r="V380" s="32" t="n">
        <f>1327473186</f>
        <v>1.327473186E9</v>
      </c>
      <c r="W380" s="32" t="n">
        <f>23976</f>
        <v>23976.0</v>
      </c>
      <c r="X380" s="36" t="n">
        <f>18</f>
        <v>18.0</v>
      </c>
    </row>
    <row r="381">
      <c r="A381" s="27" t="s">
        <v>42</v>
      </c>
      <c r="B381" s="27" t="s">
        <v>1186</v>
      </c>
      <c r="C381" s="27" t="s">
        <v>1187</v>
      </c>
      <c r="D381" s="27" t="s">
        <v>1188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10.0</v>
      </c>
      <c r="K381" s="33" t="n">
        <f>344.2</f>
        <v>344.2</v>
      </c>
      <c r="L381" s="34" t="s">
        <v>48</v>
      </c>
      <c r="M381" s="33" t="n">
        <f>355.6</f>
        <v>355.6</v>
      </c>
      <c r="N381" s="34" t="s">
        <v>87</v>
      </c>
      <c r="O381" s="33" t="n">
        <f>330</f>
        <v>330.0</v>
      </c>
      <c r="P381" s="34" t="s">
        <v>70</v>
      </c>
      <c r="Q381" s="33" t="n">
        <f>340.7</f>
        <v>340.7</v>
      </c>
      <c r="R381" s="34" t="s">
        <v>49</v>
      </c>
      <c r="S381" s="35" t="n">
        <f>343.49</f>
        <v>343.49</v>
      </c>
      <c r="T381" s="32" t="n">
        <f>77778260</f>
        <v>7.777826E7</v>
      </c>
      <c r="U381" s="32" t="n">
        <f>18865880</f>
        <v>1.886588E7</v>
      </c>
      <c r="V381" s="32" t="n">
        <f>26761794106</f>
        <v>2.6761794106E10</v>
      </c>
      <c r="W381" s="32" t="n">
        <f>6562950483</f>
        <v>6.562950483E9</v>
      </c>
      <c r="X381" s="36" t="n">
        <f>18</f>
        <v>18.0</v>
      </c>
    </row>
    <row r="382">
      <c r="A382" s="27" t="s">
        <v>42</v>
      </c>
      <c r="B382" s="27" t="s">
        <v>1189</v>
      </c>
      <c r="C382" s="27" t="s">
        <v>1190</v>
      </c>
      <c r="D382" s="27" t="s">
        <v>1191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1550</f>
        <v>1550.0</v>
      </c>
      <c r="L382" s="34" t="s">
        <v>48</v>
      </c>
      <c r="M382" s="33" t="n">
        <f>1744</f>
        <v>1744.0</v>
      </c>
      <c r="N382" s="34" t="s">
        <v>100</v>
      </c>
      <c r="O382" s="33" t="n">
        <f>1508</f>
        <v>1508.0</v>
      </c>
      <c r="P382" s="34" t="s">
        <v>48</v>
      </c>
      <c r="Q382" s="33" t="n">
        <f>1659</f>
        <v>1659.0</v>
      </c>
      <c r="R382" s="34" t="s">
        <v>49</v>
      </c>
      <c r="S382" s="35" t="n">
        <f>1628.39</f>
        <v>1628.39</v>
      </c>
      <c r="T382" s="32" t="n">
        <f>2478241</f>
        <v>2478241.0</v>
      </c>
      <c r="U382" s="32" t="n">
        <f>412826</f>
        <v>412826.0</v>
      </c>
      <c r="V382" s="32" t="n">
        <f>4049507767</f>
        <v>4.049507767E9</v>
      </c>
      <c r="W382" s="32" t="n">
        <f>670738456</f>
        <v>6.70738456E8</v>
      </c>
      <c r="X382" s="36" t="n">
        <f>18</f>
        <v>18.0</v>
      </c>
    </row>
    <row r="383">
      <c r="A383" s="27" t="s">
        <v>42</v>
      </c>
      <c r="B383" s="27" t="s">
        <v>1192</v>
      </c>
      <c r="C383" s="27" t="s">
        <v>1193</v>
      </c>
      <c r="D383" s="27" t="s">
        <v>1194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2357</f>
        <v>2357.0</v>
      </c>
      <c r="L383" s="34" t="s">
        <v>48</v>
      </c>
      <c r="M383" s="33" t="n">
        <f>2666</f>
        <v>2666.0</v>
      </c>
      <c r="N383" s="34" t="s">
        <v>49</v>
      </c>
      <c r="O383" s="33" t="n">
        <f>2351</f>
        <v>2351.0</v>
      </c>
      <c r="P383" s="34" t="s">
        <v>48</v>
      </c>
      <c r="Q383" s="33" t="n">
        <f>2666</f>
        <v>2666.0</v>
      </c>
      <c r="R383" s="34" t="s">
        <v>49</v>
      </c>
      <c r="S383" s="35" t="n">
        <f>2527.44</f>
        <v>2527.44</v>
      </c>
      <c r="T383" s="32" t="n">
        <f>8620573</f>
        <v>8620573.0</v>
      </c>
      <c r="U383" s="32" t="n">
        <f>16947</f>
        <v>16947.0</v>
      </c>
      <c r="V383" s="32" t="n">
        <f>21841732101</f>
        <v>2.1841732101E10</v>
      </c>
      <c r="W383" s="32" t="n">
        <f>42633267</f>
        <v>4.2633267E7</v>
      </c>
      <c r="X383" s="36" t="n">
        <f>18</f>
        <v>18.0</v>
      </c>
    </row>
    <row r="384">
      <c r="A384" s="27" t="s">
        <v>42</v>
      </c>
      <c r="B384" s="27" t="s">
        <v>1195</v>
      </c>
      <c r="C384" s="27" t="s">
        <v>1196</v>
      </c>
      <c r="D384" s="27" t="s">
        <v>1197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10.0</v>
      </c>
      <c r="K384" s="33" t="n">
        <f>563.3</f>
        <v>563.3</v>
      </c>
      <c r="L384" s="34" t="s">
        <v>48</v>
      </c>
      <c r="M384" s="33" t="n">
        <f>575.4</f>
        <v>575.4</v>
      </c>
      <c r="N384" s="34" t="s">
        <v>87</v>
      </c>
      <c r="O384" s="33" t="n">
        <f>490.4</f>
        <v>490.4</v>
      </c>
      <c r="P384" s="34" t="s">
        <v>49</v>
      </c>
      <c r="Q384" s="33" t="n">
        <f>490.4</f>
        <v>490.4</v>
      </c>
      <c r="R384" s="34" t="s">
        <v>49</v>
      </c>
      <c r="S384" s="35" t="n">
        <f>544.46</f>
        <v>544.46</v>
      </c>
      <c r="T384" s="32" t="n">
        <f>15228220</f>
        <v>1.522822E7</v>
      </c>
      <c r="U384" s="32" t="n">
        <f>9990</f>
        <v>9990.0</v>
      </c>
      <c r="V384" s="32" t="n">
        <f>8278638793</f>
        <v>8.278638793E9</v>
      </c>
      <c r="W384" s="32" t="n">
        <f>5585546</f>
        <v>5585546.0</v>
      </c>
      <c r="X384" s="36" t="n">
        <f>18</f>
        <v>18.0</v>
      </c>
    </row>
    <row r="385">
      <c r="A385" s="27" t="s">
        <v>42</v>
      </c>
      <c r="B385" s="27" t="s">
        <v>1198</v>
      </c>
      <c r="C385" s="27" t="s">
        <v>1199</v>
      </c>
      <c r="D385" s="27" t="s">
        <v>1200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130100</f>
        <v>130100.0</v>
      </c>
      <c r="L385" s="34" t="s">
        <v>48</v>
      </c>
      <c r="M385" s="33" t="n">
        <f>132400</f>
        <v>132400.0</v>
      </c>
      <c r="N385" s="34" t="s">
        <v>67</v>
      </c>
      <c r="O385" s="33" t="n">
        <f>124200</f>
        <v>124200.0</v>
      </c>
      <c r="P385" s="34" t="s">
        <v>70</v>
      </c>
      <c r="Q385" s="33" t="n">
        <f>125900</f>
        <v>125900.0</v>
      </c>
      <c r="R385" s="34" t="s">
        <v>49</v>
      </c>
      <c r="S385" s="35" t="n">
        <f>127494.44</f>
        <v>127494.44</v>
      </c>
      <c r="T385" s="32" t="n">
        <f>135957</f>
        <v>135957.0</v>
      </c>
      <c r="U385" s="32" t="n">
        <f>28544</f>
        <v>28544.0</v>
      </c>
      <c r="V385" s="32" t="n">
        <f>17413492127</f>
        <v>1.7413492127E10</v>
      </c>
      <c r="W385" s="32" t="n">
        <f>3663737027</f>
        <v>3.663737027E9</v>
      </c>
      <c r="X385" s="36" t="n">
        <f>18</f>
        <v>18.0</v>
      </c>
    </row>
    <row r="386">
      <c r="A386" s="27" t="s">
        <v>42</v>
      </c>
      <c r="B386" s="27" t="s">
        <v>1201</v>
      </c>
      <c r="C386" s="27" t="s">
        <v>1202</v>
      </c>
      <c r="D386" s="27" t="s">
        <v>1203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133700</f>
        <v>133700.0</v>
      </c>
      <c r="L386" s="34" t="s">
        <v>48</v>
      </c>
      <c r="M386" s="33" t="n">
        <f>134400</f>
        <v>134400.0</v>
      </c>
      <c r="N386" s="34" t="s">
        <v>67</v>
      </c>
      <c r="O386" s="33" t="n">
        <f>128000</f>
        <v>128000.0</v>
      </c>
      <c r="P386" s="34" t="s">
        <v>70</v>
      </c>
      <c r="Q386" s="33" t="n">
        <f>129500</f>
        <v>129500.0</v>
      </c>
      <c r="R386" s="34" t="s">
        <v>49</v>
      </c>
      <c r="S386" s="35" t="n">
        <f>130433.33</f>
        <v>130433.33</v>
      </c>
      <c r="T386" s="32" t="n">
        <f>98836</f>
        <v>98836.0</v>
      </c>
      <c r="U386" s="32" t="n">
        <f>17367</f>
        <v>17367.0</v>
      </c>
      <c r="V386" s="32" t="n">
        <f>12890879627</f>
        <v>1.2890879627E10</v>
      </c>
      <c r="W386" s="32" t="n">
        <f>2268390427</f>
        <v>2.268390427E9</v>
      </c>
      <c r="X386" s="36" t="n">
        <f>18</f>
        <v>18.0</v>
      </c>
    </row>
    <row r="387">
      <c r="A387" s="27" t="s">
        <v>42</v>
      </c>
      <c r="B387" s="27" t="s">
        <v>1204</v>
      </c>
      <c r="C387" s="27" t="s">
        <v>1205</v>
      </c>
      <c r="D387" s="27" t="s">
        <v>1206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146300</f>
        <v>146300.0</v>
      </c>
      <c r="L387" s="34" t="s">
        <v>48</v>
      </c>
      <c r="M387" s="33" t="n">
        <f>146300</f>
        <v>146300.0</v>
      </c>
      <c r="N387" s="34" t="s">
        <v>48</v>
      </c>
      <c r="O387" s="33" t="n">
        <f>138500</f>
        <v>138500.0</v>
      </c>
      <c r="P387" s="34" t="s">
        <v>100</v>
      </c>
      <c r="Q387" s="33" t="n">
        <f>140200</f>
        <v>140200.0</v>
      </c>
      <c r="R387" s="34" t="s">
        <v>49</v>
      </c>
      <c r="S387" s="35" t="n">
        <f>141805.56</f>
        <v>141805.56</v>
      </c>
      <c r="T387" s="32" t="n">
        <f>159354</f>
        <v>159354.0</v>
      </c>
      <c r="U387" s="32" t="n">
        <f>39251</f>
        <v>39251.0</v>
      </c>
      <c r="V387" s="32" t="n">
        <f>22578587097</f>
        <v>2.2578587097E10</v>
      </c>
      <c r="W387" s="32" t="n">
        <f>5552495097</f>
        <v>5.552495097E9</v>
      </c>
      <c r="X387" s="36" t="n">
        <f>18</f>
        <v>18.0</v>
      </c>
    </row>
    <row r="388">
      <c r="A388" s="27" t="s">
        <v>42</v>
      </c>
      <c r="B388" s="27" t="s">
        <v>1207</v>
      </c>
      <c r="C388" s="27" t="s">
        <v>1208</v>
      </c>
      <c r="D388" s="27" t="s">
        <v>1209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162400</f>
        <v>162400.0</v>
      </c>
      <c r="L388" s="34" t="s">
        <v>48</v>
      </c>
      <c r="M388" s="33" t="n">
        <f>162900</f>
        <v>162900.0</v>
      </c>
      <c r="N388" s="34" t="s">
        <v>67</v>
      </c>
      <c r="O388" s="33" t="n">
        <f>152500</f>
        <v>152500.0</v>
      </c>
      <c r="P388" s="34" t="s">
        <v>104</v>
      </c>
      <c r="Q388" s="33" t="n">
        <f>154000</f>
        <v>154000.0</v>
      </c>
      <c r="R388" s="34" t="s">
        <v>49</v>
      </c>
      <c r="S388" s="35" t="n">
        <f>157050</f>
        <v>157050.0</v>
      </c>
      <c r="T388" s="32" t="n">
        <f>161861</f>
        <v>161861.0</v>
      </c>
      <c r="U388" s="32" t="n">
        <f>28487</f>
        <v>28487.0</v>
      </c>
      <c r="V388" s="32" t="n">
        <f>25380694112</f>
        <v>2.5380694112E10</v>
      </c>
      <c r="W388" s="32" t="n">
        <f>4465785712</f>
        <v>4.465785712E9</v>
      </c>
      <c r="X388" s="36" t="n">
        <f>18</f>
        <v>18.0</v>
      </c>
    </row>
    <row r="389">
      <c r="A389" s="27" t="s">
        <v>42</v>
      </c>
      <c r="B389" s="27" t="s">
        <v>1210</v>
      </c>
      <c r="C389" s="27" t="s">
        <v>1211</v>
      </c>
      <c r="D389" s="27" t="s">
        <v>1212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140300</f>
        <v>140300.0</v>
      </c>
      <c r="L389" s="34" t="s">
        <v>48</v>
      </c>
      <c r="M389" s="33" t="n">
        <f>141100</f>
        <v>141100.0</v>
      </c>
      <c r="N389" s="34" t="s">
        <v>67</v>
      </c>
      <c r="O389" s="33" t="n">
        <f>128300</f>
        <v>128300.0</v>
      </c>
      <c r="P389" s="34" t="s">
        <v>70</v>
      </c>
      <c r="Q389" s="33" t="n">
        <f>130800</f>
        <v>130800.0</v>
      </c>
      <c r="R389" s="34" t="s">
        <v>49</v>
      </c>
      <c r="S389" s="35" t="n">
        <f>135138.89</f>
        <v>135138.89</v>
      </c>
      <c r="T389" s="32" t="n">
        <f>146175</f>
        <v>146175.0</v>
      </c>
      <c r="U389" s="32" t="n">
        <f>33114</f>
        <v>33114.0</v>
      </c>
      <c r="V389" s="32" t="n">
        <f>19686329386</f>
        <v>1.9686329386E10</v>
      </c>
      <c r="W389" s="32" t="n">
        <f>4466970686</f>
        <v>4.466970686E9</v>
      </c>
      <c r="X389" s="36" t="n">
        <f>18</f>
        <v>18.0</v>
      </c>
    </row>
    <row r="390">
      <c r="A390" s="27" t="s">
        <v>42</v>
      </c>
      <c r="B390" s="27" t="s">
        <v>1213</v>
      </c>
      <c r="C390" s="27" t="s">
        <v>1214</v>
      </c>
      <c r="D390" s="27" t="s">
        <v>1215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135700</f>
        <v>135700.0</v>
      </c>
      <c r="L390" s="34" t="s">
        <v>48</v>
      </c>
      <c r="M390" s="33" t="n">
        <f>138000</f>
        <v>138000.0</v>
      </c>
      <c r="N390" s="34" t="s">
        <v>67</v>
      </c>
      <c r="O390" s="33" t="n">
        <f>127700</f>
        <v>127700.0</v>
      </c>
      <c r="P390" s="34" t="s">
        <v>83</v>
      </c>
      <c r="Q390" s="33" t="n">
        <f>133700</f>
        <v>133700.0</v>
      </c>
      <c r="R390" s="34" t="s">
        <v>49</v>
      </c>
      <c r="S390" s="35" t="n">
        <f>134133.33</f>
        <v>134133.33</v>
      </c>
      <c r="T390" s="32" t="n">
        <f>366483</f>
        <v>366483.0</v>
      </c>
      <c r="U390" s="32" t="n">
        <f>72497</f>
        <v>72497.0</v>
      </c>
      <c r="V390" s="32" t="n">
        <f>49277339861</f>
        <v>4.9277339861E10</v>
      </c>
      <c r="W390" s="32" t="n">
        <f>9748490561</f>
        <v>9.748490561E9</v>
      </c>
      <c r="X390" s="36" t="n">
        <f>18</f>
        <v>18.0</v>
      </c>
    </row>
    <row r="391">
      <c r="A391" s="27" t="s">
        <v>42</v>
      </c>
      <c r="B391" s="27" t="s">
        <v>1216</v>
      </c>
      <c r="C391" s="27" t="s">
        <v>1217</v>
      </c>
      <c r="D391" s="27" t="s">
        <v>1218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109500</f>
        <v>109500.0</v>
      </c>
      <c r="L391" s="34" t="s">
        <v>48</v>
      </c>
      <c r="M391" s="33" t="n">
        <f>110100</f>
        <v>110100.0</v>
      </c>
      <c r="N391" s="34" t="s">
        <v>67</v>
      </c>
      <c r="O391" s="33" t="n">
        <f>104100</f>
        <v>104100.0</v>
      </c>
      <c r="P391" s="34" t="s">
        <v>68</v>
      </c>
      <c r="Q391" s="33" t="n">
        <f>105600</f>
        <v>105600.0</v>
      </c>
      <c r="R391" s="34" t="s">
        <v>49</v>
      </c>
      <c r="S391" s="35" t="n">
        <f>106466.67</f>
        <v>106466.67</v>
      </c>
      <c r="T391" s="32" t="n">
        <f>120675</f>
        <v>120675.0</v>
      </c>
      <c r="U391" s="32" t="n">
        <f>23338</f>
        <v>23338.0</v>
      </c>
      <c r="V391" s="32" t="n">
        <f>12854406783</f>
        <v>1.2854406783E10</v>
      </c>
      <c r="W391" s="32" t="n">
        <f>2492915683</f>
        <v>2.492915683E9</v>
      </c>
      <c r="X391" s="36" t="n">
        <f>18</f>
        <v>18.0</v>
      </c>
    </row>
    <row r="392">
      <c r="A392" s="27" t="s">
        <v>42</v>
      </c>
      <c r="B392" s="27" t="s">
        <v>1219</v>
      </c>
      <c r="C392" s="27" t="s">
        <v>1220</v>
      </c>
      <c r="D392" s="27" t="s">
        <v>1221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89600</f>
        <v>89600.0</v>
      </c>
      <c r="L392" s="34" t="s">
        <v>48</v>
      </c>
      <c r="M392" s="33" t="n">
        <f>93500</f>
        <v>93500.0</v>
      </c>
      <c r="N392" s="34" t="s">
        <v>67</v>
      </c>
      <c r="O392" s="33" t="n">
        <f>84100</f>
        <v>84100.0</v>
      </c>
      <c r="P392" s="34" t="s">
        <v>70</v>
      </c>
      <c r="Q392" s="33" t="n">
        <f>85300</f>
        <v>85300.0</v>
      </c>
      <c r="R392" s="34" t="s">
        <v>49</v>
      </c>
      <c r="S392" s="35" t="n">
        <f>87511.11</f>
        <v>87511.11</v>
      </c>
      <c r="T392" s="32" t="n">
        <f>442603</f>
        <v>442603.0</v>
      </c>
      <c r="U392" s="32" t="n">
        <f>105811</f>
        <v>105811.0</v>
      </c>
      <c r="V392" s="32" t="n">
        <f>38789035080</f>
        <v>3.878903508E10</v>
      </c>
      <c r="W392" s="32" t="n">
        <f>9296168280</f>
        <v>9.29616828E9</v>
      </c>
      <c r="X392" s="36" t="n">
        <f>18</f>
        <v>18.0</v>
      </c>
    </row>
    <row r="393">
      <c r="A393" s="27" t="s">
        <v>42</v>
      </c>
      <c r="B393" s="27" t="s">
        <v>1222</v>
      </c>
      <c r="C393" s="27" t="s">
        <v>1223</v>
      </c>
      <c r="D393" s="27" t="s">
        <v>1224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252500</f>
        <v>252500.0</v>
      </c>
      <c r="L393" s="34" t="s">
        <v>48</v>
      </c>
      <c r="M393" s="33" t="n">
        <f>252500</f>
        <v>252500.0</v>
      </c>
      <c r="N393" s="34" t="s">
        <v>48</v>
      </c>
      <c r="O393" s="33" t="n">
        <f>231100</f>
        <v>231100.0</v>
      </c>
      <c r="P393" s="34" t="s">
        <v>83</v>
      </c>
      <c r="Q393" s="33" t="n">
        <f>240700</f>
        <v>240700.0</v>
      </c>
      <c r="R393" s="34" t="s">
        <v>49</v>
      </c>
      <c r="S393" s="35" t="n">
        <f>243072.22</f>
        <v>243072.22</v>
      </c>
      <c r="T393" s="32" t="n">
        <f>55473</f>
        <v>55473.0</v>
      </c>
      <c r="U393" s="32" t="n">
        <f>11430</f>
        <v>11430.0</v>
      </c>
      <c r="V393" s="32" t="n">
        <f>13494570406</f>
        <v>1.3494570406E10</v>
      </c>
      <c r="W393" s="32" t="n">
        <f>2787722906</f>
        <v>2.787722906E9</v>
      </c>
      <c r="X393" s="36" t="n">
        <f>18</f>
        <v>18.0</v>
      </c>
    </row>
    <row r="394">
      <c r="A394" s="27" t="s">
        <v>42</v>
      </c>
      <c r="B394" s="27" t="s">
        <v>1225</v>
      </c>
      <c r="C394" s="27" t="s">
        <v>1226</v>
      </c>
      <c r="D394" s="27" t="s">
        <v>1227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1302</f>
        <v>1302.0</v>
      </c>
      <c r="L394" s="34" t="s">
        <v>48</v>
      </c>
      <c r="M394" s="33" t="n">
        <f>1427</f>
        <v>1427.0</v>
      </c>
      <c r="N394" s="34" t="s">
        <v>87</v>
      </c>
      <c r="O394" s="33" t="n">
        <f>1284</f>
        <v>1284.0</v>
      </c>
      <c r="P394" s="34" t="s">
        <v>48</v>
      </c>
      <c r="Q394" s="33" t="n">
        <f>1399</f>
        <v>1399.0</v>
      </c>
      <c r="R394" s="34" t="s">
        <v>49</v>
      </c>
      <c r="S394" s="35" t="n">
        <f>1355.5</f>
        <v>1355.5</v>
      </c>
      <c r="T394" s="32" t="n">
        <f>84845</f>
        <v>84845.0</v>
      </c>
      <c r="U394" s="32" t="n">
        <f>9</f>
        <v>9.0</v>
      </c>
      <c r="V394" s="32" t="n">
        <f>115733881</f>
        <v>1.15733881E8</v>
      </c>
      <c r="W394" s="32" t="n">
        <f>12366</f>
        <v>12366.0</v>
      </c>
      <c r="X394" s="36" t="n">
        <f>18</f>
        <v>18.0</v>
      </c>
    </row>
    <row r="395">
      <c r="A395" s="27" t="s">
        <v>42</v>
      </c>
      <c r="B395" s="27" t="s">
        <v>1228</v>
      </c>
      <c r="C395" s="27" t="s">
        <v>1229</v>
      </c>
      <c r="D395" s="27" t="s">
        <v>1230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77800</f>
        <v>77800.0</v>
      </c>
      <c r="L395" s="34" t="s">
        <v>48</v>
      </c>
      <c r="M395" s="33" t="n">
        <f>78100</f>
        <v>78100.0</v>
      </c>
      <c r="N395" s="34" t="s">
        <v>48</v>
      </c>
      <c r="O395" s="33" t="n">
        <f>74800</f>
        <v>74800.0</v>
      </c>
      <c r="P395" s="34" t="s">
        <v>70</v>
      </c>
      <c r="Q395" s="33" t="n">
        <f>76100</f>
        <v>76100.0</v>
      </c>
      <c r="R395" s="34" t="s">
        <v>49</v>
      </c>
      <c r="S395" s="35" t="n">
        <f>76483.33</f>
        <v>76483.33</v>
      </c>
      <c r="T395" s="32" t="n">
        <f>75668</f>
        <v>75668.0</v>
      </c>
      <c r="U395" s="32" t="n">
        <f>11399</f>
        <v>11399.0</v>
      </c>
      <c r="V395" s="32" t="n">
        <f>5782995968</f>
        <v>5.782995968E9</v>
      </c>
      <c r="W395" s="32" t="n">
        <f>870802368</f>
        <v>8.70802368E8</v>
      </c>
      <c r="X395" s="36" t="n">
        <f>18</f>
        <v>18.0</v>
      </c>
    </row>
    <row r="396">
      <c r="A396" s="27" t="s">
        <v>42</v>
      </c>
      <c r="B396" s="27" t="s">
        <v>1231</v>
      </c>
      <c r="C396" s="27" t="s">
        <v>1232</v>
      </c>
      <c r="D396" s="27" t="s">
        <v>1233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125700</f>
        <v>125700.0</v>
      </c>
      <c r="L396" s="34" t="s">
        <v>48</v>
      </c>
      <c r="M396" s="33" t="n">
        <f>126800</f>
        <v>126800.0</v>
      </c>
      <c r="N396" s="34" t="s">
        <v>67</v>
      </c>
      <c r="O396" s="33" t="n">
        <f>121500</f>
        <v>121500.0</v>
      </c>
      <c r="P396" s="34" t="s">
        <v>104</v>
      </c>
      <c r="Q396" s="33" t="n">
        <f>122800</f>
        <v>122800.0</v>
      </c>
      <c r="R396" s="34" t="s">
        <v>49</v>
      </c>
      <c r="S396" s="35" t="n">
        <f>123544.44</f>
        <v>123544.44</v>
      </c>
      <c r="T396" s="32" t="n">
        <f>118523</f>
        <v>118523.0</v>
      </c>
      <c r="U396" s="32" t="n">
        <f>25113</f>
        <v>25113.0</v>
      </c>
      <c r="V396" s="32" t="n">
        <f>14648177266</f>
        <v>1.4648177266E10</v>
      </c>
      <c r="W396" s="32" t="n">
        <f>3103442266</f>
        <v>3.103442266E9</v>
      </c>
      <c r="X396" s="36" t="n">
        <f>18</f>
        <v>18.0</v>
      </c>
    </row>
    <row r="397">
      <c r="A397" s="27" t="s">
        <v>42</v>
      </c>
      <c r="B397" s="27" t="s">
        <v>1234</v>
      </c>
      <c r="C397" s="27" t="s">
        <v>1235</v>
      </c>
      <c r="D397" s="27" t="s">
        <v>1236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163000</f>
        <v>163000.0</v>
      </c>
      <c r="L397" s="34" t="s">
        <v>48</v>
      </c>
      <c r="M397" s="33" t="n">
        <f>163600</f>
        <v>163600.0</v>
      </c>
      <c r="N397" s="34" t="s">
        <v>67</v>
      </c>
      <c r="O397" s="33" t="n">
        <f>154800</f>
        <v>154800.0</v>
      </c>
      <c r="P397" s="34" t="s">
        <v>104</v>
      </c>
      <c r="Q397" s="33" t="n">
        <f>156200</f>
        <v>156200.0</v>
      </c>
      <c r="R397" s="34" t="s">
        <v>49</v>
      </c>
      <c r="S397" s="35" t="n">
        <f>158438.89</f>
        <v>158438.89</v>
      </c>
      <c r="T397" s="32" t="n">
        <f>73547</f>
        <v>73547.0</v>
      </c>
      <c r="U397" s="32" t="n">
        <f>16169</f>
        <v>16169.0</v>
      </c>
      <c r="V397" s="32" t="n">
        <f>11645332728</f>
        <v>1.1645332728E10</v>
      </c>
      <c r="W397" s="32" t="n">
        <f>2560479728</f>
        <v>2.560479728E9</v>
      </c>
      <c r="X397" s="36" t="n">
        <f>18</f>
        <v>18.0</v>
      </c>
    </row>
    <row r="398">
      <c r="A398" s="27" t="s">
        <v>42</v>
      </c>
      <c r="B398" s="27" t="s">
        <v>1237</v>
      </c>
      <c r="C398" s="27" t="s">
        <v>1238</v>
      </c>
      <c r="D398" s="27" t="s">
        <v>1239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89300</f>
        <v>89300.0</v>
      </c>
      <c r="L398" s="34" t="s">
        <v>48</v>
      </c>
      <c r="M398" s="33" t="n">
        <f>89600</f>
        <v>89600.0</v>
      </c>
      <c r="N398" s="34" t="s">
        <v>67</v>
      </c>
      <c r="O398" s="33" t="n">
        <f>84700</f>
        <v>84700.0</v>
      </c>
      <c r="P398" s="34" t="s">
        <v>70</v>
      </c>
      <c r="Q398" s="33" t="n">
        <f>85900</f>
        <v>85900.0</v>
      </c>
      <c r="R398" s="34" t="s">
        <v>49</v>
      </c>
      <c r="S398" s="35" t="n">
        <f>87094.44</f>
        <v>87094.44</v>
      </c>
      <c r="T398" s="32" t="n">
        <f>127819</f>
        <v>127819.0</v>
      </c>
      <c r="U398" s="32" t="n">
        <f>31827</f>
        <v>31827.0</v>
      </c>
      <c r="V398" s="32" t="n">
        <f>11108315930</f>
        <v>1.110831593E10</v>
      </c>
      <c r="W398" s="32" t="n">
        <f>2761338230</f>
        <v>2.76133823E9</v>
      </c>
      <c r="X398" s="36" t="n">
        <f>18</f>
        <v>18.0</v>
      </c>
    </row>
    <row r="399">
      <c r="A399" s="27" t="s">
        <v>42</v>
      </c>
      <c r="B399" s="27" t="s">
        <v>1240</v>
      </c>
      <c r="C399" s="27" t="s">
        <v>1241</v>
      </c>
      <c r="D399" s="27" t="s">
        <v>1242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84800</f>
        <v>84800.0</v>
      </c>
      <c r="L399" s="34" t="s">
        <v>48</v>
      </c>
      <c r="M399" s="33" t="n">
        <f>85100</f>
        <v>85100.0</v>
      </c>
      <c r="N399" s="34" t="s">
        <v>48</v>
      </c>
      <c r="O399" s="33" t="n">
        <f>80900</f>
        <v>80900.0</v>
      </c>
      <c r="P399" s="34" t="s">
        <v>104</v>
      </c>
      <c r="Q399" s="33" t="n">
        <f>82000</f>
        <v>82000.0</v>
      </c>
      <c r="R399" s="34" t="s">
        <v>49</v>
      </c>
      <c r="S399" s="35" t="n">
        <f>83266.67</f>
        <v>83266.67</v>
      </c>
      <c r="T399" s="32" t="n">
        <f>326284</f>
        <v>326284.0</v>
      </c>
      <c r="U399" s="32" t="n">
        <f>68114</f>
        <v>68114.0</v>
      </c>
      <c r="V399" s="32" t="n">
        <f>27199133906</f>
        <v>2.7199133906E10</v>
      </c>
      <c r="W399" s="32" t="n">
        <f>5688344906</f>
        <v>5.688344906E9</v>
      </c>
      <c r="X399" s="36" t="n">
        <f>18</f>
        <v>18.0</v>
      </c>
    </row>
    <row r="400">
      <c r="A400" s="27" t="s">
        <v>42</v>
      </c>
      <c r="B400" s="27" t="s">
        <v>1243</v>
      </c>
      <c r="C400" s="27" t="s">
        <v>1244</v>
      </c>
      <c r="D400" s="27" t="s">
        <v>1245</v>
      </c>
      <c r="E400" s="28" t="s">
        <v>46</v>
      </c>
      <c r="F400" s="29" t="s">
        <v>46</v>
      </c>
      <c r="G400" s="30" t="s">
        <v>46</v>
      </c>
      <c r="H400" s="31"/>
      <c r="I400" s="31" t="s">
        <v>416</v>
      </c>
      <c r="J400" s="32" t="n">
        <v>1.0</v>
      </c>
      <c r="K400" s="33" t="n">
        <f>137100</f>
        <v>137100.0</v>
      </c>
      <c r="L400" s="34" t="s">
        <v>48</v>
      </c>
      <c r="M400" s="33" t="n">
        <f>137600</f>
        <v>137600.0</v>
      </c>
      <c r="N400" s="34" t="s">
        <v>67</v>
      </c>
      <c r="O400" s="33" t="n">
        <f>130800</f>
        <v>130800.0</v>
      </c>
      <c r="P400" s="34" t="s">
        <v>104</v>
      </c>
      <c r="Q400" s="33" t="n">
        <f>131200</f>
        <v>131200.0</v>
      </c>
      <c r="R400" s="34" t="s">
        <v>49</v>
      </c>
      <c r="S400" s="35" t="n">
        <f>133644.44</f>
        <v>133644.44</v>
      </c>
      <c r="T400" s="32" t="n">
        <f>20145</f>
        <v>20145.0</v>
      </c>
      <c r="U400" s="32" t="n">
        <f>2897</f>
        <v>2897.0</v>
      </c>
      <c r="V400" s="32" t="n">
        <f>2694824818</f>
        <v>2.694824818E9</v>
      </c>
      <c r="W400" s="32" t="n">
        <f>387612018</f>
        <v>3.87612018E8</v>
      </c>
      <c r="X400" s="36" t="n">
        <f>18</f>
        <v>18.0</v>
      </c>
    </row>
    <row r="401">
      <c r="A401" s="27" t="s">
        <v>42</v>
      </c>
      <c r="B401" s="27" t="s">
        <v>1246</v>
      </c>
      <c r="C401" s="27" t="s">
        <v>1247</v>
      </c>
      <c r="D401" s="27" t="s">
        <v>1248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115100</f>
        <v>115100.0</v>
      </c>
      <c r="L401" s="34" t="s">
        <v>48</v>
      </c>
      <c r="M401" s="33" t="n">
        <f>116900</f>
        <v>116900.0</v>
      </c>
      <c r="N401" s="34" t="s">
        <v>67</v>
      </c>
      <c r="O401" s="33" t="n">
        <f>108100</f>
        <v>108100.0</v>
      </c>
      <c r="P401" s="34" t="s">
        <v>70</v>
      </c>
      <c r="Q401" s="33" t="n">
        <f>109900</f>
        <v>109900.0</v>
      </c>
      <c r="R401" s="34" t="s">
        <v>49</v>
      </c>
      <c r="S401" s="35" t="n">
        <f>111172.22</f>
        <v>111172.22</v>
      </c>
      <c r="T401" s="32" t="n">
        <f>26253</f>
        <v>26253.0</v>
      </c>
      <c r="U401" s="32" t="n">
        <f>3022</f>
        <v>3022.0</v>
      </c>
      <c r="V401" s="32" t="n">
        <f>2923651002</f>
        <v>2.923651002E9</v>
      </c>
      <c r="W401" s="32" t="n">
        <f>336401802</f>
        <v>3.36401802E8</v>
      </c>
      <c r="X401" s="36" t="n">
        <f>18</f>
        <v>18.0</v>
      </c>
    </row>
    <row r="402">
      <c r="A402" s="27" t="s">
        <v>42</v>
      </c>
      <c r="B402" s="27" t="s">
        <v>1249</v>
      </c>
      <c r="C402" s="27" t="s">
        <v>1250</v>
      </c>
      <c r="D402" s="27" t="s">
        <v>1251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103800</f>
        <v>103800.0</v>
      </c>
      <c r="L402" s="34" t="s">
        <v>48</v>
      </c>
      <c r="M402" s="33" t="n">
        <f>104100</f>
        <v>104100.0</v>
      </c>
      <c r="N402" s="34" t="s">
        <v>48</v>
      </c>
      <c r="O402" s="33" t="n">
        <f>98400</f>
        <v>98400.0</v>
      </c>
      <c r="P402" s="34" t="s">
        <v>70</v>
      </c>
      <c r="Q402" s="33" t="n">
        <f>98900</f>
        <v>98900.0</v>
      </c>
      <c r="R402" s="34" t="s">
        <v>49</v>
      </c>
      <c r="S402" s="35" t="n">
        <f>101461.11</f>
        <v>101461.11</v>
      </c>
      <c r="T402" s="32" t="n">
        <f>25270</f>
        <v>25270.0</v>
      </c>
      <c r="U402" s="32" t="n">
        <f>2918</f>
        <v>2918.0</v>
      </c>
      <c r="V402" s="32" t="n">
        <f>2570088648</f>
        <v>2.570088648E9</v>
      </c>
      <c r="W402" s="32" t="n">
        <f>296619648</f>
        <v>2.96619648E8</v>
      </c>
      <c r="X402" s="36" t="n">
        <f>18</f>
        <v>18.0</v>
      </c>
    </row>
    <row r="403">
      <c r="A403" s="27" t="s">
        <v>42</v>
      </c>
      <c r="B403" s="27" t="s">
        <v>1252</v>
      </c>
      <c r="C403" s="27" t="s">
        <v>1253</v>
      </c>
      <c r="D403" s="27" t="s">
        <v>1254</v>
      </c>
      <c r="E403" s="28" t="s">
        <v>46</v>
      </c>
      <c r="F403" s="29" t="s">
        <v>46</v>
      </c>
      <c r="G403" s="30" t="s">
        <v>46</v>
      </c>
      <c r="H403" s="31"/>
      <c r="I403" s="31" t="s">
        <v>416</v>
      </c>
      <c r="J403" s="32" t="n">
        <v>1.0</v>
      </c>
      <c r="K403" s="33" t="n">
        <f>14125</f>
        <v>14125.0</v>
      </c>
      <c r="L403" s="34" t="s">
        <v>48</v>
      </c>
      <c r="M403" s="33" t="n">
        <f>14725</f>
        <v>14725.0</v>
      </c>
      <c r="N403" s="34" t="s">
        <v>69</v>
      </c>
      <c r="O403" s="33" t="n">
        <f>14040</f>
        <v>14040.0</v>
      </c>
      <c r="P403" s="34" t="s">
        <v>48</v>
      </c>
      <c r="Q403" s="33" t="n">
        <f>14580</f>
        <v>14580.0</v>
      </c>
      <c r="R403" s="34" t="s">
        <v>49</v>
      </c>
      <c r="S403" s="35" t="n">
        <f>14426.11</f>
        <v>14426.11</v>
      </c>
      <c r="T403" s="32" t="n">
        <f>13303</f>
        <v>13303.0</v>
      </c>
      <c r="U403" s="32" t="str">
        <f>"－"</f>
        <v>－</v>
      </c>
      <c r="V403" s="32" t="n">
        <f>192227980</f>
        <v>1.9222798E8</v>
      </c>
      <c r="W403" s="32" t="str">
        <f>"－"</f>
        <v>－</v>
      </c>
      <c r="X403" s="36" t="n">
        <f>18</f>
        <v>18.0</v>
      </c>
    </row>
    <row r="404">
      <c r="A404" s="27" t="s">
        <v>42</v>
      </c>
      <c r="B404" s="27" t="s">
        <v>1255</v>
      </c>
      <c r="C404" s="27" t="s">
        <v>1256</v>
      </c>
      <c r="D404" s="27" t="s">
        <v>1257</v>
      </c>
      <c r="E404" s="28" t="s">
        <v>46</v>
      </c>
      <c r="F404" s="29" t="s">
        <v>46</v>
      </c>
      <c r="G404" s="30" t="s">
        <v>46</v>
      </c>
      <c r="H404" s="31"/>
      <c r="I404" s="31" t="s">
        <v>47</v>
      </c>
      <c r="J404" s="32" t="n">
        <v>1.0</v>
      </c>
      <c r="K404" s="33" t="n">
        <f>161500</f>
        <v>161500.0</v>
      </c>
      <c r="L404" s="34" t="s">
        <v>48</v>
      </c>
      <c r="M404" s="33" t="n">
        <f>164500</f>
        <v>164500.0</v>
      </c>
      <c r="N404" s="34" t="s">
        <v>67</v>
      </c>
      <c r="O404" s="33" t="n">
        <f>151000</f>
        <v>151000.0</v>
      </c>
      <c r="P404" s="34" t="s">
        <v>70</v>
      </c>
      <c r="Q404" s="33" t="n">
        <f>152600</f>
        <v>152600.0</v>
      </c>
      <c r="R404" s="34" t="s">
        <v>49</v>
      </c>
      <c r="S404" s="35" t="n">
        <f>155944.44</f>
        <v>155944.44</v>
      </c>
      <c r="T404" s="32" t="n">
        <f>276465</f>
        <v>276465.0</v>
      </c>
      <c r="U404" s="32" t="n">
        <f>64420</f>
        <v>64420.0</v>
      </c>
      <c r="V404" s="32" t="n">
        <f>43303978486</f>
        <v>4.3303978486E10</v>
      </c>
      <c r="W404" s="32" t="n">
        <f>10051616886</f>
        <v>1.0051616886E10</v>
      </c>
      <c r="X404" s="36" t="n">
        <f>18</f>
        <v>18.0</v>
      </c>
    </row>
    <row r="405">
      <c r="A405" s="27" t="s">
        <v>42</v>
      </c>
      <c r="B405" s="27" t="s">
        <v>1258</v>
      </c>
      <c r="C405" s="27" t="s">
        <v>1259</v>
      </c>
      <c r="D405" s="27" t="s">
        <v>1260</v>
      </c>
      <c r="E405" s="28" t="s">
        <v>46</v>
      </c>
      <c r="F405" s="29" t="s">
        <v>46</v>
      </c>
      <c r="G405" s="30" t="s">
        <v>46</v>
      </c>
      <c r="H405" s="31"/>
      <c r="I405" s="31" t="s">
        <v>416</v>
      </c>
      <c r="J405" s="32" t="n">
        <v>1.0</v>
      </c>
      <c r="K405" s="33" t="n">
        <f>112000</f>
        <v>112000.0</v>
      </c>
      <c r="L405" s="34" t="s">
        <v>48</v>
      </c>
      <c r="M405" s="33" t="n">
        <f>115000</f>
        <v>115000.0</v>
      </c>
      <c r="N405" s="34" t="s">
        <v>204</v>
      </c>
      <c r="O405" s="33" t="n">
        <f>105600</f>
        <v>105600.0</v>
      </c>
      <c r="P405" s="34" t="s">
        <v>59</v>
      </c>
      <c r="Q405" s="33" t="n">
        <f>113500</f>
        <v>113500.0</v>
      </c>
      <c r="R405" s="34" t="s">
        <v>49</v>
      </c>
      <c r="S405" s="35" t="n">
        <f>110566.67</f>
        <v>110566.67</v>
      </c>
      <c r="T405" s="32" t="n">
        <f>35849</f>
        <v>35849.0</v>
      </c>
      <c r="U405" s="32" t="n">
        <f>2968</f>
        <v>2968.0</v>
      </c>
      <c r="V405" s="32" t="n">
        <f>3943884437</f>
        <v>3.943884437E9</v>
      </c>
      <c r="W405" s="32" t="n">
        <f>327413637</f>
        <v>3.27413637E8</v>
      </c>
      <c r="X405" s="36" t="n">
        <f>18</f>
        <v>18.0</v>
      </c>
    </row>
    <row r="406">
      <c r="A406" s="27" t="s">
        <v>42</v>
      </c>
      <c r="B406" s="27" t="s">
        <v>1261</v>
      </c>
      <c r="C406" s="27" t="s">
        <v>1262</v>
      </c>
      <c r="D406" s="27" t="s">
        <v>1263</v>
      </c>
      <c r="E406" s="28" t="s">
        <v>46</v>
      </c>
      <c r="F406" s="29" t="s">
        <v>46</v>
      </c>
      <c r="G406" s="30" t="s">
        <v>46</v>
      </c>
      <c r="H406" s="31"/>
      <c r="I406" s="31" t="s">
        <v>47</v>
      </c>
      <c r="J406" s="32" t="n">
        <v>1.0</v>
      </c>
      <c r="K406" s="33" t="n">
        <f>152800</f>
        <v>152800.0</v>
      </c>
      <c r="L406" s="34" t="s">
        <v>48</v>
      </c>
      <c r="M406" s="33" t="n">
        <f>153900</f>
        <v>153900.0</v>
      </c>
      <c r="N406" s="34" t="s">
        <v>48</v>
      </c>
      <c r="O406" s="33" t="n">
        <f>143700</f>
        <v>143700.0</v>
      </c>
      <c r="P406" s="34" t="s">
        <v>104</v>
      </c>
      <c r="Q406" s="33" t="n">
        <f>145700</f>
        <v>145700.0</v>
      </c>
      <c r="R406" s="34" t="s">
        <v>49</v>
      </c>
      <c r="S406" s="35" t="n">
        <f>147772.22</f>
        <v>147772.22</v>
      </c>
      <c r="T406" s="32" t="n">
        <f>115941</f>
        <v>115941.0</v>
      </c>
      <c r="U406" s="32" t="n">
        <f>23420</f>
        <v>23420.0</v>
      </c>
      <c r="V406" s="32" t="n">
        <f>17173758853</f>
        <v>1.7173758853E10</v>
      </c>
      <c r="W406" s="32" t="n">
        <f>3463582653</f>
        <v>3.463582653E9</v>
      </c>
      <c r="X406" s="36" t="n">
        <f>18</f>
        <v>18.0</v>
      </c>
    </row>
    <row r="407">
      <c r="A407" s="27" t="s">
        <v>42</v>
      </c>
      <c r="B407" s="27" t="s">
        <v>1264</v>
      </c>
      <c r="C407" s="27" t="s">
        <v>1265</v>
      </c>
      <c r="D407" s="27" t="s">
        <v>1266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56400</f>
        <v>56400.0</v>
      </c>
      <c r="L407" s="34" t="s">
        <v>48</v>
      </c>
      <c r="M407" s="33" t="n">
        <f>56700</f>
        <v>56700.0</v>
      </c>
      <c r="N407" s="34" t="s">
        <v>67</v>
      </c>
      <c r="O407" s="33" t="n">
        <f>53800</f>
        <v>53800.0</v>
      </c>
      <c r="P407" s="34" t="s">
        <v>104</v>
      </c>
      <c r="Q407" s="33" t="n">
        <f>54700</f>
        <v>54700.0</v>
      </c>
      <c r="R407" s="34" t="s">
        <v>49</v>
      </c>
      <c r="S407" s="35" t="n">
        <f>55216.67</f>
        <v>55216.67</v>
      </c>
      <c r="T407" s="32" t="n">
        <f>175137</f>
        <v>175137.0</v>
      </c>
      <c r="U407" s="32" t="n">
        <f>39097</f>
        <v>39097.0</v>
      </c>
      <c r="V407" s="32" t="n">
        <f>9672838277</f>
        <v>9.672838277E9</v>
      </c>
      <c r="W407" s="32" t="n">
        <f>2162106477</f>
        <v>2.162106477E9</v>
      </c>
      <c r="X407" s="36" t="n">
        <f>18</f>
        <v>18.0</v>
      </c>
    </row>
    <row r="408">
      <c r="A408" s="27" t="s">
        <v>42</v>
      </c>
      <c r="B408" s="27" t="s">
        <v>1267</v>
      </c>
      <c r="C408" s="27" t="s">
        <v>1268</v>
      </c>
      <c r="D408" s="27" t="s">
        <v>1269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4480</f>
        <v>4480.0</v>
      </c>
      <c r="L408" s="34" t="s">
        <v>48</v>
      </c>
      <c r="M408" s="33" t="n">
        <f>5299</f>
        <v>5299.0</v>
      </c>
      <c r="N408" s="34" t="s">
        <v>204</v>
      </c>
      <c r="O408" s="33" t="n">
        <f>4439</f>
        <v>4439.0</v>
      </c>
      <c r="P408" s="34" t="s">
        <v>48</v>
      </c>
      <c r="Q408" s="33" t="n">
        <f>5280</f>
        <v>5280.0</v>
      </c>
      <c r="R408" s="34" t="s">
        <v>49</v>
      </c>
      <c r="S408" s="35" t="n">
        <f>4987.94</f>
        <v>4987.94</v>
      </c>
      <c r="T408" s="32" t="n">
        <f>488961</f>
        <v>488961.0</v>
      </c>
      <c r="U408" s="32" t="n">
        <f>44</f>
        <v>44.0</v>
      </c>
      <c r="V408" s="32" t="n">
        <f>2446389874</f>
        <v>2.446389874E9</v>
      </c>
      <c r="W408" s="32" t="n">
        <f>200800</f>
        <v>200800.0</v>
      </c>
      <c r="X408" s="36" t="n">
        <f>18</f>
        <v>18.0</v>
      </c>
    </row>
    <row r="409">
      <c r="A409" s="27" t="s">
        <v>42</v>
      </c>
      <c r="B409" s="27" t="s">
        <v>1270</v>
      </c>
      <c r="C409" s="27" t="s">
        <v>1271</v>
      </c>
      <c r="D409" s="27" t="s">
        <v>1272</v>
      </c>
      <c r="E409" s="28" t="s">
        <v>46</v>
      </c>
      <c r="F409" s="29" t="s">
        <v>46</v>
      </c>
      <c r="G409" s="30" t="s">
        <v>46</v>
      </c>
      <c r="H409" s="31"/>
      <c r="I409" s="31" t="s">
        <v>416</v>
      </c>
      <c r="J409" s="32" t="n">
        <v>1.0</v>
      </c>
      <c r="K409" s="33" t="n">
        <f>110900</f>
        <v>110900.0</v>
      </c>
      <c r="L409" s="34" t="s">
        <v>48</v>
      </c>
      <c r="M409" s="33" t="n">
        <f>111300</f>
        <v>111300.0</v>
      </c>
      <c r="N409" s="34" t="s">
        <v>87</v>
      </c>
      <c r="O409" s="33" t="n">
        <f>108600</f>
        <v>108600.0</v>
      </c>
      <c r="P409" s="34" t="s">
        <v>59</v>
      </c>
      <c r="Q409" s="33" t="n">
        <f>110900</f>
        <v>110900.0</v>
      </c>
      <c r="R409" s="34" t="s">
        <v>49</v>
      </c>
      <c r="S409" s="35" t="n">
        <f>110216.67</f>
        <v>110216.67</v>
      </c>
      <c r="T409" s="32" t="n">
        <f>13765</f>
        <v>13765.0</v>
      </c>
      <c r="U409" s="32" t="n">
        <f>2246</f>
        <v>2246.0</v>
      </c>
      <c r="V409" s="32" t="n">
        <f>1517013902</f>
        <v>1.517013902E9</v>
      </c>
      <c r="W409" s="32" t="n">
        <f>247548802</f>
        <v>2.47548802E8</v>
      </c>
      <c r="X409" s="36" t="n">
        <f>18</f>
        <v>18.0</v>
      </c>
    </row>
    <row r="410">
      <c r="A410" s="27" t="s">
        <v>42</v>
      </c>
      <c r="B410" s="27" t="s">
        <v>1273</v>
      </c>
      <c r="C410" s="27" t="s">
        <v>1274</v>
      </c>
      <c r="D410" s="27" t="s">
        <v>1275</v>
      </c>
      <c r="E410" s="28" t="s">
        <v>46</v>
      </c>
      <c r="F410" s="29" t="s">
        <v>46</v>
      </c>
      <c r="G410" s="30" t="s">
        <v>46</v>
      </c>
      <c r="H410" s="31"/>
      <c r="I410" s="31" t="s">
        <v>47</v>
      </c>
      <c r="J410" s="32" t="n">
        <v>1.0</v>
      </c>
      <c r="K410" s="33" t="n">
        <f>112000</f>
        <v>112000.0</v>
      </c>
      <c r="L410" s="34" t="s">
        <v>48</v>
      </c>
      <c r="M410" s="33" t="n">
        <f>112000</f>
        <v>112000.0</v>
      </c>
      <c r="N410" s="34" t="s">
        <v>48</v>
      </c>
      <c r="O410" s="33" t="n">
        <f>106000</f>
        <v>106000.0</v>
      </c>
      <c r="P410" s="34" t="s">
        <v>70</v>
      </c>
      <c r="Q410" s="33" t="n">
        <f>107900</f>
        <v>107900.0</v>
      </c>
      <c r="R410" s="34" t="s">
        <v>49</v>
      </c>
      <c r="S410" s="35" t="n">
        <f>108816.67</f>
        <v>108816.67</v>
      </c>
      <c r="T410" s="32" t="n">
        <f>218156</f>
        <v>218156.0</v>
      </c>
      <c r="U410" s="32" t="n">
        <f>55373</f>
        <v>55373.0</v>
      </c>
      <c r="V410" s="32" t="n">
        <f>23774254778</f>
        <v>2.3774254778E10</v>
      </c>
      <c r="W410" s="32" t="n">
        <f>6055468278</f>
        <v>6.055468278E9</v>
      </c>
      <c r="X410" s="36" t="n">
        <f>18</f>
        <v>18.0</v>
      </c>
    </row>
    <row r="411">
      <c r="A411" s="27" t="s">
        <v>42</v>
      </c>
      <c r="B411" s="27" t="s">
        <v>1276</v>
      </c>
      <c r="C411" s="27" t="s">
        <v>1277</v>
      </c>
      <c r="D411" s="27" t="s">
        <v>1278</v>
      </c>
      <c r="E411" s="28" t="s">
        <v>46</v>
      </c>
      <c r="F411" s="29" t="s">
        <v>46</v>
      </c>
      <c r="G411" s="30" t="s">
        <v>46</v>
      </c>
      <c r="H411" s="31"/>
      <c r="I411" s="31" t="s">
        <v>416</v>
      </c>
      <c r="J411" s="32" t="n">
        <v>1.0</v>
      </c>
      <c r="K411" s="33" t="n">
        <f>70800</f>
        <v>70800.0</v>
      </c>
      <c r="L411" s="34" t="s">
        <v>48</v>
      </c>
      <c r="M411" s="33" t="n">
        <f>71500</f>
        <v>71500.0</v>
      </c>
      <c r="N411" s="34" t="s">
        <v>67</v>
      </c>
      <c r="O411" s="33" t="n">
        <f>65100</f>
        <v>65100.0</v>
      </c>
      <c r="P411" s="34" t="s">
        <v>70</v>
      </c>
      <c r="Q411" s="33" t="n">
        <f>65900</f>
        <v>65900.0</v>
      </c>
      <c r="R411" s="34" t="s">
        <v>49</v>
      </c>
      <c r="S411" s="35" t="n">
        <f>68800</f>
        <v>68800.0</v>
      </c>
      <c r="T411" s="32" t="n">
        <f>61973</f>
        <v>61973.0</v>
      </c>
      <c r="U411" s="32" t="n">
        <f>5163</f>
        <v>5163.0</v>
      </c>
      <c r="V411" s="32" t="n">
        <f>4229549738</f>
        <v>4.229549738E9</v>
      </c>
      <c r="W411" s="32" t="n">
        <f>351142538</f>
        <v>3.51142538E8</v>
      </c>
      <c r="X411" s="36" t="n">
        <f>18</f>
        <v>18.0</v>
      </c>
    </row>
    <row r="412">
      <c r="A412" s="27" t="s">
        <v>42</v>
      </c>
      <c r="B412" s="27" t="s">
        <v>1279</v>
      </c>
      <c r="C412" s="27" t="s">
        <v>1280</v>
      </c>
      <c r="D412" s="27" t="s">
        <v>1281</v>
      </c>
      <c r="E412" s="28" t="s">
        <v>46</v>
      </c>
      <c r="F412" s="29" t="s">
        <v>46</v>
      </c>
      <c r="G412" s="30" t="s">
        <v>46</v>
      </c>
      <c r="H412" s="31"/>
      <c r="I412" s="31" t="s">
        <v>47</v>
      </c>
      <c r="J412" s="32" t="n">
        <v>1.0</v>
      </c>
      <c r="K412" s="33" t="n">
        <f>46000</f>
        <v>46000.0</v>
      </c>
      <c r="L412" s="34" t="s">
        <v>48</v>
      </c>
      <c r="M412" s="33" t="n">
        <f>46000</f>
        <v>46000.0</v>
      </c>
      <c r="N412" s="34" t="s">
        <v>48</v>
      </c>
      <c r="O412" s="33" t="n">
        <f>43600</f>
        <v>43600.0</v>
      </c>
      <c r="P412" s="34" t="s">
        <v>70</v>
      </c>
      <c r="Q412" s="33" t="n">
        <f>43900</f>
        <v>43900.0</v>
      </c>
      <c r="R412" s="34" t="s">
        <v>49</v>
      </c>
      <c r="S412" s="35" t="n">
        <f>44783.33</f>
        <v>44783.33</v>
      </c>
      <c r="T412" s="32" t="n">
        <f>149233</f>
        <v>149233.0</v>
      </c>
      <c r="U412" s="32" t="n">
        <f>29213</f>
        <v>29213.0</v>
      </c>
      <c r="V412" s="32" t="n">
        <f>6687886971</f>
        <v>6.687886971E9</v>
      </c>
      <c r="W412" s="32" t="n">
        <f>1308170821</f>
        <v>1.308170821E9</v>
      </c>
      <c r="X412" s="36" t="n">
        <f>18</f>
        <v>18.0</v>
      </c>
    </row>
    <row r="413">
      <c r="A413" s="27" t="s">
        <v>42</v>
      </c>
      <c r="B413" s="27" t="s">
        <v>1282</v>
      </c>
      <c r="C413" s="27" t="s">
        <v>1283</v>
      </c>
      <c r="D413" s="27" t="s">
        <v>1284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121500</f>
        <v>121500.0</v>
      </c>
      <c r="L413" s="34" t="s">
        <v>48</v>
      </c>
      <c r="M413" s="33" t="n">
        <f>123400</f>
        <v>123400.0</v>
      </c>
      <c r="N413" s="34" t="s">
        <v>67</v>
      </c>
      <c r="O413" s="33" t="n">
        <f>119100</f>
        <v>119100.0</v>
      </c>
      <c r="P413" s="34" t="s">
        <v>205</v>
      </c>
      <c r="Q413" s="33" t="n">
        <f>121600</f>
        <v>121600.0</v>
      </c>
      <c r="R413" s="34" t="s">
        <v>49</v>
      </c>
      <c r="S413" s="35" t="n">
        <f>120972.22</f>
        <v>120972.22</v>
      </c>
      <c r="T413" s="32" t="n">
        <f>108195</f>
        <v>108195.0</v>
      </c>
      <c r="U413" s="32" t="n">
        <f>23939</f>
        <v>23939.0</v>
      </c>
      <c r="V413" s="32" t="n">
        <f>13102253136</f>
        <v>1.3102253136E10</v>
      </c>
      <c r="W413" s="32" t="n">
        <f>2902515336</f>
        <v>2.902515336E9</v>
      </c>
      <c r="X413" s="36" t="n">
        <f>18</f>
        <v>18.0</v>
      </c>
    </row>
    <row r="414">
      <c r="A414" s="27" t="s">
        <v>42</v>
      </c>
      <c r="B414" s="27" t="s">
        <v>1285</v>
      </c>
      <c r="C414" s="27" t="s">
        <v>1286</v>
      </c>
      <c r="D414" s="27" t="s">
        <v>1287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154900</f>
        <v>154900.0</v>
      </c>
      <c r="L414" s="34" t="s">
        <v>48</v>
      </c>
      <c r="M414" s="33" t="n">
        <f>156600</f>
        <v>156600.0</v>
      </c>
      <c r="N414" s="34" t="s">
        <v>67</v>
      </c>
      <c r="O414" s="33" t="n">
        <f>145200</f>
        <v>145200.0</v>
      </c>
      <c r="P414" s="34" t="s">
        <v>104</v>
      </c>
      <c r="Q414" s="33" t="n">
        <f>147800</f>
        <v>147800.0</v>
      </c>
      <c r="R414" s="34" t="s">
        <v>49</v>
      </c>
      <c r="S414" s="35" t="n">
        <f>149944.44</f>
        <v>149944.44</v>
      </c>
      <c r="T414" s="32" t="n">
        <f>37177</f>
        <v>37177.0</v>
      </c>
      <c r="U414" s="32" t="n">
        <f>8336</f>
        <v>8336.0</v>
      </c>
      <c r="V414" s="32" t="n">
        <f>5559745242</f>
        <v>5.559745242E9</v>
      </c>
      <c r="W414" s="32" t="n">
        <f>1246727542</f>
        <v>1.246727542E9</v>
      </c>
      <c r="X414" s="36" t="n">
        <f>18</f>
        <v>18.0</v>
      </c>
    </row>
    <row r="415">
      <c r="A415" s="27" t="s">
        <v>42</v>
      </c>
      <c r="B415" s="27" t="s">
        <v>1288</v>
      </c>
      <c r="C415" s="27" t="s">
        <v>1289</v>
      </c>
      <c r="D415" s="27" t="s">
        <v>1290</v>
      </c>
      <c r="E415" s="28" t="s">
        <v>46</v>
      </c>
      <c r="F415" s="29" t="s">
        <v>46</v>
      </c>
      <c r="G415" s="30" t="s">
        <v>46</v>
      </c>
      <c r="H415" s="31"/>
      <c r="I415" s="31" t="s">
        <v>416</v>
      </c>
      <c r="J415" s="32" t="n">
        <v>1.0</v>
      </c>
      <c r="K415" s="33" t="n">
        <f>108900</f>
        <v>108900.0</v>
      </c>
      <c r="L415" s="34" t="s">
        <v>48</v>
      </c>
      <c r="M415" s="33" t="n">
        <f>109600</f>
        <v>109600.0</v>
      </c>
      <c r="N415" s="34" t="s">
        <v>67</v>
      </c>
      <c r="O415" s="33" t="n">
        <f>105900</f>
        <v>105900.0</v>
      </c>
      <c r="P415" s="34" t="s">
        <v>70</v>
      </c>
      <c r="Q415" s="33" t="n">
        <f>106300</f>
        <v>106300.0</v>
      </c>
      <c r="R415" s="34" t="s">
        <v>49</v>
      </c>
      <c r="S415" s="35" t="n">
        <f>107561.11</f>
        <v>107561.11</v>
      </c>
      <c r="T415" s="32" t="n">
        <f>23148</f>
        <v>23148.0</v>
      </c>
      <c r="U415" s="32" t="n">
        <f>2189</f>
        <v>2189.0</v>
      </c>
      <c r="V415" s="32" t="n">
        <f>2487972366</f>
        <v>2.487972366E9</v>
      </c>
      <c r="W415" s="32" t="n">
        <f>235370366</f>
        <v>2.35370366E8</v>
      </c>
      <c r="X415" s="36" t="n">
        <f>18</f>
        <v>18.0</v>
      </c>
    </row>
    <row r="416">
      <c r="A416" s="27" t="s">
        <v>42</v>
      </c>
      <c r="B416" s="27" t="s">
        <v>1291</v>
      </c>
      <c r="C416" s="27" t="s">
        <v>1292</v>
      </c>
      <c r="D416" s="27" t="s">
        <v>1293</v>
      </c>
      <c r="E416" s="28" t="s">
        <v>46</v>
      </c>
      <c r="F416" s="29" t="s">
        <v>46</v>
      </c>
      <c r="G416" s="30" t="s">
        <v>46</v>
      </c>
      <c r="H416" s="31"/>
      <c r="I416" s="31" t="s">
        <v>47</v>
      </c>
      <c r="J416" s="32" t="n">
        <v>10.0</v>
      </c>
      <c r="K416" s="33" t="n">
        <f>275.4</f>
        <v>275.4</v>
      </c>
      <c r="L416" s="34" t="s">
        <v>48</v>
      </c>
      <c r="M416" s="33" t="n">
        <f>294.2</f>
        <v>294.2</v>
      </c>
      <c r="N416" s="34" t="s">
        <v>49</v>
      </c>
      <c r="O416" s="33" t="n">
        <f>270.8</f>
        <v>270.8</v>
      </c>
      <c r="P416" s="34" t="s">
        <v>48</v>
      </c>
      <c r="Q416" s="33" t="n">
        <f>294</f>
        <v>294.0</v>
      </c>
      <c r="R416" s="34" t="s">
        <v>49</v>
      </c>
      <c r="S416" s="35" t="n">
        <f>285.26</f>
        <v>285.26</v>
      </c>
      <c r="T416" s="32" t="n">
        <f>615920</f>
        <v>615920.0</v>
      </c>
      <c r="U416" s="32" t="n">
        <f>160</f>
        <v>160.0</v>
      </c>
      <c r="V416" s="32" t="n">
        <f>175305606</f>
        <v>1.75305606E8</v>
      </c>
      <c r="W416" s="32" t="n">
        <f>45536</f>
        <v>45536.0</v>
      </c>
      <c r="X416" s="36" t="n">
        <f>18</f>
        <v>18.0</v>
      </c>
    </row>
    <row r="417">
      <c r="A417" s="27" t="s">
        <v>42</v>
      </c>
      <c r="B417" s="27" t="s">
        <v>1294</v>
      </c>
      <c r="C417" s="27" t="s">
        <v>1295</v>
      </c>
      <c r="D417" s="27" t="s">
        <v>1296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1.0</v>
      </c>
      <c r="K417" s="33" t="n">
        <f>87800</f>
        <v>87800.0</v>
      </c>
      <c r="L417" s="34" t="s">
        <v>48</v>
      </c>
      <c r="M417" s="33" t="n">
        <f>87800</f>
        <v>87800.0</v>
      </c>
      <c r="N417" s="34" t="s">
        <v>48</v>
      </c>
      <c r="O417" s="33" t="n">
        <f>81900</f>
        <v>81900.0</v>
      </c>
      <c r="P417" s="34" t="s">
        <v>70</v>
      </c>
      <c r="Q417" s="33" t="n">
        <f>82800</f>
        <v>82800.0</v>
      </c>
      <c r="R417" s="34" t="s">
        <v>49</v>
      </c>
      <c r="S417" s="35" t="n">
        <f>84833.33</f>
        <v>84833.33</v>
      </c>
      <c r="T417" s="32" t="n">
        <f>195213</f>
        <v>195213.0</v>
      </c>
      <c r="U417" s="32" t="n">
        <f>56817</f>
        <v>56817.0</v>
      </c>
      <c r="V417" s="32" t="n">
        <f>16340028154</f>
        <v>1.6340028154E10</v>
      </c>
      <c r="W417" s="32" t="n">
        <f>4721700454</f>
        <v>4.721700454E9</v>
      </c>
      <c r="X417" s="36" t="n">
        <f>18</f>
        <v>18.0</v>
      </c>
    </row>
    <row r="418">
      <c r="A418" s="27" t="s">
        <v>42</v>
      </c>
      <c r="B418" s="27" t="s">
        <v>1297</v>
      </c>
      <c r="C418" s="27" t="s">
        <v>1298</v>
      </c>
      <c r="D418" s="27" t="s">
        <v>1299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10.0</v>
      </c>
      <c r="K418" s="33" t="n">
        <f>753.8</f>
        <v>753.8</v>
      </c>
      <c r="L418" s="34" t="s">
        <v>48</v>
      </c>
      <c r="M418" s="33" t="n">
        <f>869.1</f>
        <v>869.1</v>
      </c>
      <c r="N418" s="34" t="s">
        <v>49</v>
      </c>
      <c r="O418" s="33" t="n">
        <f>746.9</f>
        <v>746.9</v>
      </c>
      <c r="P418" s="34" t="s">
        <v>48</v>
      </c>
      <c r="Q418" s="33" t="n">
        <f>867.5</f>
        <v>867.5</v>
      </c>
      <c r="R418" s="34" t="s">
        <v>49</v>
      </c>
      <c r="S418" s="35" t="n">
        <f>808.33</f>
        <v>808.33</v>
      </c>
      <c r="T418" s="32" t="n">
        <f>41200</f>
        <v>41200.0</v>
      </c>
      <c r="U418" s="32" t="str">
        <f>"－"</f>
        <v>－</v>
      </c>
      <c r="V418" s="32" t="n">
        <f>33302917</f>
        <v>3.3302917E7</v>
      </c>
      <c r="W418" s="32" t="str">
        <f>"－"</f>
        <v>－</v>
      </c>
      <c r="X418" s="36" t="n">
        <f>18</f>
        <v>18.0</v>
      </c>
    </row>
    <row r="419">
      <c r="A419" s="27" t="s">
        <v>42</v>
      </c>
      <c r="B419" s="27" t="s">
        <v>1300</v>
      </c>
      <c r="C419" s="27" t="s">
        <v>1301</v>
      </c>
      <c r="D419" s="27" t="s">
        <v>1302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1.0</v>
      </c>
      <c r="K419" s="33" t="n">
        <f>2855</f>
        <v>2855.0</v>
      </c>
      <c r="L419" s="34" t="s">
        <v>48</v>
      </c>
      <c r="M419" s="33" t="n">
        <f>3060</f>
        <v>3060.0</v>
      </c>
      <c r="N419" s="34" t="s">
        <v>49</v>
      </c>
      <c r="O419" s="33" t="n">
        <f>2829</f>
        <v>2829.0</v>
      </c>
      <c r="P419" s="34" t="s">
        <v>48</v>
      </c>
      <c r="Q419" s="33" t="n">
        <f>3060</f>
        <v>3060.0</v>
      </c>
      <c r="R419" s="34" t="s">
        <v>49</v>
      </c>
      <c r="S419" s="35" t="n">
        <f>2963.44</f>
        <v>2963.44</v>
      </c>
      <c r="T419" s="32" t="n">
        <f>733022</f>
        <v>733022.0</v>
      </c>
      <c r="U419" s="32" t="n">
        <f>270865</f>
        <v>270865.0</v>
      </c>
      <c r="V419" s="32" t="n">
        <f>2163173512</f>
        <v>2.163173512E9</v>
      </c>
      <c r="W419" s="32" t="n">
        <f>795126682</f>
        <v>7.95126682E8</v>
      </c>
      <c r="X419" s="36" t="n">
        <f>18</f>
        <v>18.0</v>
      </c>
    </row>
    <row r="420">
      <c r="A420" s="27" t="s">
        <v>42</v>
      </c>
      <c r="B420" s="27" t="s">
        <v>1303</v>
      </c>
      <c r="C420" s="27" t="s">
        <v>1304</v>
      </c>
      <c r="D420" s="27" t="s">
        <v>1305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1428</f>
        <v>1428.0</v>
      </c>
      <c r="L420" s="34" t="s">
        <v>48</v>
      </c>
      <c r="M420" s="33" t="n">
        <f>1514</f>
        <v>1514.0</v>
      </c>
      <c r="N420" s="34" t="s">
        <v>204</v>
      </c>
      <c r="O420" s="33" t="n">
        <f>1414</f>
        <v>1414.0</v>
      </c>
      <c r="P420" s="34" t="s">
        <v>48</v>
      </c>
      <c r="Q420" s="33" t="n">
        <f>1500</f>
        <v>1500.0</v>
      </c>
      <c r="R420" s="34" t="s">
        <v>49</v>
      </c>
      <c r="S420" s="35" t="n">
        <f>1463.5</f>
        <v>1463.5</v>
      </c>
      <c r="T420" s="32" t="n">
        <f>42644</f>
        <v>42644.0</v>
      </c>
      <c r="U420" s="32" t="n">
        <f>8</f>
        <v>8.0</v>
      </c>
      <c r="V420" s="32" t="n">
        <f>61992574</f>
        <v>6.1992574E7</v>
      </c>
      <c r="W420" s="32" t="n">
        <f>11640</f>
        <v>11640.0</v>
      </c>
      <c r="X420" s="36" t="n">
        <f>18</f>
        <v>18.0</v>
      </c>
    </row>
    <row r="421">
      <c r="A421" s="27" t="s">
        <v>42</v>
      </c>
      <c r="B421" s="27" t="s">
        <v>1306</v>
      </c>
      <c r="C421" s="27" t="s">
        <v>1307</v>
      </c>
      <c r="D421" s="27" t="s">
        <v>1308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10.0</v>
      </c>
      <c r="K421" s="33" t="n">
        <f>1145</f>
        <v>1145.0</v>
      </c>
      <c r="L421" s="34" t="s">
        <v>203</v>
      </c>
      <c r="M421" s="33" t="n">
        <f>1145</f>
        <v>1145.0</v>
      </c>
      <c r="N421" s="34" t="s">
        <v>203</v>
      </c>
      <c r="O421" s="33" t="n">
        <f>1088.5</f>
        <v>1088.5</v>
      </c>
      <c r="P421" s="34" t="s">
        <v>70</v>
      </c>
      <c r="Q421" s="33" t="n">
        <f>1088.5</f>
        <v>1088.5</v>
      </c>
      <c r="R421" s="34" t="s">
        <v>70</v>
      </c>
      <c r="S421" s="35" t="n">
        <f>1101.77</f>
        <v>1101.77</v>
      </c>
      <c r="T421" s="32" t="n">
        <f>1740</f>
        <v>1740.0</v>
      </c>
      <c r="U421" s="32" t="n">
        <f>90</f>
        <v>90.0</v>
      </c>
      <c r="V421" s="32" t="n">
        <f>1922065</f>
        <v>1922065.0</v>
      </c>
      <c r="W421" s="32" t="n">
        <f>99675</f>
        <v>99675.0</v>
      </c>
      <c r="X421" s="36" t="n">
        <f>13</f>
        <v>13.0</v>
      </c>
    </row>
    <row r="422">
      <c r="A422" s="27" t="s">
        <v>42</v>
      </c>
      <c r="B422" s="27" t="s">
        <v>1309</v>
      </c>
      <c r="C422" s="27" t="s">
        <v>1310</v>
      </c>
      <c r="D422" s="27" t="s">
        <v>1311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1.0</v>
      </c>
      <c r="K422" s="33" t="n">
        <f>2638</f>
        <v>2638.0</v>
      </c>
      <c r="L422" s="34" t="s">
        <v>48</v>
      </c>
      <c r="M422" s="33" t="n">
        <f>2700</f>
        <v>2700.0</v>
      </c>
      <c r="N422" s="34" t="s">
        <v>204</v>
      </c>
      <c r="O422" s="33" t="n">
        <f>2547</f>
        <v>2547.0</v>
      </c>
      <c r="P422" s="34" t="s">
        <v>83</v>
      </c>
      <c r="Q422" s="33" t="n">
        <f>2660</f>
        <v>2660.0</v>
      </c>
      <c r="R422" s="34" t="s">
        <v>49</v>
      </c>
      <c r="S422" s="35" t="n">
        <f>2628.83</f>
        <v>2628.83</v>
      </c>
      <c r="T422" s="32" t="n">
        <f>46022</f>
        <v>46022.0</v>
      </c>
      <c r="U422" s="32" t="n">
        <f>1</f>
        <v>1.0</v>
      </c>
      <c r="V422" s="32" t="n">
        <f>121713197</f>
        <v>1.21713197E8</v>
      </c>
      <c r="W422" s="32" t="n">
        <f>2622</f>
        <v>2622.0</v>
      </c>
      <c r="X422" s="36" t="n">
        <f>18</f>
        <v>18.0</v>
      </c>
    </row>
    <row r="423">
      <c r="A423" s="27" t="s">
        <v>42</v>
      </c>
      <c r="B423" s="27" t="s">
        <v>1312</v>
      </c>
      <c r="C423" s="27" t="s">
        <v>1313</v>
      </c>
      <c r="D423" s="27" t="s">
        <v>1314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2353</f>
        <v>2353.0</v>
      </c>
      <c r="L423" s="34" t="s">
        <v>48</v>
      </c>
      <c r="M423" s="33" t="n">
        <f>2390</f>
        <v>2390.0</v>
      </c>
      <c r="N423" s="34" t="s">
        <v>204</v>
      </c>
      <c r="O423" s="33" t="n">
        <f>2303</f>
        <v>2303.0</v>
      </c>
      <c r="P423" s="34" t="s">
        <v>83</v>
      </c>
      <c r="Q423" s="33" t="n">
        <f>2375</f>
        <v>2375.0</v>
      </c>
      <c r="R423" s="34" t="s">
        <v>49</v>
      </c>
      <c r="S423" s="35" t="n">
        <f>2343.22</f>
        <v>2343.22</v>
      </c>
      <c r="T423" s="32" t="n">
        <f>225664</f>
        <v>225664.0</v>
      </c>
      <c r="U423" s="32" t="n">
        <f>2108</f>
        <v>2108.0</v>
      </c>
      <c r="V423" s="32" t="n">
        <f>527689227</f>
        <v>5.27689227E8</v>
      </c>
      <c r="W423" s="32" t="n">
        <f>4988640</f>
        <v>4988640.0</v>
      </c>
      <c r="X423" s="36" t="n">
        <f>18</f>
        <v>18.0</v>
      </c>
    </row>
    <row r="424">
      <c r="A424" s="27" t="s">
        <v>42</v>
      </c>
      <c r="B424" s="27" t="s">
        <v>1315</v>
      </c>
      <c r="C424" s="27" t="s">
        <v>1316</v>
      </c>
      <c r="D424" s="27" t="s">
        <v>1317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4948</f>
        <v>4948.0</v>
      </c>
      <c r="L424" s="34" t="s">
        <v>48</v>
      </c>
      <c r="M424" s="33" t="n">
        <f>5613</f>
        <v>5613.0</v>
      </c>
      <c r="N424" s="34" t="s">
        <v>204</v>
      </c>
      <c r="O424" s="33" t="n">
        <f>4878</f>
        <v>4878.0</v>
      </c>
      <c r="P424" s="34" t="s">
        <v>69</v>
      </c>
      <c r="Q424" s="33" t="n">
        <f>4957</f>
        <v>4957.0</v>
      </c>
      <c r="R424" s="34" t="s">
        <v>49</v>
      </c>
      <c r="S424" s="35" t="n">
        <f>4932.25</f>
        <v>4932.25</v>
      </c>
      <c r="T424" s="32" t="n">
        <f>48956</f>
        <v>48956.0</v>
      </c>
      <c r="U424" s="32" t="n">
        <f>1</f>
        <v>1.0</v>
      </c>
      <c r="V424" s="32" t="n">
        <f>241668459</f>
        <v>2.41668459E8</v>
      </c>
      <c r="W424" s="32" t="n">
        <f>4938</f>
        <v>4938.0</v>
      </c>
      <c r="X424" s="36" t="n">
        <f>16</f>
        <v>16.0</v>
      </c>
    </row>
    <row r="425">
      <c r="A425" s="27" t="s">
        <v>42</v>
      </c>
      <c r="B425" s="27" t="s">
        <v>1318</v>
      </c>
      <c r="C425" s="27" t="s">
        <v>1319</v>
      </c>
      <c r="D425" s="27" t="s">
        <v>1320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1284</f>
        <v>1284.0</v>
      </c>
      <c r="L425" s="34" t="s">
        <v>48</v>
      </c>
      <c r="M425" s="33" t="n">
        <f>1402</f>
        <v>1402.0</v>
      </c>
      <c r="N425" s="34" t="s">
        <v>83</v>
      </c>
      <c r="O425" s="33" t="n">
        <f>1227</f>
        <v>1227.0</v>
      </c>
      <c r="P425" s="34" t="s">
        <v>87</v>
      </c>
      <c r="Q425" s="33" t="n">
        <f>1357</f>
        <v>1357.0</v>
      </c>
      <c r="R425" s="34" t="s">
        <v>49</v>
      </c>
      <c r="S425" s="35" t="n">
        <f>1325.11</f>
        <v>1325.11</v>
      </c>
      <c r="T425" s="32" t="n">
        <f>37566</f>
        <v>37566.0</v>
      </c>
      <c r="U425" s="32" t="n">
        <f>5</f>
        <v>5.0</v>
      </c>
      <c r="V425" s="32" t="n">
        <f>49869223</f>
        <v>4.9869223E7</v>
      </c>
      <c r="W425" s="32" t="n">
        <f>6610</f>
        <v>6610.0</v>
      </c>
      <c r="X425" s="36" t="n">
        <f>18</f>
        <v>18.0</v>
      </c>
    </row>
    <row r="426">
      <c r="A426" s="27" t="s">
        <v>42</v>
      </c>
      <c r="B426" s="27" t="s">
        <v>1321</v>
      </c>
      <c r="C426" s="27" t="s">
        <v>1322</v>
      </c>
      <c r="D426" s="27" t="s">
        <v>1323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1050</f>
        <v>1050.0</v>
      </c>
      <c r="L426" s="34" t="s">
        <v>48</v>
      </c>
      <c r="M426" s="33" t="n">
        <f>1102</f>
        <v>1102.0</v>
      </c>
      <c r="N426" s="34" t="s">
        <v>59</v>
      </c>
      <c r="O426" s="33" t="n">
        <f>1007</f>
        <v>1007.0</v>
      </c>
      <c r="P426" s="34" t="s">
        <v>104</v>
      </c>
      <c r="Q426" s="33" t="n">
        <f>1036</f>
        <v>1036.0</v>
      </c>
      <c r="R426" s="34" t="s">
        <v>49</v>
      </c>
      <c r="S426" s="35" t="n">
        <f>1042.22</f>
        <v>1042.22</v>
      </c>
      <c r="T426" s="32" t="n">
        <f>626477</f>
        <v>626477.0</v>
      </c>
      <c r="U426" s="32" t="str">
        <f>"－"</f>
        <v>－</v>
      </c>
      <c r="V426" s="32" t="n">
        <f>653829540</f>
        <v>6.5382954E8</v>
      </c>
      <c r="W426" s="32" t="str">
        <f>"－"</f>
        <v>－</v>
      </c>
      <c r="X426" s="36" t="n">
        <f>18</f>
        <v>18.0</v>
      </c>
    </row>
    <row r="427">
      <c r="A427" s="27" t="s">
        <v>42</v>
      </c>
      <c r="B427" s="27" t="s">
        <v>1324</v>
      </c>
      <c r="C427" s="27" t="s">
        <v>1325</v>
      </c>
      <c r="D427" s="27" t="s">
        <v>1326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2260</f>
        <v>2260.0</v>
      </c>
      <c r="L427" s="34" t="s">
        <v>48</v>
      </c>
      <c r="M427" s="33" t="n">
        <f>2260</f>
        <v>2260.0</v>
      </c>
      <c r="N427" s="34" t="s">
        <v>48</v>
      </c>
      <c r="O427" s="33" t="n">
        <f>2173</f>
        <v>2173.0</v>
      </c>
      <c r="P427" s="34" t="s">
        <v>67</v>
      </c>
      <c r="Q427" s="33" t="n">
        <f>2207</f>
        <v>2207.0</v>
      </c>
      <c r="R427" s="34" t="s">
        <v>49</v>
      </c>
      <c r="S427" s="35" t="n">
        <f>2191.28</f>
        <v>2191.28</v>
      </c>
      <c r="T427" s="32" t="n">
        <f>12415951</f>
        <v>1.2415951E7</v>
      </c>
      <c r="U427" s="32" t="n">
        <f>11520003</f>
        <v>1.1520003E7</v>
      </c>
      <c r="V427" s="32" t="n">
        <f>27260484175</f>
        <v>2.7260484175E10</v>
      </c>
      <c r="W427" s="32" t="n">
        <f>25297079637</f>
        <v>2.5297079637E10</v>
      </c>
      <c r="X427" s="36" t="n">
        <f>18</f>
        <v>18.0</v>
      </c>
    </row>
    <row r="428">
      <c r="A428" s="27" t="s">
        <v>42</v>
      </c>
      <c r="B428" s="27" t="s">
        <v>1327</v>
      </c>
      <c r="C428" s="27" t="s">
        <v>1328</v>
      </c>
      <c r="D428" s="27" t="s">
        <v>1329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1977</f>
        <v>1977.0</v>
      </c>
      <c r="L428" s="34" t="s">
        <v>48</v>
      </c>
      <c r="M428" s="33" t="n">
        <f>1977</f>
        <v>1977.0</v>
      </c>
      <c r="N428" s="34" t="s">
        <v>48</v>
      </c>
      <c r="O428" s="33" t="n">
        <f>1911</f>
        <v>1911.0</v>
      </c>
      <c r="P428" s="34" t="s">
        <v>69</v>
      </c>
      <c r="Q428" s="33" t="n">
        <f>1922</f>
        <v>1922.0</v>
      </c>
      <c r="R428" s="34" t="s">
        <v>49</v>
      </c>
      <c r="S428" s="35" t="n">
        <f>1926.75</f>
        <v>1926.75</v>
      </c>
      <c r="T428" s="32" t="n">
        <f>1938853</f>
        <v>1938853.0</v>
      </c>
      <c r="U428" s="32" t="n">
        <f>1810000</f>
        <v>1810000.0</v>
      </c>
      <c r="V428" s="32" t="n">
        <f>3742217946</f>
        <v>3.742217946E9</v>
      </c>
      <c r="W428" s="32" t="n">
        <f>3494590500</f>
        <v>3.4945905E9</v>
      </c>
      <c r="X428" s="36" t="n">
        <f>16</f>
        <v>16.0</v>
      </c>
    </row>
    <row r="429">
      <c r="A429" s="27" t="s">
        <v>42</v>
      </c>
      <c r="B429" s="27" t="s">
        <v>1330</v>
      </c>
      <c r="C429" s="27" t="s">
        <v>1331</v>
      </c>
      <c r="D429" s="27" t="s">
        <v>1332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2465</f>
        <v>2465.0</v>
      </c>
      <c r="L429" s="34" t="s">
        <v>48</v>
      </c>
      <c r="M429" s="33" t="n">
        <f>2554</f>
        <v>2554.0</v>
      </c>
      <c r="N429" s="34" t="s">
        <v>68</v>
      </c>
      <c r="O429" s="33" t="n">
        <f>2431</f>
        <v>2431.0</v>
      </c>
      <c r="P429" s="34" t="s">
        <v>59</v>
      </c>
      <c r="Q429" s="33" t="n">
        <f>2545</f>
        <v>2545.0</v>
      </c>
      <c r="R429" s="34" t="s">
        <v>49</v>
      </c>
      <c r="S429" s="35" t="n">
        <f>2484.39</f>
        <v>2484.39</v>
      </c>
      <c r="T429" s="32" t="n">
        <f>53306</f>
        <v>53306.0</v>
      </c>
      <c r="U429" s="32" t="n">
        <f>39008</f>
        <v>39008.0</v>
      </c>
      <c r="V429" s="32" t="n">
        <f>134243150</f>
        <v>1.3424315E8</v>
      </c>
      <c r="W429" s="32" t="n">
        <f>98579844</f>
        <v>9.8579844E7</v>
      </c>
      <c r="X429" s="36" t="n">
        <f>18</f>
        <v>18.0</v>
      </c>
    </row>
    <row r="430">
      <c r="A430" s="27" t="s">
        <v>42</v>
      </c>
      <c r="B430" s="27" t="s">
        <v>1333</v>
      </c>
      <c r="C430" s="27" t="s">
        <v>1334</v>
      </c>
      <c r="D430" s="27" t="s">
        <v>1335</v>
      </c>
      <c r="E430" s="28" t="s">
        <v>46</v>
      </c>
      <c r="F430" s="29" t="s">
        <v>46</v>
      </c>
      <c r="G430" s="30" t="s">
        <v>46</v>
      </c>
      <c r="H430" s="31"/>
      <c r="I430" s="31" t="s">
        <v>416</v>
      </c>
      <c r="J430" s="32" t="n">
        <v>10.0</v>
      </c>
      <c r="K430" s="33" t="n">
        <f>259.2</f>
        <v>259.2</v>
      </c>
      <c r="L430" s="34" t="s">
        <v>48</v>
      </c>
      <c r="M430" s="33" t="n">
        <f>290.7</f>
        <v>290.7</v>
      </c>
      <c r="N430" s="34" t="s">
        <v>49</v>
      </c>
      <c r="O430" s="33" t="n">
        <f>256.4</f>
        <v>256.4</v>
      </c>
      <c r="P430" s="34" t="s">
        <v>48</v>
      </c>
      <c r="Q430" s="33" t="n">
        <f>290.5</f>
        <v>290.5</v>
      </c>
      <c r="R430" s="34" t="s">
        <v>49</v>
      </c>
      <c r="S430" s="35" t="n">
        <f>278.44</f>
        <v>278.44</v>
      </c>
      <c r="T430" s="32" t="n">
        <f>8354240</f>
        <v>8354240.0</v>
      </c>
      <c r="U430" s="32" t="n">
        <f>3570</f>
        <v>3570.0</v>
      </c>
      <c r="V430" s="32" t="n">
        <f>2345677030</f>
        <v>2.34567703E9</v>
      </c>
      <c r="W430" s="32" t="n">
        <f>993962</f>
        <v>993962.0</v>
      </c>
      <c r="X430" s="36" t="n">
        <f>18</f>
        <v>18.0</v>
      </c>
    </row>
    <row r="431">
      <c r="A431" s="27" t="s">
        <v>42</v>
      </c>
      <c r="B431" s="27" t="s">
        <v>1336</v>
      </c>
      <c r="C431" s="27" t="s">
        <v>1337</v>
      </c>
      <c r="D431" s="27" t="s">
        <v>1338</v>
      </c>
      <c r="E431" s="28" t="s">
        <v>46</v>
      </c>
      <c r="F431" s="29" t="s">
        <v>46</v>
      </c>
      <c r="G431" s="30" t="s">
        <v>46</v>
      </c>
      <c r="H431" s="31"/>
      <c r="I431" s="31" t="s">
        <v>416</v>
      </c>
      <c r="J431" s="32" t="n">
        <v>10.0</v>
      </c>
      <c r="K431" s="33" t="n">
        <f>547</f>
        <v>547.0</v>
      </c>
      <c r="L431" s="34" t="s">
        <v>48</v>
      </c>
      <c r="M431" s="33" t="n">
        <f>564.5</f>
        <v>564.5</v>
      </c>
      <c r="N431" s="34" t="s">
        <v>67</v>
      </c>
      <c r="O431" s="33" t="n">
        <f>524.9</f>
        <v>524.9</v>
      </c>
      <c r="P431" s="34" t="s">
        <v>59</v>
      </c>
      <c r="Q431" s="33" t="n">
        <f>561</f>
        <v>561.0</v>
      </c>
      <c r="R431" s="34" t="s">
        <v>49</v>
      </c>
      <c r="S431" s="35" t="n">
        <f>547.18</f>
        <v>547.18</v>
      </c>
      <c r="T431" s="32" t="n">
        <f>7050</f>
        <v>7050.0</v>
      </c>
      <c r="U431" s="32" t="n">
        <f>100</f>
        <v>100.0</v>
      </c>
      <c r="V431" s="32" t="n">
        <f>3741904</f>
        <v>3741904.0</v>
      </c>
      <c r="W431" s="32" t="n">
        <f>52490</f>
        <v>52490.0</v>
      </c>
      <c r="X431" s="36" t="n">
        <f>13</f>
        <v>13.0</v>
      </c>
    </row>
    <row r="432">
      <c r="A432" s="27" t="s">
        <v>42</v>
      </c>
      <c r="B432" s="27" t="s">
        <v>1339</v>
      </c>
      <c r="C432" s="27" t="s">
        <v>1340</v>
      </c>
      <c r="D432" s="27" t="s">
        <v>1341</v>
      </c>
      <c r="E432" s="28" t="s">
        <v>46</v>
      </c>
      <c r="F432" s="29" t="s">
        <v>46</v>
      </c>
      <c r="G432" s="30" t="s">
        <v>46</v>
      </c>
      <c r="H432" s="31"/>
      <c r="I432" s="31" t="s">
        <v>416</v>
      </c>
      <c r="J432" s="32" t="n">
        <v>10.0</v>
      </c>
      <c r="K432" s="33" t="n">
        <f>857.9</f>
        <v>857.9</v>
      </c>
      <c r="L432" s="34" t="s">
        <v>48</v>
      </c>
      <c r="M432" s="33" t="n">
        <f>941</f>
        <v>941.0</v>
      </c>
      <c r="N432" s="34" t="s">
        <v>100</v>
      </c>
      <c r="O432" s="33" t="n">
        <f>844.1</f>
        <v>844.1</v>
      </c>
      <c r="P432" s="34" t="s">
        <v>48</v>
      </c>
      <c r="Q432" s="33" t="n">
        <f>903</f>
        <v>903.0</v>
      </c>
      <c r="R432" s="34" t="s">
        <v>49</v>
      </c>
      <c r="S432" s="35" t="n">
        <f>903.42</f>
        <v>903.42</v>
      </c>
      <c r="T432" s="32" t="n">
        <f>2495600</f>
        <v>2495600.0</v>
      </c>
      <c r="U432" s="32" t="n">
        <f>1986670</f>
        <v>1986670.0</v>
      </c>
      <c r="V432" s="32" t="n">
        <f>2287863363</f>
        <v>2.287863363E9</v>
      </c>
      <c r="W432" s="32" t="n">
        <f>1829419430</f>
        <v>1.82941943E9</v>
      </c>
      <c r="X432" s="36" t="n">
        <f>18</f>
        <v>18.0</v>
      </c>
    </row>
    <row r="433">
      <c r="A433" s="27" t="s">
        <v>42</v>
      </c>
      <c r="B433" s="27" t="s">
        <v>1342</v>
      </c>
      <c r="C433" s="27" t="s">
        <v>1343</v>
      </c>
      <c r="D433" s="27" t="s">
        <v>1344</v>
      </c>
      <c r="E433" s="28" t="s">
        <v>46</v>
      </c>
      <c r="F433" s="29" t="s">
        <v>46</v>
      </c>
      <c r="G433" s="30" t="s">
        <v>46</v>
      </c>
      <c r="H433" s="31"/>
      <c r="I433" s="31" t="s">
        <v>416</v>
      </c>
      <c r="J433" s="32" t="n">
        <v>10.0</v>
      </c>
      <c r="K433" s="33" t="n">
        <f>511</f>
        <v>511.0</v>
      </c>
      <c r="L433" s="34" t="s">
        <v>48</v>
      </c>
      <c r="M433" s="33" t="n">
        <f>521</f>
        <v>521.0</v>
      </c>
      <c r="N433" s="34" t="s">
        <v>67</v>
      </c>
      <c r="O433" s="33" t="n">
        <f>486.1</f>
        <v>486.1</v>
      </c>
      <c r="P433" s="34" t="s">
        <v>60</v>
      </c>
      <c r="Q433" s="33" t="n">
        <f>495.6</f>
        <v>495.6</v>
      </c>
      <c r="R433" s="34" t="s">
        <v>49</v>
      </c>
      <c r="S433" s="35" t="n">
        <f>499.23</f>
        <v>499.23</v>
      </c>
      <c r="T433" s="32" t="n">
        <f>2560</f>
        <v>2560.0</v>
      </c>
      <c r="U433" s="32" t="str">
        <f>"－"</f>
        <v>－</v>
      </c>
      <c r="V433" s="32" t="n">
        <f>1267888</f>
        <v>1267888.0</v>
      </c>
      <c r="W433" s="32" t="str">
        <f>"－"</f>
        <v>－</v>
      </c>
      <c r="X433" s="36" t="n">
        <f>17</f>
        <v>17.0</v>
      </c>
    </row>
    <row r="434">
      <c r="A434" s="27" t="s">
        <v>42</v>
      </c>
      <c r="B434" s="27" t="s">
        <v>1345</v>
      </c>
      <c r="C434" s="27" t="s">
        <v>1346</v>
      </c>
      <c r="D434" s="27" t="s">
        <v>1347</v>
      </c>
      <c r="E434" s="28" t="s">
        <v>46</v>
      </c>
      <c r="F434" s="29" t="s">
        <v>46</v>
      </c>
      <c r="G434" s="30" t="s">
        <v>46</v>
      </c>
      <c r="H434" s="31"/>
      <c r="I434" s="31" t="s">
        <v>416</v>
      </c>
      <c r="J434" s="32" t="n">
        <v>1.0</v>
      </c>
      <c r="K434" s="33" t="n">
        <f>2047</f>
        <v>2047.0</v>
      </c>
      <c r="L434" s="34" t="s">
        <v>48</v>
      </c>
      <c r="M434" s="33" t="n">
        <f>2175</f>
        <v>2175.0</v>
      </c>
      <c r="N434" s="34" t="s">
        <v>117</v>
      </c>
      <c r="O434" s="33" t="n">
        <f>2022</f>
        <v>2022.0</v>
      </c>
      <c r="P434" s="34" t="s">
        <v>48</v>
      </c>
      <c r="Q434" s="33" t="n">
        <f>2167</f>
        <v>2167.0</v>
      </c>
      <c r="R434" s="34" t="s">
        <v>49</v>
      </c>
      <c r="S434" s="35" t="n">
        <f>2130.44</f>
        <v>2130.44</v>
      </c>
      <c r="T434" s="32" t="n">
        <f>1327741</f>
        <v>1327741.0</v>
      </c>
      <c r="U434" s="32" t="n">
        <f>70706</f>
        <v>70706.0</v>
      </c>
      <c r="V434" s="32" t="n">
        <f>2814254344</f>
        <v>2.814254344E9</v>
      </c>
      <c r="W434" s="32" t="n">
        <f>149522911</f>
        <v>1.49522911E8</v>
      </c>
      <c r="X434" s="36" t="n">
        <f>18</f>
        <v>18.0</v>
      </c>
    </row>
    <row r="435">
      <c r="A435" s="27" t="s">
        <v>42</v>
      </c>
      <c r="B435" s="27" t="s">
        <v>1348</v>
      </c>
      <c r="C435" s="27" t="s">
        <v>1349</v>
      </c>
      <c r="D435" s="27" t="s">
        <v>1350</v>
      </c>
      <c r="E435" s="28" t="s">
        <v>46</v>
      </c>
      <c r="F435" s="29" t="s">
        <v>46</v>
      </c>
      <c r="G435" s="30" t="s">
        <v>46</v>
      </c>
      <c r="H435" s="31"/>
      <c r="I435" s="31" t="s">
        <v>416</v>
      </c>
      <c r="J435" s="32" t="n">
        <v>1.0</v>
      </c>
      <c r="K435" s="33" t="n">
        <f>99200</f>
        <v>99200.0</v>
      </c>
      <c r="L435" s="34" t="s">
        <v>48</v>
      </c>
      <c r="M435" s="33" t="n">
        <f>99900</f>
        <v>99900.0</v>
      </c>
      <c r="N435" s="34" t="s">
        <v>209</v>
      </c>
      <c r="O435" s="33" t="n">
        <f>95900</f>
        <v>95900.0</v>
      </c>
      <c r="P435" s="34" t="s">
        <v>69</v>
      </c>
      <c r="Q435" s="33" t="n">
        <f>98500</f>
        <v>98500.0</v>
      </c>
      <c r="R435" s="34" t="s">
        <v>49</v>
      </c>
      <c r="S435" s="35" t="n">
        <f>97611.11</f>
        <v>97611.11</v>
      </c>
      <c r="T435" s="32" t="n">
        <f>30820</f>
        <v>30820.0</v>
      </c>
      <c r="U435" s="32" t="n">
        <f>5097</f>
        <v>5097.0</v>
      </c>
      <c r="V435" s="32" t="n">
        <f>3008042716</f>
        <v>3.008042716E9</v>
      </c>
      <c r="W435" s="32" t="n">
        <f>498317416</f>
        <v>4.98317416E8</v>
      </c>
      <c r="X435" s="36" t="n">
        <f>18</f>
        <v>18.0</v>
      </c>
    </row>
    <row r="436">
      <c r="A436" s="27" t="s">
        <v>42</v>
      </c>
      <c r="B436" s="27" t="s">
        <v>1351</v>
      </c>
      <c r="C436" s="27" t="s">
        <v>1352</v>
      </c>
      <c r="D436" s="27" t="s">
        <v>1353</v>
      </c>
      <c r="E436" s="28" t="s">
        <v>46</v>
      </c>
      <c r="F436" s="29" t="s">
        <v>46</v>
      </c>
      <c r="G436" s="30" t="s">
        <v>46</v>
      </c>
      <c r="H436" s="31"/>
      <c r="I436" s="31" t="s">
        <v>416</v>
      </c>
      <c r="J436" s="32" t="n">
        <v>1.0</v>
      </c>
      <c r="K436" s="33" t="n">
        <f>1278</f>
        <v>1278.0</v>
      </c>
      <c r="L436" s="34" t="s">
        <v>48</v>
      </c>
      <c r="M436" s="33" t="n">
        <f>1489</f>
        <v>1489.0</v>
      </c>
      <c r="N436" s="34" t="s">
        <v>49</v>
      </c>
      <c r="O436" s="33" t="n">
        <f>1263</f>
        <v>1263.0</v>
      </c>
      <c r="P436" s="34" t="s">
        <v>48</v>
      </c>
      <c r="Q436" s="33" t="n">
        <f>1450</f>
        <v>1450.0</v>
      </c>
      <c r="R436" s="34" t="s">
        <v>49</v>
      </c>
      <c r="S436" s="35" t="n">
        <f>1368.17</f>
        <v>1368.17</v>
      </c>
      <c r="T436" s="32" t="n">
        <f>653303</f>
        <v>653303.0</v>
      </c>
      <c r="U436" s="32" t="str">
        <f>"－"</f>
        <v>－</v>
      </c>
      <c r="V436" s="32" t="n">
        <f>902487107</f>
        <v>9.02487107E8</v>
      </c>
      <c r="W436" s="32" t="str">
        <f>"－"</f>
        <v>－</v>
      </c>
      <c r="X436" s="36" t="n">
        <f>18</f>
        <v>18.0</v>
      </c>
    </row>
    <row r="437">
      <c r="A437" s="27" t="s">
        <v>42</v>
      </c>
      <c r="B437" s="27" t="s">
        <v>1354</v>
      </c>
      <c r="C437" s="27" t="s">
        <v>1355</v>
      </c>
      <c r="D437" s="27" t="s">
        <v>1356</v>
      </c>
      <c r="E437" s="28" t="s">
        <v>46</v>
      </c>
      <c r="F437" s="29" t="s">
        <v>46</v>
      </c>
      <c r="G437" s="30" t="s">
        <v>46</v>
      </c>
      <c r="H437" s="31"/>
      <c r="I437" s="31" t="s">
        <v>416</v>
      </c>
      <c r="J437" s="32" t="n">
        <v>10.0</v>
      </c>
      <c r="K437" s="33" t="n">
        <f>279.3</f>
        <v>279.3</v>
      </c>
      <c r="L437" s="34" t="s">
        <v>48</v>
      </c>
      <c r="M437" s="33" t="n">
        <f>350</f>
        <v>350.0</v>
      </c>
      <c r="N437" s="34" t="s">
        <v>204</v>
      </c>
      <c r="O437" s="33" t="n">
        <f>278</f>
        <v>278.0</v>
      </c>
      <c r="P437" s="34" t="s">
        <v>48</v>
      </c>
      <c r="Q437" s="33" t="n">
        <f>332.1</f>
        <v>332.1</v>
      </c>
      <c r="R437" s="34" t="s">
        <v>49</v>
      </c>
      <c r="S437" s="35" t="n">
        <f>310.15</f>
        <v>310.15</v>
      </c>
      <c r="T437" s="32" t="n">
        <f>33771980</f>
        <v>3.377198E7</v>
      </c>
      <c r="U437" s="32" t="n">
        <f>1075280</f>
        <v>1075280.0</v>
      </c>
      <c r="V437" s="32" t="n">
        <f>10609865317</f>
        <v>1.0609865317E10</v>
      </c>
      <c r="W437" s="32" t="n">
        <f>347817663</f>
        <v>3.47817663E8</v>
      </c>
      <c r="X437" s="36" t="n">
        <f>18</f>
        <v>18.0</v>
      </c>
    </row>
    <row r="438">
      <c r="A438" s="27" t="s">
        <v>42</v>
      </c>
      <c r="B438" s="27" t="s">
        <v>1357</v>
      </c>
      <c r="C438" s="27" t="s">
        <v>1358</v>
      </c>
      <c r="D438" s="27" t="s">
        <v>1359</v>
      </c>
      <c r="E438" s="28" t="s">
        <v>46</v>
      </c>
      <c r="F438" s="29" t="s">
        <v>46</v>
      </c>
      <c r="G438" s="30" t="s">
        <v>46</v>
      </c>
      <c r="H438" s="31"/>
      <c r="I438" s="31" t="s">
        <v>416</v>
      </c>
      <c r="J438" s="32" t="n">
        <v>1.0</v>
      </c>
      <c r="K438" s="33" t="n">
        <f>4194</f>
        <v>4194.0</v>
      </c>
      <c r="L438" s="34" t="s">
        <v>48</v>
      </c>
      <c r="M438" s="33" t="n">
        <f>4994</f>
        <v>4994.0</v>
      </c>
      <c r="N438" s="34" t="s">
        <v>68</v>
      </c>
      <c r="O438" s="33" t="n">
        <f>3906</f>
        <v>3906.0</v>
      </c>
      <c r="P438" s="34" t="s">
        <v>69</v>
      </c>
      <c r="Q438" s="33" t="n">
        <f>4780</f>
        <v>4780.0</v>
      </c>
      <c r="R438" s="34" t="s">
        <v>49</v>
      </c>
      <c r="S438" s="35" t="n">
        <f>4329.72</f>
        <v>4329.72</v>
      </c>
      <c r="T438" s="32" t="n">
        <f>586580</f>
        <v>586580.0</v>
      </c>
      <c r="U438" s="32" t="n">
        <f>247</f>
        <v>247.0</v>
      </c>
      <c r="V438" s="32" t="n">
        <f>2566828795</f>
        <v>2.566828795E9</v>
      </c>
      <c r="W438" s="32" t="n">
        <f>1143898</f>
        <v>1143898.0</v>
      </c>
      <c r="X438" s="36" t="n">
        <f>18</f>
        <v>18.0</v>
      </c>
    </row>
    <row r="439">
      <c r="A439" s="27" t="s">
        <v>42</v>
      </c>
      <c r="B439" s="27" t="s">
        <v>1360</v>
      </c>
      <c r="C439" s="27" t="s">
        <v>1361</v>
      </c>
      <c r="D439" s="27" t="s">
        <v>1362</v>
      </c>
      <c r="E439" s="28" t="s">
        <v>46</v>
      </c>
      <c r="F439" s="29" t="s">
        <v>46</v>
      </c>
      <c r="G439" s="30" t="s">
        <v>46</v>
      </c>
      <c r="H439" s="31"/>
      <c r="I439" s="31" t="s">
        <v>416</v>
      </c>
      <c r="J439" s="32" t="n">
        <v>1.0</v>
      </c>
      <c r="K439" s="33" t="n">
        <f>3477</f>
        <v>3477.0</v>
      </c>
      <c r="L439" s="34" t="s">
        <v>48</v>
      </c>
      <c r="M439" s="33" t="n">
        <f>4169</f>
        <v>4169.0</v>
      </c>
      <c r="N439" s="34" t="s">
        <v>68</v>
      </c>
      <c r="O439" s="33" t="n">
        <f>3350</f>
        <v>3350.0</v>
      </c>
      <c r="P439" s="34" t="s">
        <v>48</v>
      </c>
      <c r="Q439" s="33" t="n">
        <f>4040</f>
        <v>4040.0</v>
      </c>
      <c r="R439" s="34" t="s">
        <v>49</v>
      </c>
      <c r="S439" s="35" t="n">
        <f>3718.17</f>
        <v>3718.17</v>
      </c>
      <c r="T439" s="32" t="n">
        <f>278285</f>
        <v>278285.0</v>
      </c>
      <c r="U439" s="32" t="n">
        <f>50003</f>
        <v>50003.0</v>
      </c>
      <c r="V439" s="32" t="n">
        <f>1035611157</f>
        <v>1.035611157E9</v>
      </c>
      <c r="W439" s="32" t="n">
        <f>180511097</f>
        <v>1.80511097E8</v>
      </c>
      <c r="X439" s="36" t="n">
        <f>18</f>
        <v>18.0</v>
      </c>
    </row>
    <row r="440">
      <c r="A440" s="27" t="s">
        <v>42</v>
      </c>
      <c r="B440" s="27" t="s">
        <v>1363</v>
      </c>
      <c r="C440" s="27" t="s">
        <v>1364</v>
      </c>
      <c r="D440" s="27" t="s">
        <v>1365</v>
      </c>
      <c r="E440" s="28" t="s">
        <v>46</v>
      </c>
      <c r="F440" s="29" t="s">
        <v>46</v>
      </c>
      <c r="G440" s="30" t="s">
        <v>46</v>
      </c>
      <c r="H440" s="31"/>
      <c r="I440" s="31" t="s">
        <v>416</v>
      </c>
      <c r="J440" s="32" t="n">
        <v>10.0</v>
      </c>
      <c r="K440" s="33" t="n">
        <f>357.4</f>
        <v>357.4</v>
      </c>
      <c r="L440" s="34" t="s">
        <v>48</v>
      </c>
      <c r="M440" s="33" t="n">
        <f>367.8</f>
        <v>367.8</v>
      </c>
      <c r="N440" s="34" t="s">
        <v>87</v>
      </c>
      <c r="O440" s="33" t="n">
        <f>337</f>
        <v>337.0</v>
      </c>
      <c r="P440" s="34" t="s">
        <v>70</v>
      </c>
      <c r="Q440" s="33" t="n">
        <f>347.3</f>
        <v>347.3</v>
      </c>
      <c r="R440" s="34" t="s">
        <v>49</v>
      </c>
      <c r="S440" s="35" t="n">
        <f>353.39</f>
        <v>353.39</v>
      </c>
      <c r="T440" s="32" t="n">
        <f>4930640</f>
        <v>4930640.0</v>
      </c>
      <c r="U440" s="32" t="n">
        <f>310</f>
        <v>310.0</v>
      </c>
      <c r="V440" s="32" t="n">
        <f>1741792895</f>
        <v>1.741792895E9</v>
      </c>
      <c r="W440" s="32" t="n">
        <f>107950</f>
        <v>107950.0</v>
      </c>
      <c r="X440" s="36" t="n">
        <f>18</f>
        <v>18.0</v>
      </c>
    </row>
    <row r="441">
      <c r="A441" s="27" t="s">
        <v>42</v>
      </c>
      <c r="B441" s="27" t="s">
        <v>1366</v>
      </c>
      <c r="C441" s="27" t="s">
        <v>1367</v>
      </c>
      <c r="D441" s="27" t="s">
        <v>1368</v>
      </c>
      <c r="E441" s="28" t="s">
        <v>46</v>
      </c>
      <c r="F441" s="29" t="s">
        <v>46</v>
      </c>
      <c r="G441" s="30" t="s">
        <v>46</v>
      </c>
      <c r="H441" s="31"/>
      <c r="I441" s="31" t="s">
        <v>416</v>
      </c>
      <c r="J441" s="32" t="n">
        <v>10.0</v>
      </c>
      <c r="K441" s="33" t="n">
        <f>388.7</f>
        <v>388.7</v>
      </c>
      <c r="L441" s="34" t="s">
        <v>48</v>
      </c>
      <c r="M441" s="33" t="n">
        <f>401.5</f>
        <v>401.5</v>
      </c>
      <c r="N441" s="34" t="s">
        <v>87</v>
      </c>
      <c r="O441" s="33" t="n">
        <f>372.3</f>
        <v>372.3</v>
      </c>
      <c r="P441" s="34" t="s">
        <v>70</v>
      </c>
      <c r="Q441" s="33" t="n">
        <f>384.8</f>
        <v>384.8</v>
      </c>
      <c r="R441" s="34" t="s">
        <v>49</v>
      </c>
      <c r="S441" s="35" t="n">
        <f>388.03</f>
        <v>388.03</v>
      </c>
      <c r="T441" s="32" t="n">
        <f>7030750</f>
        <v>7030750.0</v>
      </c>
      <c r="U441" s="32" t="n">
        <f>542940</f>
        <v>542940.0</v>
      </c>
      <c r="V441" s="32" t="n">
        <f>2725292886</f>
        <v>2.725292886E9</v>
      </c>
      <c r="W441" s="32" t="n">
        <f>210909630</f>
        <v>2.1090963E8</v>
      </c>
      <c r="X441" s="36" t="n">
        <f>18</f>
        <v>18.0</v>
      </c>
    </row>
    <row r="442">
      <c r="A442" s="27" t="s">
        <v>42</v>
      </c>
      <c r="B442" s="27" t="s">
        <v>1369</v>
      </c>
      <c r="C442" s="27" t="s">
        <v>1370</v>
      </c>
      <c r="D442" s="27" t="s">
        <v>1371</v>
      </c>
      <c r="E442" s="28" t="s">
        <v>46</v>
      </c>
      <c r="F442" s="29" t="s">
        <v>46</v>
      </c>
      <c r="G442" s="30" t="s">
        <v>46</v>
      </c>
      <c r="H442" s="31"/>
      <c r="I442" s="31" t="s">
        <v>416</v>
      </c>
      <c r="J442" s="32" t="n">
        <v>1.0</v>
      </c>
      <c r="K442" s="33" t="n">
        <f>1149</f>
        <v>1149.0</v>
      </c>
      <c r="L442" s="34" t="s">
        <v>48</v>
      </c>
      <c r="M442" s="33" t="n">
        <f>1197</f>
        <v>1197.0</v>
      </c>
      <c r="N442" s="34" t="s">
        <v>68</v>
      </c>
      <c r="O442" s="33" t="n">
        <f>1135</f>
        <v>1135.0</v>
      </c>
      <c r="P442" s="34" t="s">
        <v>209</v>
      </c>
      <c r="Q442" s="33" t="n">
        <f>1185</f>
        <v>1185.0</v>
      </c>
      <c r="R442" s="34" t="s">
        <v>49</v>
      </c>
      <c r="S442" s="35" t="n">
        <f>1155.22</f>
        <v>1155.22</v>
      </c>
      <c r="T442" s="32" t="n">
        <f>123160</f>
        <v>123160.0</v>
      </c>
      <c r="U442" s="32" t="n">
        <f>7</f>
        <v>7.0</v>
      </c>
      <c r="V442" s="32" t="n">
        <f>143754153</f>
        <v>1.43754153E8</v>
      </c>
      <c r="W442" s="32" t="n">
        <f>8015</f>
        <v>8015.0</v>
      </c>
      <c r="X442" s="36" t="n">
        <f>18</f>
        <v>18.0</v>
      </c>
    </row>
    <row r="443">
      <c r="A443" s="27" t="s">
        <v>42</v>
      </c>
      <c r="B443" s="27" t="s">
        <v>1372</v>
      </c>
      <c r="C443" s="27" t="s">
        <v>1373</v>
      </c>
      <c r="D443" s="27" t="s">
        <v>1374</v>
      </c>
      <c r="E443" s="28" t="s">
        <v>46</v>
      </c>
      <c r="F443" s="29" t="s">
        <v>46</v>
      </c>
      <c r="G443" s="30" t="s">
        <v>46</v>
      </c>
      <c r="H443" s="31"/>
      <c r="I443" s="31" t="s">
        <v>47</v>
      </c>
      <c r="J443" s="32" t="n">
        <v>1.0</v>
      </c>
      <c r="K443" s="33" t="n">
        <f>2359</f>
        <v>2359.0</v>
      </c>
      <c r="L443" s="34" t="s">
        <v>48</v>
      </c>
      <c r="M443" s="33" t="n">
        <f>2466</f>
        <v>2466.0</v>
      </c>
      <c r="N443" s="34" t="s">
        <v>49</v>
      </c>
      <c r="O443" s="33" t="n">
        <f>2320</f>
        <v>2320.0</v>
      </c>
      <c r="P443" s="34" t="s">
        <v>48</v>
      </c>
      <c r="Q443" s="33" t="n">
        <f>2448</f>
        <v>2448.0</v>
      </c>
      <c r="R443" s="34" t="s">
        <v>49</v>
      </c>
      <c r="S443" s="35" t="n">
        <f>2410.22</f>
        <v>2410.22</v>
      </c>
      <c r="T443" s="32" t="n">
        <f>2139517</f>
        <v>2139517.0</v>
      </c>
      <c r="U443" s="32" t="n">
        <f>114773</f>
        <v>114773.0</v>
      </c>
      <c r="V443" s="32" t="n">
        <f>5149303614</f>
        <v>5.149303614E9</v>
      </c>
      <c r="W443" s="32" t="n">
        <f>277105704</f>
        <v>2.77105704E8</v>
      </c>
      <c r="X443" s="36" t="n">
        <f>18</f>
        <v>18.0</v>
      </c>
    </row>
    <row r="444">
      <c r="A444" s="27" t="s">
        <v>42</v>
      </c>
      <c r="B444" s="27" t="s">
        <v>1375</v>
      </c>
      <c r="C444" s="27" t="s">
        <v>1376</v>
      </c>
      <c r="D444" s="27" t="s">
        <v>1377</v>
      </c>
      <c r="E444" s="28" t="s">
        <v>46</v>
      </c>
      <c r="F444" s="29" t="s">
        <v>46</v>
      </c>
      <c r="G444" s="30" t="s">
        <v>46</v>
      </c>
      <c r="H444" s="31"/>
      <c r="I444" s="31" t="s">
        <v>416</v>
      </c>
      <c r="J444" s="32" t="n">
        <v>1.0</v>
      </c>
      <c r="K444" s="33" t="n">
        <f>1977</f>
        <v>1977.0</v>
      </c>
      <c r="L444" s="34" t="s">
        <v>48</v>
      </c>
      <c r="M444" s="33" t="n">
        <f>1989</f>
        <v>1989.0</v>
      </c>
      <c r="N444" s="34" t="s">
        <v>203</v>
      </c>
      <c r="O444" s="33" t="n">
        <f>1842</f>
        <v>1842.0</v>
      </c>
      <c r="P444" s="34" t="s">
        <v>104</v>
      </c>
      <c r="Q444" s="33" t="n">
        <f>1869</f>
        <v>1869.0</v>
      </c>
      <c r="R444" s="34" t="s">
        <v>49</v>
      </c>
      <c r="S444" s="35" t="n">
        <f>1882</f>
        <v>1882.0</v>
      </c>
      <c r="T444" s="32" t="n">
        <f>838349</f>
        <v>838349.0</v>
      </c>
      <c r="U444" s="32" t="n">
        <f>266060</f>
        <v>266060.0</v>
      </c>
      <c r="V444" s="32" t="n">
        <f>1595369222</f>
        <v>1.595369222E9</v>
      </c>
      <c r="W444" s="32" t="n">
        <f>499998576</f>
        <v>4.99998576E8</v>
      </c>
      <c r="X444" s="36" t="n">
        <f>18</f>
        <v>18.0</v>
      </c>
    </row>
    <row r="445">
      <c r="A445" s="27" t="s">
        <v>42</v>
      </c>
      <c r="B445" s="27" t="s">
        <v>1378</v>
      </c>
      <c r="C445" s="27" t="s">
        <v>1379</v>
      </c>
      <c r="D445" s="27" t="s">
        <v>1380</v>
      </c>
      <c r="E445" s="28" t="s">
        <v>46</v>
      </c>
      <c r="F445" s="29" t="s">
        <v>46</v>
      </c>
      <c r="G445" s="30" t="s">
        <v>46</v>
      </c>
      <c r="H445" s="31"/>
      <c r="I445" s="31" t="s">
        <v>416</v>
      </c>
      <c r="J445" s="32" t="n">
        <v>10.0</v>
      </c>
      <c r="K445" s="33" t="n">
        <f>289.7</f>
        <v>289.7</v>
      </c>
      <c r="L445" s="34" t="s">
        <v>48</v>
      </c>
      <c r="M445" s="33" t="n">
        <f>300.4</f>
        <v>300.4</v>
      </c>
      <c r="N445" s="34" t="s">
        <v>205</v>
      </c>
      <c r="O445" s="33" t="n">
        <f>277.5</f>
        <v>277.5</v>
      </c>
      <c r="P445" s="34" t="s">
        <v>70</v>
      </c>
      <c r="Q445" s="33" t="n">
        <f>286.8</f>
        <v>286.8</v>
      </c>
      <c r="R445" s="34" t="s">
        <v>49</v>
      </c>
      <c r="S445" s="35" t="n">
        <f>289.21</f>
        <v>289.21</v>
      </c>
      <c r="T445" s="32" t="n">
        <f>2546930</f>
        <v>2546930.0</v>
      </c>
      <c r="U445" s="32" t="n">
        <f>35730</f>
        <v>35730.0</v>
      </c>
      <c r="V445" s="32" t="n">
        <f>736319401</f>
        <v>7.36319401E8</v>
      </c>
      <c r="W445" s="32" t="n">
        <f>10285721</f>
        <v>1.0285721E7</v>
      </c>
      <c r="X445" s="36" t="n">
        <f>18</f>
        <v>18.0</v>
      </c>
    </row>
    <row r="446">
      <c r="A446" s="27" t="s">
        <v>42</v>
      </c>
      <c r="B446" s="27" t="s">
        <v>1381</v>
      </c>
      <c r="C446" s="27" t="s">
        <v>1382</v>
      </c>
      <c r="D446" s="27" t="s">
        <v>1383</v>
      </c>
      <c r="E446" s="28" t="s">
        <v>46</v>
      </c>
      <c r="F446" s="29" t="s">
        <v>46</v>
      </c>
      <c r="G446" s="30" t="s">
        <v>46</v>
      </c>
      <c r="H446" s="31"/>
      <c r="I446" s="31" t="s">
        <v>416</v>
      </c>
      <c r="J446" s="32" t="n">
        <v>10.0</v>
      </c>
      <c r="K446" s="33" t="n">
        <f>281.3</f>
        <v>281.3</v>
      </c>
      <c r="L446" s="34" t="s">
        <v>48</v>
      </c>
      <c r="M446" s="33" t="n">
        <f>289.4</f>
        <v>289.4</v>
      </c>
      <c r="N446" s="34" t="s">
        <v>87</v>
      </c>
      <c r="O446" s="33" t="n">
        <f>264.6</f>
        <v>264.6</v>
      </c>
      <c r="P446" s="34" t="s">
        <v>70</v>
      </c>
      <c r="Q446" s="33" t="n">
        <f>273.3</f>
        <v>273.3</v>
      </c>
      <c r="R446" s="34" t="s">
        <v>49</v>
      </c>
      <c r="S446" s="35" t="n">
        <f>278.16</f>
        <v>278.16</v>
      </c>
      <c r="T446" s="32" t="n">
        <f>861780</f>
        <v>861780.0</v>
      </c>
      <c r="U446" s="32" t="n">
        <f>380</f>
        <v>380.0</v>
      </c>
      <c r="V446" s="32" t="n">
        <f>241318875</f>
        <v>2.41318875E8</v>
      </c>
      <c r="W446" s="32" t="n">
        <f>108321</f>
        <v>108321.0</v>
      </c>
      <c r="X446" s="36" t="n">
        <f>18</f>
        <v>18.0</v>
      </c>
    </row>
    <row r="447">
      <c r="A447" s="27" t="s">
        <v>42</v>
      </c>
      <c r="B447" s="27" t="s">
        <v>1384</v>
      </c>
      <c r="C447" s="27" t="s">
        <v>1385</v>
      </c>
      <c r="D447" s="27" t="s">
        <v>1386</v>
      </c>
      <c r="E447" s="28" t="s">
        <v>46</v>
      </c>
      <c r="F447" s="29" t="s">
        <v>46</v>
      </c>
      <c r="G447" s="30" t="s">
        <v>46</v>
      </c>
      <c r="H447" s="31"/>
      <c r="I447" s="31" t="s">
        <v>416</v>
      </c>
      <c r="J447" s="32" t="n">
        <v>10.0</v>
      </c>
      <c r="K447" s="33" t="n">
        <f>775.6</f>
        <v>775.6</v>
      </c>
      <c r="L447" s="34" t="s">
        <v>48</v>
      </c>
      <c r="M447" s="33" t="n">
        <f>819.5</f>
        <v>819.5</v>
      </c>
      <c r="N447" s="34" t="s">
        <v>49</v>
      </c>
      <c r="O447" s="33" t="n">
        <f>769.8</f>
        <v>769.8</v>
      </c>
      <c r="P447" s="34" t="s">
        <v>48</v>
      </c>
      <c r="Q447" s="33" t="n">
        <f>819.2</f>
        <v>819.2</v>
      </c>
      <c r="R447" s="34" t="s">
        <v>49</v>
      </c>
      <c r="S447" s="35" t="n">
        <f>798.43</f>
        <v>798.43</v>
      </c>
      <c r="T447" s="32" t="n">
        <f>368180</f>
        <v>368180.0</v>
      </c>
      <c r="U447" s="32" t="n">
        <f>10</f>
        <v>10.0</v>
      </c>
      <c r="V447" s="32" t="n">
        <f>295415264</f>
        <v>2.95415264E8</v>
      </c>
      <c r="W447" s="32" t="n">
        <f>7994</f>
        <v>7994.0</v>
      </c>
      <c r="X447" s="36" t="n">
        <f>18</f>
        <v>18.0</v>
      </c>
    </row>
    <row r="448">
      <c r="A448" s="27" t="s">
        <v>42</v>
      </c>
      <c r="B448" s="27" t="s">
        <v>1387</v>
      </c>
      <c r="C448" s="27" t="s">
        <v>1388</v>
      </c>
      <c r="D448" s="27" t="s">
        <v>1389</v>
      </c>
      <c r="E448" s="28" t="s">
        <v>46</v>
      </c>
      <c r="F448" s="29" t="s">
        <v>46</v>
      </c>
      <c r="G448" s="30" t="s">
        <v>46</v>
      </c>
      <c r="H448" s="31"/>
      <c r="I448" s="31" t="s">
        <v>416</v>
      </c>
      <c r="J448" s="32" t="n">
        <v>10.0</v>
      </c>
      <c r="K448" s="33" t="n">
        <f>743.6</f>
        <v>743.6</v>
      </c>
      <c r="L448" s="34" t="s">
        <v>48</v>
      </c>
      <c r="M448" s="33" t="n">
        <f>788.7</f>
        <v>788.7</v>
      </c>
      <c r="N448" s="34" t="s">
        <v>49</v>
      </c>
      <c r="O448" s="33" t="n">
        <f>743.6</f>
        <v>743.6</v>
      </c>
      <c r="P448" s="34" t="s">
        <v>48</v>
      </c>
      <c r="Q448" s="33" t="n">
        <f>782</f>
        <v>782.0</v>
      </c>
      <c r="R448" s="34" t="s">
        <v>49</v>
      </c>
      <c r="S448" s="35" t="n">
        <f>767.59</f>
        <v>767.59</v>
      </c>
      <c r="T448" s="32" t="n">
        <f>1339410</f>
        <v>1339410.0</v>
      </c>
      <c r="U448" s="32" t="n">
        <f>1310000</f>
        <v>1310000.0</v>
      </c>
      <c r="V448" s="32" t="n">
        <f>1020249159</f>
        <v>1.020249159E9</v>
      </c>
      <c r="W448" s="32" t="n">
        <f>997757300</f>
        <v>9.977573E8</v>
      </c>
      <c r="X448" s="36" t="n">
        <f>18</f>
        <v>18.0</v>
      </c>
    </row>
    <row r="449">
      <c r="A449" s="27" t="s">
        <v>42</v>
      </c>
      <c r="B449" s="27" t="s">
        <v>1390</v>
      </c>
      <c r="C449" s="27" t="s">
        <v>1391</v>
      </c>
      <c r="D449" s="27" t="s">
        <v>1392</v>
      </c>
      <c r="E449" s="28" t="s">
        <v>46</v>
      </c>
      <c r="F449" s="29" t="s">
        <v>46</v>
      </c>
      <c r="G449" s="30" t="s">
        <v>46</v>
      </c>
      <c r="H449" s="31"/>
      <c r="I449" s="31" t="s">
        <v>416</v>
      </c>
      <c r="J449" s="32" t="n">
        <v>10.0</v>
      </c>
      <c r="K449" s="33" t="n">
        <f>283.8</f>
        <v>283.8</v>
      </c>
      <c r="L449" s="34" t="s">
        <v>48</v>
      </c>
      <c r="M449" s="33" t="n">
        <f>292.6</f>
        <v>292.6</v>
      </c>
      <c r="N449" s="34" t="s">
        <v>104</v>
      </c>
      <c r="O449" s="33" t="n">
        <f>277</f>
        <v>277.0</v>
      </c>
      <c r="P449" s="34" t="s">
        <v>203</v>
      </c>
      <c r="Q449" s="33" t="n">
        <f>290.2</f>
        <v>290.2</v>
      </c>
      <c r="R449" s="34" t="s">
        <v>49</v>
      </c>
      <c r="S449" s="35" t="n">
        <f>283.72</f>
        <v>283.72</v>
      </c>
      <c r="T449" s="32" t="n">
        <f>178760</f>
        <v>178760.0</v>
      </c>
      <c r="U449" s="32" t="n">
        <f>250</f>
        <v>250.0</v>
      </c>
      <c r="V449" s="32" t="n">
        <f>50521503</f>
        <v>5.0521503E7</v>
      </c>
      <c r="W449" s="32" t="n">
        <f>71856</f>
        <v>71856.0</v>
      </c>
      <c r="X449" s="36" t="n">
        <f>18</f>
        <v>18.0</v>
      </c>
    </row>
    <row r="450">
      <c r="A450" s="27" t="s">
        <v>42</v>
      </c>
      <c r="B450" s="27" t="s">
        <v>1393</v>
      </c>
      <c r="C450" s="27" t="s">
        <v>1394</v>
      </c>
      <c r="D450" s="27" t="s">
        <v>1395</v>
      </c>
      <c r="E450" s="28" t="s">
        <v>46</v>
      </c>
      <c r="F450" s="29" t="s">
        <v>46</v>
      </c>
      <c r="G450" s="30" t="s">
        <v>46</v>
      </c>
      <c r="H450" s="31"/>
      <c r="I450" s="31" t="s">
        <v>416</v>
      </c>
      <c r="J450" s="32" t="n">
        <v>10.0</v>
      </c>
      <c r="K450" s="33" t="n">
        <f>807</f>
        <v>807.0</v>
      </c>
      <c r="L450" s="34" t="s">
        <v>48</v>
      </c>
      <c r="M450" s="33" t="n">
        <f>816</f>
        <v>816.0</v>
      </c>
      <c r="N450" s="34" t="s">
        <v>49</v>
      </c>
      <c r="O450" s="33" t="n">
        <f>802.4</f>
        <v>802.4</v>
      </c>
      <c r="P450" s="34" t="s">
        <v>203</v>
      </c>
      <c r="Q450" s="33" t="n">
        <f>816</f>
        <v>816.0</v>
      </c>
      <c r="R450" s="34" t="s">
        <v>49</v>
      </c>
      <c r="S450" s="35" t="n">
        <f>809.89</f>
        <v>809.89</v>
      </c>
      <c r="T450" s="32" t="n">
        <f>3189370</f>
        <v>3189370.0</v>
      </c>
      <c r="U450" s="32" t="n">
        <f>1080</f>
        <v>1080.0</v>
      </c>
      <c r="V450" s="32" t="n">
        <f>2578416644</f>
        <v>2.578416644E9</v>
      </c>
      <c r="W450" s="32" t="n">
        <f>873278</f>
        <v>873278.0</v>
      </c>
      <c r="X450" s="36" t="n">
        <f>18</f>
        <v>18.0</v>
      </c>
    </row>
    <row r="451">
      <c r="A451" s="27" t="s">
        <v>42</v>
      </c>
      <c r="B451" s="27" t="s">
        <v>1396</v>
      </c>
      <c r="C451" s="27" t="s">
        <v>1397</v>
      </c>
      <c r="D451" s="27" t="s">
        <v>1398</v>
      </c>
      <c r="E451" s="28" t="s">
        <v>46</v>
      </c>
      <c r="F451" s="29" t="s">
        <v>46</v>
      </c>
      <c r="G451" s="30" t="s">
        <v>46</v>
      </c>
      <c r="H451" s="31"/>
      <c r="I451" s="31" t="s">
        <v>416</v>
      </c>
      <c r="J451" s="32" t="n">
        <v>10.0</v>
      </c>
      <c r="K451" s="33" t="n">
        <f>799.5</f>
        <v>799.5</v>
      </c>
      <c r="L451" s="34" t="s">
        <v>48</v>
      </c>
      <c r="M451" s="33" t="n">
        <f>799.5</f>
        <v>799.5</v>
      </c>
      <c r="N451" s="34" t="s">
        <v>48</v>
      </c>
      <c r="O451" s="33" t="n">
        <f>768</f>
        <v>768.0</v>
      </c>
      <c r="P451" s="34" t="s">
        <v>69</v>
      </c>
      <c r="Q451" s="33" t="n">
        <f>794</f>
        <v>794.0</v>
      </c>
      <c r="R451" s="34" t="s">
        <v>49</v>
      </c>
      <c r="S451" s="35" t="n">
        <f>783.17</f>
        <v>783.17</v>
      </c>
      <c r="T451" s="32" t="n">
        <f>5620080</f>
        <v>5620080.0</v>
      </c>
      <c r="U451" s="32" t="n">
        <f>710</f>
        <v>710.0</v>
      </c>
      <c r="V451" s="32" t="n">
        <f>4395659399</f>
        <v>4.395659399E9</v>
      </c>
      <c r="W451" s="32" t="n">
        <f>555949</f>
        <v>555949.0</v>
      </c>
      <c r="X451" s="36" t="n">
        <f>18</f>
        <v>18.0</v>
      </c>
    </row>
    <row r="452">
      <c r="A452" s="27" t="s">
        <v>42</v>
      </c>
      <c r="B452" s="27" t="s">
        <v>1399</v>
      </c>
      <c r="C452" s="27" t="s">
        <v>1400</v>
      </c>
      <c r="D452" s="27" t="s">
        <v>1401</v>
      </c>
      <c r="E452" s="28" t="s">
        <v>46</v>
      </c>
      <c r="F452" s="29" t="s">
        <v>46</v>
      </c>
      <c r="G452" s="30" t="s">
        <v>46</v>
      </c>
      <c r="H452" s="31"/>
      <c r="I452" s="31" t="s">
        <v>416</v>
      </c>
      <c r="J452" s="32" t="n">
        <v>1.0</v>
      </c>
      <c r="K452" s="33" t="n">
        <f>11160</f>
        <v>11160.0</v>
      </c>
      <c r="L452" s="34" t="s">
        <v>48</v>
      </c>
      <c r="M452" s="33" t="n">
        <f>11180</f>
        <v>11180.0</v>
      </c>
      <c r="N452" s="34" t="s">
        <v>203</v>
      </c>
      <c r="O452" s="33" t="n">
        <f>10285</f>
        <v>10285.0</v>
      </c>
      <c r="P452" s="34" t="s">
        <v>100</v>
      </c>
      <c r="Q452" s="33" t="n">
        <f>10340</f>
        <v>10340.0</v>
      </c>
      <c r="R452" s="34" t="s">
        <v>49</v>
      </c>
      <c r="S452" s="35" t="n">
        <f>10496.11</f>
        <v>10496.11</v>
      </c>
      <c r="T452" s="32" t="n">
        <f>2038</f>
        <v>2038.0</v>
      </c>
      <c r="U452" s="32" t="n">
        <f>2</f>
        <v>2.0</v>
      </c>
      <c r="V452" s="32" t="n">
        <f>21398775</f>
        <v>2.1398775E7</v>
      </c>
      <c r="W452" s="32" t="n">
        <f>21200</f>
        <v>21200.0</v>
      </c>
      <c r="X452" s="36" t="n">
        <f>18</f>
        <v>18.0</v>
      </c>
    </row>
    <row r="453">
      <c r="A453" s="27" t="s">
        <v>42</v>
      </c>
      <c r="B453" s="27" t="s">
        <v>1402</v>
      </c>
      <c r="C453" s="27" t="s">
        <v>1403</v>
      </c>
      <c r="D453" s="27" t="s">
        <v>1404</v>
      </c>
      <c r="E453" s="28" t="s">
        <v>46</v>
      </c>
      <c r="F453" s="29" t="s">
        <v>46</v>
      </c>
      <c r="G453" s="30" t="s">
        <v>46</v>
      </c>
      <c r="H453" s="31"/>
      <c r="I453" s="31" t="s">
        <v>416</v>
      </c>
      <c r="J453" s="32" t="n">
        <v>1.0</v>
      </c>
      <c r="K453" s="33" t="n">
        <f>2374</f>
        <v>2374.0</v>
      </c>
      <c r="L453" s="34" t="s">
        <v>48</v>
      </c>
      <c r="M453" s="33" t="n">
        <f>2388</f>
        <v>2388.0</v>
      </c>
      <c r="N453" s="34" t="s">
        <v>49</v>
      </c>
      <c r="O453" s="33" t="n">
        <f>2280</f>
        <v>2280.0</v>
      </c>
      <c r="P453" s="34" t="s">
        <v>209</v>
      </c>
      <c r="Q453" s="33" t="n">
        <f>2385</f>
        <v>2385.0</v>
      </c>
      <c r="R453" s="34" t="s">
        <v>49</v>
      </c>
      <c r="S453" s="35" t="n">
        <f>2342.78</f>
        <v>2342.78</v>
      </c>
      <c r="T453" s="32" t="n">
        <f>63349</f>
        <v>63349.0</v>
      </c>
      <c r="U453" s="32" t="n">
        <f>8</f>
        <v>8.0</v>
      </c>
      <c r="V453" s="32" t="n">
        <f>148267659</f>
        <v>1.48267659E8</v>
      </c>
      <c r="W453" s="32" t="n">
        <f>18616</f>
        <v>18616.0</v>
      </c>
      <c r="X453" s="36" t="n">
        <f>18</f>
        <v>18.0</v>
      </c>
    </row>
    <row r="454">
      <c r="A454" s="27" t="s">
        <v>42</v>
      </c>
      <c r="B454" s="27" t="s">
        <v>1405</v>
      </c>
      <c r="C454" s="27" t="s">
        <v>1406</v>
      </c>
      <c r="D454" s="27" t="s">
        <v>1407</v>
      </c>
      <c r="E454" s="28" t="s">
        <v>46</v>
      </c>
      <c r="F454" s="29" t="s">
        <v>46</v>
      </c>
      <c r="G454" s="30" t="s">
        <v>46</v>
      </c>
      <c r="H454" s="31"/>
      <c r="I454" s="31" t="s">
        <v>416</v>
      </c>
      <c r="J454" s="32" t="n">
        <v>1.0</v>
      </c>
      <c r="K454" s="33" t="n">
        <f>1224</f>
        <v>1224.0</v>
      </c>
      <c r="L454" s="34" t="s">
        <v>48</v>
      </c>
      <c r="M454" s="33" t="n">
        <f>1290</f>
        <v>1290.0</v>
      </c>
      <c r="N454" s="34" t="s">
        <v>117</v>
      </c>
      <c r="O454" s="33" t="n">
        <f>1204</f>
        <v>1204.0</v>
      </c>
      <c r="P454" s="34" t="s">
        <v>48</v>
      </c>
      <c r="Q454" s="33" t="n">
        <f>1271</f>
        <v>1271.0</v>
      </c>
      <c r="R454" s="34" t="s">
        <v>49</v>
      </c>
      <c r="S454" s="35" t="n">
        <f>1248.67</f>
        <v>1248.67</v>
      </c>
      <c r="T454" s="32" t="n">
        <f>811314</f>
        <v>811314.0</v>
      </c>
      <c r="U454" s="32" t="n">
        <f>200700</f>
        <v>200700.0</v>
      </c>
      <c r="V454" s="32" t="n">
        <f>1013020072</f>
        <v>1.013020072E9</v>
      </c>
      <c r="W454" s="32" t="n">
        <f>252270378</f>
        <v>2.52270378E8</v>
      </c>
      <c r="X454" s="36" t="n">
        <f>18</f>
        <v>18.0</v>
      </c>
    </row>
    <row r="455">
      <c r="A455" s="27" t="s">
        <v>42</v>
      </c>
      <c r="B455" s="27" t="s">
        <v>1408</v>
      </c>
      <c r="C455" s="27" t="s">
        <v>1409</v>
      </c>
      <c r="D455" s="27" t="s">
        <v>1410</v>
      </c>
      <c r="E455" s="28" t="s">
        <v>46</v>
      </c>
      <c r="F455" s="29" t="s">
        <v>46</v>
      </c>
      <c r="G455" s="30" t="s">
        <v>46</v>
      </c>
      <c r="H455" s="31"/>
      <c r="I455" s="31" t="s">
        <v>416</v>
      </c>
      <c r="J455" s="32" t="n">
        <v>1.0</v>
      </c>
      <c r="K455" s="33" t="n">
        <f>1122</f>
        <v>1122.0</v>
      </c>
      <c r="L455" s="34" t="s">
        <v>48</v>
      </c>
      <c r="M455" s="33" t="n">
        <f>1134</f>
        <v>1134.0</v>
      </c>
      <c r="N455" s="34" t="s">
        <v>67</v>
      </c>
      <c r="O455" s="33" t="n">
        <f>1025</f>
        <v>1025.0</v>
      </c>
      <c r="P455" s="34" t="s">
        <v>83</v>
      </c>
      <c r="Q455" s="33" t="n">
        <f>1123</f>
        <v>1123.0</v>
      </c>
      <c r="R455" s="34" t="s">
        <v>49</v>
      </c>
      <c r="S455" s="35" t="n">
        <f>1074.94</f>
        <v>1074.94</v>
      </c>
      <c r="T455" s="32" t="n">
        <f>1681210</f>
        <v>1681210.0</v>
      </c>
      <c r="U455" s="32" t="n">
        <f>10273</f>
        <v>10273.0</v>
      </c>
      <c r="V455" s="32" t="n">
        <f>1809179445</f>
        <v>1.809179445E9</v>
      </c>
      <c r="W455" s="32" t="n">
        <f>11113126</f>
        <v>1.1113126E7</v>
      </c>
      <c r="X455" s="36" t="n">
        <f>18</f>
        <v>18.0</v>
      </c>
    </row>
    <row r="456">
      <c r="A456" s="27" t="s">
        <v>42</v>
      </c>
      <c r="B456" s="27" t="s">
        <v>1411</v>
      </c>
      <c r="C456" s="27" t="s">
        <v>1412</v>
      </c>
      <c r="D456" s="27" t="s">
        <v>1413</v>
      </c>
      <c r="E456" s="28" t="s">
        <v>46</v>
      </c>
      <c r="F456" s="29" t="s">
        <v>46</v>
      </c>
      <c r="G456" s="30" t="s">
        <v>46</v>
      </c>
      <c r="H456" s="31"/>
      <c r="I456" s="31" t="s">
        <v>416</v>
      </c>
      <c r="J456" s="32" t="n">
        <v>10.0</v>
      </c>
      <c r="K456" s="33" t="n">
        <f>288.6</f>
        <v>288.6</v>
      </c>
      <c r="L456" s="34" t="s">
        <v>48</v>
      </c>
      <c r="M456" s="33" t="n">
        <f>366</f>
        <v>366.0</v>
      </c>
      <c r="N456" s="34" t="s">
        <v>68</v>
      </c>
      <c r="O456" s="33" t="n">
        <f>282.1</f>
        <v>282.1</v>
      </c>
      <c r="P456" s="34" t="s">
        <v>69</v>
      </c>
      <c r="Q456" s="33" t="n">
        <f>287.6</f>
        <v>287.6</v>
      </c>
      <c r="R456" s="34" t="s">
        <v>49</v>
      </c>
      <c r="S456" s="35" t="n">
        <f>286.13</f>
        <v>286.13</v>
      </c>
      <c r="T456" s="32" t="n">
        <f>157080</f>
        <v>157080.0</v>
      </c>
      <c r="U456" s="32" t="str">
        <f>"－"</f>
        <v>－</v>
      </c>
      <c r="V456" s="32" t="n">
        <f>45112525</f>
        <v>4.5112525E7</v>
      </c>
      <c r="W456" s="32" t="str">
        <f>"－"</f>
        <v>－</v>
      </c>
      <c r="X456" s="36" t="n">
        <f>18</f>
        <v>18.0</v>
      </c>
    </row>
    <row r="457">
      <c r="A457" s="27" t="s">
        <v>42</v>
      </c>
      <c r="B457" s="27" t="s">
        <v>1414</v>
      </c>
      <c r="C457" s="27" t="s">
        <v>1415</v>
      </c>
      <c r="D457" s="27" t="s">
        <v>1416</v>
      </c>
      <c r="E457" s="28" t="s">
        <v>46</v>
      </c>
      <c r="F457" s="29" t="s">
        <v>46</v>
      </c>
      <c r="G457" s="30" t="s">
        <v>46</v>
      </c>
      <c r="H457" s="31"/>
      <c r="I457" s="31" t="s">
        <v>416</v>
      </c>
      <c r="J457" s="32" t="n">
        <v>10.0</v>
      </c>
      <c r="K457" s="33" t="n">
        <f>289</f>
        <v>289.0</v>
      </c>
      <c r="L457" s="34" t="s">
        <v>48</v>
      </c>
      <c r="M457" s="33" t="n">
        <f>291</f>
        <v>291.0</v>
      </c>
      <c r="N457" s="34" t="s">
        <v>49</v>
      </c>
      <c r="O457" s="33" t="n">
        <f>284.4</f>
        <v>284.4</v>
      </c>
      <c r="P457" s="34" t="s">
        <v>69</v>
      </c>
      <c r="Q457" s="33" t="n">
        <f>291</f>
        <v>291.0</v>
      </c>
      <c r="R457" s="34" t="s">
        <v>49</v>
      </c>
      <c r="S457" s="35" t="n">
        <f>286.73</f>
        <v>286.73</v>
      </c>
      <c r="T457" s="32" t="n">
        <f>144890</f>
        <v>144890.0</v>
      </c>
      <c r="U457" s="32" t="str">
        <f>"－"</f>
        <v>－</v>
      </c>
      <c r="V457" s="32" t="n">
        <f>41454061</f>
        <v>4.1454061E7</v>
      </c>
      <c r="W457" s="32" t="str">
        <f>"－"</f>
        <v>－</v>
      </c>
      <c r="X457" s="36" t="n">
        <f>18</f>
        <v>18.0</v>
      </c>
    </row>
    <row r="458">
      <c r="A458" s="27" t="s">
        <v>42</v>
      </c>
      <c r="B458" s="27" t="s">
        <v>1417</v>
      </c>
      <c r="C458" s="27" t="s">
        <v>1418</v>
      </c>
      <c r="D458" s="27" t="s">
        <v>1419</v>
      </c>
      <c r="E458" s="28" t="s">
        <v>46</v>
      </c>
      <c r="F458" s="29" t="s">
        <v>46</v>
      </c>
      <c r="G458" s="30" t="s">
        <v>46</v>
      </c>
      <c r="H458" s="31"/>
      <c r="I458" s="31" t="s">
        <v>416</v>
      </c>
      <c r="J458" s="32" t="n">
        <v>1.0</v>
      </c>
      <c r="K458" s="33" t="n">
        <f>1196</f>
        <v>1196.0</v>
      </c>
      <c r="L458" s="34" t="s">
        <v>48</v>
      </c>
      <c r="M458" s="33" t="n">
        <f>1336</f>
        <v>1336.0</v>
      </c>
      <c r="N458" s="34" t="s">
        <v>49</v>
      </c>
      <c r="O458" s="33" t="n">
        <f>1189</f>
        <v>1189.0</v>
      </c>
      <c r="P458" s="34" t="s">
        <v>69</v>
      </c>
      <c r="Q458" s="33" t="n">
        <f>1333</f>
        <v>1333.0</v>
      </c>
      <c r="R458" s="34" t="s">
        <v>49</v>
      </c>
      <c r="S458" s="35" t="n">
        <f>1261.17</f>
        <v>1261.17</v>
      </c>
      <c r="T458" s="32" t="n">
        <f>477963</f>
        <v>477963.0</v>
      </c>
      <c r="U458" s="32" t="n">
        <f>250004</f>
        <v>250004.0</v>
      </c>
      <c r="V458" s="32" t="n">
        <f>585783259</f>
        <v>5.85783259E8</v>
      </c>
      <c r="W458" s="32" t="n">
        <f>300952524</f>
        <v>3.00952524E8</v>
      </c>
      <c r="X458" s="36" t="n">
        <f>18</f>
        <v>18.0</v>
      </c>
    </row>
    <row r="459">
      <c r="A459" s="27" t="s">
        <v>42</v>
      </c>
      <c r="B459" s="27" t="s">
        <v>1420</v>
      </c>
      <c r="C459" s="27" t="s">
        <v>1421</v>
      </c>
      <c r="D459" s="27" t="s">
        <v>1422</v>
      </c>
      <c r="E459" s="28" t="s">
        <v>46</v>
      </c>
      <c r="F459" s="29" t="s">
        <v>46</v>
      </c>
      <c r="G459" s="30" t="s">
        <v>46</v>
      </c>
      <c r="H459" s="31"/>
      <c r="I459" s="31" t="s">
        <v>416</v>
      </c>
      <c r="J459" s="32" t="n">
        <v>1.0</v>
      </c>
      <c r="K459" s="33" t="n">
        <f>2097</f>
        <v>2097.0</v>
      </c>
      <c r="L459" s="34" t="s">
        <v>48</v>
      </c>
      <c r="M459" s="33" t="n">
        <f>2194</f>
        <v>2194.0</v>
      </c>
      <c r="N459" s="34" t="s">
        <v>68</v>
      </c>
      <c r="O459" s="33" t="n">
        <f>2044</f>
        <v>2044.0</v>
      </c>
      <c r="P459" s="34" t="s">
        <v>83</v>
      </c>
      <c r="Q459" s="33" t="n">
        <f>2169</f>
        <v>2169.0</v>
      </c>
      <c r="R459" s="34" t="s">
        <v>49</v>
      </c>
      <c r="S459" s="35" t="n">
        <f>2117.89</f>
        <v>2117.89</v>
      </c>
      <c r="T459" s="32" t="n">
        <f>85815</f>
        <v>85815.0</v>
      </c>
      <c r="U459" s="32" t="str">
        <f>"－"</f>
        <v>－</v>
      </c>
      <c r="V459" s="32" t="n">
        <f>182610459</f>
        <v>1.82610459E8</v>
      </c>
      <c r="W459" s="32" t="str">
        <f>"－"</f>
        <v>－</v>
      </c>
      <c r="X459" s="36" t="n">
        <f>18</f>
        <v>18.0</v>
      </c>
    </row>
    <row r="460">
      <c r="A460" s="27" t="s">
        <v>42</v>
      </c>
      <c r="B460" s="27" t="s">
        <v>1423</v>
      </c>
      <c r="C460" s="27" t="s">
        <v>1424</v>
      </c>
      <c r="D460" s="27" t="s">
        <v>1425</v>
      </c>
      <c r="E460" s="28" t="s">
        <v>46</v>
      </c>
      <c r="F460" s="29" t="s">
        <v>46</v>
      </c>
      <c r="G460" s="30" t="s">
        <v>46</v>
      </c>
      <c r="H460" s="31"/>
      <c r="I460" s="31" t="s">
        <v>416</v>
      </c>
      <c r="J460" s="32" t="n">
        <v>1.0</v>
      </c>
      <c r="K460" s="33" t="n">
        <f>2020</f>
        <v>2020.0</v>
      </c>
      <c r="L460" s="34" t="s">
        <v>48</v>
      </c>
      <c r="M460" s="33" t="n">
        <f>2100</f>
        <v>2100.0</v>
      </c>
      <c r="N460" s="34" t="s">
        <v>70</v>
      </c>
      <c r="O460" s="33" t="n">
        <f>1940</f>
        <v>1940.0</v>
      </c>
      <c r="P460" s="34" t="s">
        <v>83</v>
      </c>
      <c r="Q460" s="33" t="n">
        <f>2092</f>
        <v>2092.0</v>
      </c>
      <c r="R460" s="34" t="s">
        <v>49</v>
      </c>
      <c r="S460" s="35" t="n">
        <f>2027.44</f>
        <v>2027.44</v>
      </c>
      <c r="T460" s="32" t="n">
        <f>14554</f>
        <v>14554.0</v>
      </c>
      <c r="U460" s="32" t="str">
        <f>"－"</f>
        <v>－</v>
      </c>
      <c r="V460" s="32" t="n">
        <f>29689748</f>
        <v>2.9689748E7</v>
      </c>
      <c r="W460" s="32" t="str">
        <f>"－"</f>
        <v>－</v>
      </c>
      <c r="X460" s="36" t="n">
        <f>18</f>
        <v>18.0</v>
      </c>
    </row>
    <row r="461">
      <c r="A461" s="27" t="s">
        <v>42</v>
      </c>
      <c r="B461" s="27" t="s">
        <v>1426</v>
      </c>
      <c r="C461" s="27" t="s">
        <v>1427</v>
      </c>
      <c r="D461" s="27" t="s">
        <v>1428</v>
      </c>
      <c r="E461" s="28" t="s">
        <v>46</v>
      </c>
      <c r="F461" s="29" t="s">
        <v>46</v>
      </c>
      <c r="G461" s="30" t="s">
        <v>46</v>
      </c>
      <c r="H461" s="31"/>
      <c r="I461" s="31" t="s">
        <v>416</v>
      </c>
      <c r="J461" s="32" t="n">
        <v>10.0</v>
      </c>
      <c r="K461" s="33" t="n">
        <f>783.8</f>
        <v>783.8</v>
      </c>
      <c r="L461" s="34" t="s">
        <v>48</v>
      </c>
      <c r="M461" s="33" t="n">
        <f>789.6</f>
        <v>789.6</v>
      </c>
      <c r="N461" s="34" t="s">
        <v>67</v>
      </c>
      <c r="O461" s="33" t="n">
        <f>771</f>
        <v>771.0</v>
      </c>
      <c r="P461" s="34" t="s">
        <v>70</v>
      </c>
      <c r="Q461" s="33" t="n">
        <f>772.4</f>
        <v>772.4</v>
      </c>
      <c r="R461" s="34" t="s">
        <v>49</v>
      </c>
      <c r="S461" s="35" t="n">
        <f>777.84</f>
        <v>777.84</v>
      </c>
      <c r="T461" s="32" t="n">
        <f>666440</f>
        <v>666440.0</v>
      </c>
      <c r="U461" s="32" t="n">
        <f>131590</f>
        <v>131590.0</v>
      </c>
      <c r="V461" s="32" t="n">
        <f>520637318</f>
        <v>5.20637318E8</v>
      </c>
      <c r="W461" s="32" t="n">
        <f>103144184</f>
        <v>1.03144184E8</v>
      </c>
      <c r="X461" s="36" t="n">
        <f>18</f>
        <v>18.0</v>
      </c>
    </row>
    <row r="462">
      <c r="A462" s="27" t="s">
        <v>42</v>
      </c>
      <c r="B462" s="27" t="s">
        <v>1429</v>
      </c>
      <c r="C462" s="27" t="s">
        <v>1430</v>
      </c>
      <c r="D462" s="27" t="s">
        <v>1431</v>
      </c>
      <c r="E462" s="28" t="s">
        <v>46</v>
      </c>
      <c r="F462" s="29" t="s">
        <v>46</v>
      </c>
      <c r="G462" s="30" t="s">
        <v>46</v>
      </c>
      <c r="H462" s="31"/>
      <c r="I462" s="31" t="s">
        <v>416</v>
      </c>
      <c r="J462" s="32" t="n">
        <v>1.0</v>
      </c>
      <c r="K462" s="33" t="n">
        <f>945</f>
        <v>945.0</v>
      </c>
      <c r="L462" s="34" t="s">
        <v>48</v>
      </c>
      <c r="M462" s="33" t="n">
        <f>960</f>
        <v>960.0</v>
      </c>
      <c r="N462" s="34" t="s">
        <v>67</v>
      </c>
      <c r="O462" s="33" t="n">
        <f>868</f>
        <v>868.0</v>
      </c>
      <c r="P462" s="34" t="s">
        <v>69</v>
      </c>
      <c r="Q462" s="33" t="n">
        <f>880</f>
        <v>880.0</v>
      </c>
      <c r="R462" s="34" t="s">
        <v>49</v>
      </c>
      <c r="S462" s="35" t="n">
        <f>900.22</f>
        <v>900.22</v>
      </c>
      <c r="T462" s="32" t="n">
        <f>3840</f>
        <v>3840.0</v>
      </c>
      <c r="U462" s="32" t="n">
        <f>1</f>
        <v>1.0</v>
      </c>
      <c r="V462" s="32" t="n">
        <f>3496827</f>
        <v>3496827.0</v>
      </c>
      <c r="W462" s="32" t="n">
        <f>909</f>
        <v>909.0</v>
      </c>
      <c r="X462" s="36" t="n">
        <f>18</f>
        <v>18.0</v>
      </c>
    </row>
    <row r="463">
      <c r="A463" s="27" t="s">
        <v>42</v>
      </c>
      <c r="B463" s="27" t="s">
        <v>1432</v>
      </c>
      <c r="C463" s="27" t="s">
        <v>1433</v>
      </c>
      <c r="D463" s="27" t="s">
        <v>1434</v>
      </c>
      <c r="E463" s="28" t="s">
        <v>46</v>
      </c>
      <c r="F463" s="29" t="s">
        <v>46</v>
      </c>
      <c r="G463" s="30" t="s">
        <v>46</v>
      </c>
      <c r="H463" s="31"/>
      <c r="I463" s="31" t="s">
        <v>47</v>
      </c>
      <c r="J463" s="32" t="n">
        <v>10.0</v>
      </c>
      <c r="K463" s="33" t="n">
        <f>521.5</f>
        <v>521.5</v>
      </c>
      <c r="L463" s="34" t="s">
        <v>48</v>
      </c>
      <c r="M463" s="33" t="n">
        <f>556.6</f>
        <v>556.6</v>
      </c>
      <c r="N463" s="34" t="s">
        <v>117</v>
      </c>
      <c r="O463" s="33" t="n">
        <f>521.5</f>
        <v>521.5</v>
      </c>
      <c r="P463" s="34" t="s">
        <v>48</v>
      </c>
      <c r="Q463" s="33" t="n">
        <f>554.3</f>
        <v>554.3</v>
      </c>
      <c r="R463" s="34" t="s">
        <v>49</v>
      </c>
      <c r="S463" s="35" t="n">
        <f>544.44</f>
        <v>544.44</v>
      </c>
      <c r="T463" s="32" t="n">
        <f>3336520</f>
        <v>3336520.0</v>
      </c>
      <c r="U463" s="32" t="n">
        <f>2784900</f>
        <v>2784900.0</v>
      </c>
      <c r="V463" s="32" t="n">
        <f>1830241290</f>
        <v>1.83024129E9</v>
      </c>
      <c r="W463" s="32" t="n">
        <f>1526616482</f>
        <v>1.526616482E9</v>
      </c>
      <c r="X463" s="36" t="n">
        <f>18</f>
        <v>18.0</v>
      </c>
    </row>
    <row r="464">
      <c r="A464" s="27" t="s">
        <v>42</v>
      </c>
      <c r="B464" s="27" t="s">
        <v>1435</v>
      </c>
      <c r="C464" s="27" t="s">
        <v>1436</v>
      </c>
      <c r="D464" s="27" t="s">
        <v>1437</v>
      </c>
      <c r="E464" s="28" t="s">
        <v>46</v>
      </c>
      <c r="F464" s="29" t="s">
        <v>46</v>
      </c>
      <c r="G464" s="30" t="s">
        <v>46</v>
      </c>
      <c r="H464" s="31"/>
      <c r="I464" s="31" t="s">
        <v>416</v>
      </c>
      <c r="J464" s="32" t="n">
        <v>10.0</v>
      </c>
      <c r="K464" s="33" t="n">
        <f>990</f>
        <v>990.0</v>
      </c>
      <c r="L464" s="34" t="s">
        <v>48</v>
      </c>
      <c r="M464" s="33" t="n">
        <f>992</f>
        <v>992.0</v>
      </c>
      <c r="N464" s="34" t="s">
        <v>67</v>
      </c>
      <c r="O464" s="33" t="n">
        <f>971.1</f>
        <v>971.1</v>
      </c>
      <c r="P464" s="34" t="s">
        <v>83</v>
      </c>
      <c r="Q464" s="33" t="n">
        <f>980.6</f>
        <v>980.6</v>
      </c>
      <c r="R464" s="34" t="s">
        <v>70</v>
      </c>
      <c r="S464" s="35" t="n">
        <f>980.92</f>
        <v>980.92</v>
      </c>
      <c r="T464" s="32" t="n">
        <f>7910</f>
        <v>7910.0</v>
      </c>
      <c r="U464" s="32" t="str">
        <f>"－"</f>
        <v>－</v>
      </c>
      <c r="V464" s="32" t="n">
        <f>7751211</f>
        <v>7751211.0</v>
      </c>
      <c r="W464" s="32" t="str">
        <f>"－"</f>
        <v>－</v>
      </c>
      <c r="X464" s="36" t="n">
        <f>17</f>
        <v>17.0</v>
      </c>
    </row>
    <row r="465">
      <c r="A465" s="27" t="s">
        <v>42</v>
      </c>
      <c r="B465" s="27" t="s">
        <v>1438</v>
      </c>
      <c r="C465" s="27" t="s">
        <v>1439</v>
      </c>
      <c r="D465" s="27" t="s">
        <v>1440</v>
      </c>
      <c r="E465" s="28" t="s">
        <v>46</v>
      </c>
      <c r="F465" s="29" t="s">
        <v>46</v>
      </c>
      <c r="G465" s="30" t="s">
        <v>46</v>
      </c>
      <c r="H465" s="31"/>
      <c r="I465" s="31" t="s">
        <v>416</v>
      </c>
      <c r="J465" s="32" t="n">
        <v>10.0</v>
      </c>
      <c r="K465" s="33" t="n">
        <f>999.1</f>
        <v>999.1</v>
      </c>
      <c r="L465" s="34" t="s">
        <v>67</v>
      </c>
      <c r="M465" s="33" t="n">
        <f>999.1</f>
        <v>999.1</v>
      </c>
      <c r="N465" s="34" t="s">
        <v>67</v>
      </c>
      <c r="O465" s="33" t="n">
        <f>994.2</f>
        <v>994.2</v>
      </c>
      <c r="P465" s="34" t="s">
        <v>83</v>
      </c>
      <c r="Q465" s="33" t="n">
        <f>996.7</f>
        <v>996.7</v>
      </c>
      <c r="R465" s="34" t="s">
        <v>68</v>
      </c>
      <c r="S465" s="35" t="n">
        <f>997.13</f>
        <v>997.13</v>
      </c>
      <c r="T465" s="32" t="n">
        <f>34340</f>
        <v>34340.0</v>
      </c>
      <c r="U465" s="32" t="str">
        <f>"－"</f>
        <v>－</v>
      </c>
      <c r="V465" s="32" t="n">
        <f>34240201</f>
        <v>3.4240201E7</v>
      </c>
      <c r="W465" s="32" t="str">
        <f>"－"</f>
        <v>－</v>
      </c>
      <c r="X465" s="36" t="n">
        <f>9</f>
        <v>9.0</v>
      </c>
    </row>
    <row r="466">
      <c r="A466" s="27" t="s">
        <v>42</v>
      </c>
      <c r="B466" s="27" t="s">
        <v>1441</v>
      </c>
      <c r="C466" s="27" t="s">
        <v>1442</v>
      </c>
      <c r="D466" s="27" t="s">
        <v>1443</v>
      </c>
      <c r="E466" s="28" t="s">
        <v>46</v>
      </c>
      <c r="F466" s="29" t="s">
        <v>46</v>
      </c>
      <c r="G466" s="30" t="s">
        <v>46</v>
      </c>
      <c r="H466" s="31"/>
      <c r="I466" s="31" t="s">
        <v>416</v>
      </c>
      <c r="J466" s="32" t="n">
        <v>10.0</v>
      </c>
      <c r="K466" s="33" t="n">
        <f>1034</f>
        <v>1034.0</v>
      </c>
      <c r="L466" s="34" t="s">
        <v>67</v>
      </c>
      <c r="M466" s="33" t="n">
        <f>1034</f>
        <v>1034.0</v>
      </c>
      <c r="N466" s="34" t="s">
        <v>67</v>
      </c>
      <c r="O466" s="33" t="n">
        <f>982.9</f>
        <v>982.9</v>
      </c>
      <c r="P466" s="34" t="s">
        <v>196</v>
      </c>
      <c r="Q466" s="33" t="n">
        <f>990</f>
        <v>990.0</v>
      </c>
      <c r="R466" s="34" t="s">
        <v>49</v>
      </c>
      <c r="S466" s="35" t="n">
        <f>992.36</f>
        <v>992.36</v>
      </c>
      <c r="T466" s="32" t="n">
        <f>11200</f>
        <v>11200.0</v>
      </c>
      <c r="U466" s="32" t="str">
        <f>"－"</f>
        <v>－</v>
      </c>
      <c r="V466" s="32" t="n">
        <f>11074404</f>
        <v>1.1074404E7</v>
      </c>
      <c r="W466" s="32" t="str">
        <f>"－"</f>
        <v>－</v>
      </c>
      <c r="X466" s="36" t="n">
        <f>11</f>
        <v>11.0</v>
      </c>
    </row>
    <row r="467">
      <c r="A467" s="27" t="s">
        <v>42</v>
      </c>
      <c r="B467" s="27" t="s">
        <v>1444</v>
      </c>
      <c r="C467" s="27" t="s">
        <v>1445</v>
      </c>
      <c r="D467" s="27" t="s">
        <v>1446</v>
      </c>
      <c r="E467" s="28" t="s">
        <v>46</v>
      </c>
      <c r="F467" s="29" t="s">
        <v>46</v>
      </c>
      <c r="G467" s="30" t="s">
        <v>46</v>
      </c>
      <c r="H467" s="31"/>
      <c r="I467" s="31" t="s">
        <v>416</v>
      </c>
      <c r="J467" s="32" t="n">
        <v>10.0</v>
      </c>
      <c r="K467" s="33" t="n">
        <f>1004.5</f>
        <v>1004.5</v>
      </c>
      <c r="L467" s="34" t="s">
        <v>67</v>
      </c>
      <c r="M467" s="33" t="n">
        <f>1004.5</f>
        <v>1004.5</v>
      </c>
      <c r="N467" s="34" t="s">
        <v>67</v>
      </c>
      <c r="O467" s="33" t="n">
        <f>968.7</f>
        <v>968.7</v>
      </c>
      <c r="P467" s="34" t="s">
        <v>100</v>
      </c>
      <c r="Q467" s="33" t="n">
        <f>975.3</f>
        <v>975.3</v>
      </c>
      <c r="R467" s="34" t="s">
        <v>204</v>
      </c>
      <c r="S467" s="35" t="n">
        <f>979.98</f>
        <v>979.98</v>
      </c>
      <c r="T467" s="32" t="n">
        <f>1330</f>
        <v>1330.0</v>
      </c>
      <c r="U467" s="32" t="str">
        <f>"－"</f>
        <v>－</v>
      </c>
      <c r="V467" s="32" t="n">
        <f>1303610</f>
        <v>1303610.0</v>
      </c>
      <c r="W467" s="32" t="str">
        <f>"－"</f>
        <v>－</v>
      </c>
      <c r="X467" s="36" t="n">
        <f>10</f>
        <v>10.0</v>
      </c>
    </row>
    <row r="468">
      <c r="A468" s="27" t="s">
        <v>42</v>
      </c>
      <c r="B468" s="27" t="s">
        <v>1447</v>
      </c>
      <c r="C468" s="27" t="s">
        <v>1448</v>
      </c>
      <c r="D468" s="27" t="s">
        <v>1449</v>
      </c>
      <c r="E468" s="28" t="s">
        <v>46</v>
      </c>
      <c r="F468" s="29" t="s">
        <v>46</v>
      </c>
      <c r="G468" s="30" t="s">
        <v>46</v>
      </c>
      <c r="H468" s="31"/>
      <c r="I468" s="31" t="s">
        <v>416</v>
      </c>
      <c r="J468" s="32" t="n">
        <v>10.0</v>
      </c>
      <c r="K468" s="33" t="n">
        <f>979.2</f>
        <v>979.2</v>
      </c>
      <c r="L468" s="34" t="s">
        <v>48</v>
      </c>
      <c r="M468" s="33" t="n">
        <f>984.9</f>
        <v>984.9</v>
      </c>
      <c r="N468" s="34" t="s">
        <v>67</v>
      </c>
      <c r="O468" s="33" t="n">
        <f>936</f>
        <v>936.0</v>
      </c>
      <c r="P468" s="34" t="s">
        <v>83</v>
      </c>
      <c r="Q468" s="33" t="n">
        <f>958</f>
        <v>958.0</v>
      </c>
      <c r="R468" s="34" t="s">
        <v>49</v>
      </c>
      <c r="S468" s="35" t="n">
        <f>959.09</f>
        <v>959.09</v>
      </c>
      <c r="T468" s="32" t="n">
        <f>140440</f>
        <v>140440.0</v>
      </c>
      <c r="U468" s="32" t="str">
        <f>"－"</f>
        <v>－</v>
      </c>
      <c r="V468" s="32" t="n">
        <f>133342342</f>
        <v>1.33342342E8</v>
      </c>
      <c r="W468" s="32" t="str">
        <f>"－"</f>
        <v>－</v>
      </c>
      <c r="X468" s="36" t="n">
        <f>18</f>
        <v>18.0</v>
      </c>
    </row>
    <row r="469">
      <c r="A469" s="27" t="s">
        <v>42</v>
      </c>
      <c r="B469" s="27" t="s">
        <v>1450</v>
      </c>
      <c r="C469" s="27" t="s">
        <v>1451</v>
      </c>
      <c r="D469" s="27" t="s">
        <v>1452</v>
      </c>
      <c r="E469" s="28" t="s">
        <v>46</v>
      </c>
      <c r="F469" s="29" t="s">
        <v>46</v>
      </c>
      <c r="G469" s="30" t="s">
        <v>46</v>
      </c>
      <c r="H469" s="31"/>
      <c r="I469" s="31" t="s">
        <v>416</v>
      </c>
      <c r="J469" s="32" t="n">
        <v>1.0</v>
      </c>
      <c r="K469" s="33" t="n">
        <f>9601</f>
        <v>9601.0</v>
      </c>
      <c r="L469" s="34" t="s">
        <v>48</v>
      </c>
      <c r="M469" s="33" t="n">
        <f>9890</f>
        <v>9890.0</v>
      </c>
      <c r="N469" s="34" t="s">
        <v>67</v>
      </c>
      <c r="O469" s="33" t="n">
        <f>9341</f>
        <v>9341.0</v>
      </c>
      <c r="P469" s="34" t="s">
        <v>104</v>
      </c>
      <c r="Q469" s="33" t="n">
        <f>9727</f>
        <v>9727.0</v>
      </c>
      <c r="R469" s="34" t="s">
        <v>49</v>
      </c>
      <c r="S469" s="35" t="n">
        <f>9591.88</f>
        <v>9591.88</v>
      </c>
      <c r="T469" s="32" t="n">
        <f>6433</f>
        <v>6433.0</v>
      </c>
      <c r="U469" s="32" t="str">
        <f>"－"</f>
        <v>－</v>
      </c>
      <c r="V469" s="32" t="n">
        <f>61899954</f>
        <v>6.1899954E7</v>
      </c>
      <c r="W469" s="32" t="str">
        <f>"－"</f>
        <v>－</v>
      </c>
      <c r="X469" s="36" t="n">
        <f>16</f>
        <v>16.0</v>
      </c>
    </row>
    <row r="470">
      <c r="A470" s="27" t="s">
        <v>42</v>
      </c>
      <c r="B470" s="27" t="s">
        <v>1453</v>
      </c>
      <c r="C470" s="27" t="s">
        <v>1454</v>
      </c>
      <c r="D470" s="27" t="s">
        <v>1455</v>
      </c>
      <c r="E470" s="28" t="s">
        <v>46</v>
      </c>
      <c r="F470" s="29" t="s">
        <v>46</v>
      </c>
      <c r="G470" s="30" t="s">
        <v>46</v>
      </c>
      <c r="H470" s="31"/>
      <c r="I470" s="31" t="s">
        <v>416</v>
      </c>
      <c r="J470" s="32" t="n">
        <v>1.0</v>
      </c>
      <c r="K470" s="33" t="n">
        <f>8759</f>
        <v>8759.0</v>
      </c>
      <c r="L470" s="34" t="s">
        <v>48</v>
      </c>
      <c r="M470" s="33" t="n">
        <f>9230</f>
        <v>9230.0</v>
      </c>
      <c r="N470" s="34" t="s">
        <v>49</v>
      </c>
      <c r="O470" s="33" t="n">
        <f>7944</f>
        <v>7944.0</v>
      </c>
      <c r="P470" s="34" t="s">
        <v>83</v>
      </c>
      <c r="Q470" s="33" t="n">
        <f>9227</f>
        <v>9227.0</v>
      </c>
      <c r="R470" s="34" t="s">
        <v>49</v>
      </c>
      <c r="S470" s="35" t="n">
        <f>8642.06</f>
        <v>8642.06</v>
      </c>
      <c r="T470" s="32" t="n">
        <f>14600</f>
        <v>14600.0</v>
      </c>
      <c r="U470" s="32" t="str">
        <f>"－"</f>
        <v>－</v>
      </c>
      <c r="V470" s="32" t="n">
        <f>126375226</f>
        <v>1.26375226E8</v>
      </c>
      <c r="W470" s="32" t="str">
        <f>"－"</f>
        <v>－</v>
      </c>
      <c r="X470" s="36" t="n">
        <f>18</f>
        <v>18.0</v>
      </c>
    </row>
    <row r="471">
      <c r="A471" s="27" t="s">
        <v>42</v>
      </c>
      <c r="B471" s="27" t="s">
        <v>1456</v>
      </c>
      <c r="C471" s="27" t="s">
        <v>1457</v>
      </c>
      <c r="D471" s="27" t="s">
        <v>1458</v>
      </c>
      <c r="E471" s="28" t="s">
        <v>46</v>
      </c>
      <c r="F471" s="29" t="s">
        <v>46</v>
      </c>
      <c r="G471" s="30" t="s">
        <v>46</v>
      </c>
      <c r="H471" s="31"/>
      <c r="I471" s="31" t="s">
        <v>416</v>
      </c>
      <c r="J471" s="32" t="n">
        <v>1.0</v>
      </c>
      <c r="K471" s="33" t="n">
        <f>8341</f>
        <v>8341.0</v>
      </c>
      <c r="L471" s="34" t="s">
        <v>48</v>
      </c>
      <c r="M471" s="33" t="n">
        <f>8763</f>
        <v>8763.0</v>
      </c>
      <c r="N471" s="34" t="s">
        <v>49</v>
      </c>
      <c r="O471" s="33" t="n">
        <f>8202</f>
        <v>8202.0</v>
      </c>
      <c r="P471" s="34" t="s">
        <v>83</v>
      </c>
      <c r="Q471" s="33" t="n">
        <f>8763</f>
        <v>8763.0</v>
      </c>
      <c r="R471" s="34" t="s">
        <v>49</v>
      </c>
      <c r="S471" s="35" t="n">
        <f>8468.59</f>
        <v>8468.59</v>
      </c>
      <c r="T471" s="32" t="n">
        <f>2147</f>
        <v>2147.0</v>
      </c>
      <c r="U471" s="32" t="str">
        <f>"－"</f>
        <v>－</v>
      </c>
      <c r="V471" s="32" t="n">
        <f>18289447</f>
        <v>1.8289447E7</v>
      </c>
      <c r="W471" s="32" t="str">
        <f>"－"</f>
        <v>－</v>
      </c>
      <c r="X471" s="36" t="n">
        <f>17</f>
        <v>17.0</v>
      </c>
    </row>
    <row r="472">
      <c r="A472" s="27" t="s">
        <v>42</v>
      </c>
      <c r="B472" s="27" t="s">
        <v>1459</v>
      </c>
      <c r="C472" s="27" t="s">
        <v>1460</v>
      </c>
      <c r="D472" s="27" t="s">
        <v>1461</v>
      </c>
      <c r="E472" s="28" t="s">
        <v>46</v>
      </c>
      <c r="F472" s="29" t="s">
        <v>46</v>
      </c>
      <c r="G472" s="30" t="s">
        <v>46</v>
      </c>
      <c r="H472" s="31"/>
      <c r="I472" s="31" t="s">
        <v>416</v>
      </c>
      <c r="J472" s="32" t="n">
        <v>10.0</v>
      </c>
      <c r="K472" s="33" t="n">
        <f>901.5</f>
        <v>901.5</v>
      </c>
      <c r="L472" s="34" t="s">
        <v>48</v>
      </c>
      <c r="M472" s="33" t="n">
        <f>902</f>
        <v>902.0</v>
      </c>
      <c r="N472" s="34" t="s">
        <v>49</v>
      </c>
      <c r="O472" s="33" t="n">
        <f>901.4</f>
        <v>901.4</v>
      </c>
      <c r="P472" s="34" t="s">
        <v>48</v>
      </c>
      <c r="Q472" s="33" t="n">
        <f>902</f>
        <v>902.0</v>
      </c>
      <c r="R472" s="34" t="s">
        <v>49</v>
      </c>
      <c r="S472" s="35" t="n">
        <f>901.68</f>
        <v>901.68</v>
      </c>
      <c r="T472" s="32" t="n">
        <f>581020</f>
        <v>581020.0</v>
      </c>
      <c r="U472" s="32" t="n">
        <f>110</f>
        <v>110.0</v>
      </c>
      <c r="V472" s="32" t="n">
        <f>523913980</f>
        <v>5.2391398E8</v>
      </c>
      <c r="W472" s="32" t="n">
        <f>99176</f>
        <v>99176.0</v>
      </c>
      <c r="X472" s="36" t="n">
        <f>18</f>
        <v>18.0</v>
      </c>
    </row>
    <row r="473">
      <c r="A473" s="27" t="s">
        <v>42</v>
      </c>
      <c r="B473" s="27" t="s">
        <v>1462</v>
      </c>
      <c r="C473" s="27" t="s">
        <v>1463</v>
      </c>
      <c r="D473" s="27" t="s">
        <v>1464</v>
      </c>
      <c r="E473" s="28" t="s">
        <v>46</v>
      </c>
      <c r="F473" s="29" t="s">
        <v>46</v>
      </c>
      <c r="G473" s="30" t="s">
        <v>46</v>
      </c>
      <c r="H473" s="31"/>
      <c r="I473" s="31" t="s">
        <v>416</v>
      </c>
      <c r="J473" s="32" t="n">
        <v>1.0</v>
      </c>
      <c r="K473" s="33" t="n">
        <f>80600</f>
        <v>80600.0</v>
      </c>
      <c r="L473" s="34" t="s">
        <v>48</v>
      </c>
      <c r="M473" s="33" t="n">
        <f>80800</f>
        <v>80800.0</v>
      </c>
      <c r="N473" s="34" t="s">
        <v>48</v>
      </c>
      <c r="O473" s="33" t="n">
        <f>78000</f>
        <v>78000.0</v>
      </c>
      <c r="P473" s="34" t="s">
        <v>104</v>
      </c>
      <c r="Q473" s="33" t="n">
        <f>78800</f>
        <v>78800.0</v>
      </c>
      <c r="R473" s="34" t="s">
        <v>49</v>
      </c>
      <c r="S473" s="35" t="n">
        <f>80061.11</f>
        <v>80061.11</v>
      </c>
      <c r="T473" s="32" t="n">
        <f>3621</f>
        <v>3621.0</v>
      </c>
      <c r="U473" s="32" t="n">
        <f>65</f>
        <v>65.0</v>
      </c>
      <c r="V473" s="32" t="n">
        <f>288831400</f>
        <v>2.888314E8</v>
      </c>
      <c r="W473" s="32" t="n">
        <f>5215300</f>
        <v>5215300.0</v>
      </c>
      <c r="X473" s="36" t="n">
        <f>18</f>
        <v>18.0</v>
      </c>
    </row>
    <row r="474">
      <c r="A474" s="27" t="s">
        <v>42</v>
      </c>
      <c r="B474" s="27" t="s">
        <v>1465</v>
      </c>
      <c r="C474" s="27" t="s">
        <v>1466</v>
      </c>
      <c r="D474" s="27" t="s">
        <v>1467</v>
      </c>
      <c r="E474" s="28" t="s">
        <v>46</v>
      </c>
      <c r="F474" s="29" t="s">
        <v>46</v>
      </c>
      <c r="G474" s="30" t="s">
        <v>46</v>
      </c>
      <c r="H474" s="31"/>
      <c r="I474" s="31" t="s">
        <v>416</v>
      </c>
      <c r="J474" s="32" t="n">
        <v>1.0</v>
      </c>
      <c r="K474" s="33" t="n">
        <f>1091</f>
        <v>1091.0</v>
      </c>
      <c r="L474" s="34" t="s">
        <v>48</v>
      </c>
      <c r="M474" s="33" t="n">
        <f>1137</f>
        <v>1137.0</v>
      </c>
      <c r="N474" s="34" t="s">
        <v>117</v>
      </c>
      <c r="O474" s="33" t="n">
        <f>1069</f>
        <v>1069.0</v>
      </c>
      <c r="P474" s="34" t="s">
        <v>69</v>
      </c>
      <c r="Q474" s="33" t="n">
        <f>1096</f>
        <v>1096.0</v>
      </c>
      <c r="R474" s="34" t="s">
        <v>49</v>
      </c>
      <c r="S474" s="35" t="n">
        <f>1100.56</f>
        <v>1100.56</v>
      </c>
      <c r="T474" s="32" t="n">
        <f>59887</f>
        <v>59887.0</v>
      </c>
      <c r="U474" s="32" t="str">
        <f>"－"</f>
        <v>－</v>
      </c>
      <c r="V474" s="32" t="n">
        <f>65824282</f>
        <v>6.5824282E7</v>
      </c>
      <c r="W474" s="32" t="str">
        <f>"－"</f>
        <v>－</v>
      </c>
      <c r="X474" s="36" t="n">
        <f>18</f>
        <v>18.0</v>
      </c>
    </row>
    <row r="475">
      <c r="A475" s="27" t="s">
        <v>42</v>
      </c>
      <c r="B475" s="27" t="s">
        <v>1468</v>
      </c>
      <c r="C475" s="27" t="s">
        <v>1469</v>
      </c>
      <c r="D475" s="27" t="s">
        <v>1470</v>
      </c>
      <c r="E475" s="28" t="s">
        <v>46</v>
      </c>
      <c r="F475" s="29" t="s">
        <v>46</v>
      </c>
      <c r="G475" s="30" t="s">
        <v>46</v>
      </c>
      <c r="H475" s="31"/>
      <c r="I475" s="31" t="s">
        <v>47</v>
      </c>
      <c r="J475" s="32" t="n">
        <v>1.0</v>
      </c>
      <c r="K475" s="33" t="n">
        <f>935</f>
        <v>935.0</v>
      </c>
      <c r="L475" s="34" t="s">
        <v>48</v>
      </c>
      <c r="M475" s="33" t="n">
        <f>980</f>
        <v>980.0</v>
      </c>
      <c r="N475" s="34" t="s">
        <v>68</v>
      </c>
      <c r="O475" s="33" t="n">
        <f>849</f>
        <v>849.0</v>
      </c>
      <c r="P475" s="34" t="s">
        <v>69</v>
      </c>
      <c r="Q475" s="33" t="n">
        <f>926</f>
        <v>926.0</v>
      </c>
      <c r="R475" s="34" t="s">
        <v>49</v>
      </c>
      <c r="S475" s="35" t="n">
        <f>923</f>
        <v>923.0</v>
      </c>
      <c r="T475" s="32" t="n">
        <f>10818419</f>
        <v>1.0818419E7</v>
      </c>
      <c r="U475" s="32" t="n">
        <f>315380</f>
        <v>315380.0</v>
      </c>
      <c r="V475" s="32" t="n">
        <f>10001567491</f>
        <v>1.0001567491E10</v>
      </c>
      <c r="W475" s="32" t="n">
        <f>280897727</f>
        <v>2.80897727E8</v>
      </c>
      <c r="X475" s="36" t="n">
        <f>18</f>
        <v>18.0</v>
      </c>
    </row>
    <row r="476">
      <c r="A476" s="27" t="s">
        <v>42</v>
      </c>
      <c r="B476" s="27" t="s">
        <v>1471</v>
      </c>
      <c r="C476" s="27" t="s">
        <v>1472</v>
      </c>
      <c r="D476" s="27" t="s">
        <v>1473</v>
      </c>
      <c r="E476" s="28" t="s">
        <v>46</v>
      </c>
      <c r="F476" s="29" t="s">
        <v>46</v>
      </c>
      <c r="G476" s="30" t="s">
        <v>46</v>
      </c>
      <c r="H476" s="31"/>
      <c r="I476" s="31" t="s">
        <v>416</v>
      </c>
      <c r="J476" s="32" t="n">
        <v>10.0</v>
      </c>
      <c r="K476" s="33" t="n">
        <f>504</f>
        <v>504.0</v>
      </c>
      <c r="L476" s="34" t="s">
        <v>48</v>
      </c>
      <c r="M476" s="33" t="n">
        <f>505</f>
        <v>505.0</v>
      </c>
      <c r="N476" s="34" t="s">
        <v>67</v>
      </c>
      <c r="O476" s="33" t="n">
        <f>499.5</f>
        <v>499.5</v>
      </c>
      <c r="P476" s="34" t="s">
        <v>83</v>
      </c>
      <c r="Q476" s="33" t="n">
        <f>503.4</f>
        <v>503.4</v>
      </c>
      <c r="R476" s="34" t="s">
        <v>49</v>
      </c>
      <c r="S476" s="35" t="n">
        <f>502.27</f>
        <v>502.27</v>
      </c>
      <c r="T476" s="32" t="n">
        <f>52090</f>
        <v>52090.0</v>
      </c>
      <c r="U476" s="32" t="n">
        <f>30</f>
        <v>30.0</v>
      </c>
      <c r="V476" s="32" t="n">
        <f>26172458</f>
        <v>2.6172458E7</v>
      </c>
      <c r="W476" s="32" t="n">
        <f>15109</f>
        <v>15109.0</v>
      </c>
      <c r="X476" s="36" t="n">
        <f>18</f>
        <v>18.0</v>
      </c>
    </row>
    <row r="477">
      <c r="A477" s="27" t="s">
        <v>42</v>
      </c>
      <c r="B477" s="27" t="s">
        <v>1474</v>
      </c>
      <c r="C477" s="27" t="s">
        <v>1475</v>
      </c>
      <c r="D477" s="27" t="s">
        <v>1476</v>
      </c>
      <c r="E477" s="28" t="s">
        <v>46</v>
      </c>
      <c r="F477" s="29" t="s">
        <v>46</v>
      </c>
      <c r="G477" s="30" t="s">
        <v>46</v>
      </c>
      <c r="H477" s="31"/>
      <c r="I477" s="31" t="s">
        <v>416</v>
      </c>
      <c r="J477" s="32" t="n">
        <v>1.0</v>
      </c>
      <c r="K477" s="33" t="n">
        <f>2164</f>
        <v>2164.0</v>
      </c>
      <c r="L477" s="34" t="s">
        <v>48</v>
      </c>
      <c r="M477" s="33" t="n">
        <f>2497</f>
        <v>2497.0</v>
      </c>
      <c r="N477" s="34" t="s">
        <v>67</v>
      </c>
      <c r="O477" s="33" t="n">
        <f>1991</f>
        <v>1991.0</v>
      </c>
      <c r="P477" s="34" t="s">
        <v>70</v>
      </c>
      <c r="Q477" s="33" t="n">
        <f>2053</f>
        <v>2053.0</v>
      </c>
      <c r="R477" s="34" t="s">
        <v>70</v>
      </c>
      <c r="S477" s="35" t="n">
        <f>2035.45</f>
        <v>2035.45</v>
      </c>
      <c r="T477" s="32" t="n">
        <f>1472</f>
        <v>1472.0</v>
      </c>
      <c r="U477" s="32" t="n">
        <f>2</f>
        <v>2.0</v>
      </c>
      <c r="V477" s="32" t="n">
        <f>3086642</f>
        <v>3086642.0</v>
      </c>
      <c r="W477" s="32" t="n">
        <f>4002</f>
        <v>4002.0</v>
      </c>
      <c r="X477" s="36" t="n">
        <f>11</f>
        <v>11.0</v>
      </c>
    </row>
    <row r="478">
      <c r="A478" s="27" t="s">
        <v>42</v>
      </c>
      <c r="B478" s="27" t="s">
        <v>1477</v>
      </c>
      <c r="C478" s="27" t="s">
        <v>1478</v>
      </c>
      <c r="D478" s="27" t="s">
        <v>1479</v>
      </c>
      <c r="E478" s="28" t="s">
        <v>46</v>
      </c>
      <c r="F478" s="29" t="s">
        <v>46</v>
      </c>
      <c r="G478" s="30" t="s">
        <v>46</v>
      </c>
      <c r="H478" s="31"/>
      <c r="I478" s="31" t="s">
        <v>416</v>
      </c>
      <c r="J478" s="32" t="n">
        <v>1.0</v>
      </c>
      <c r="K478" s="33" t="n">
        <f>1964</f>
        <v>1964.0</v>
      </c>
      <c r="L478" s="34" t="s">
        <v>67</v>
      </c>
      <c r="M478" s="33" t="n">
        <f>1979</f>
        <v>1979.0</v>
      </c>
      <c r="N478" s="34" t="s">
        <v>83</v>
      </c>
      <c r="O478" s="33" t="n">
        <f>1931</f>
        <v>1931.0</v>
      </c>
      <c r="P478" s="34" t="s">
        <v>100</v>
      </c>
      <c r="Q478" s="33" t="n">
        <f>1931</f>
        <v>1931.0</v>
      </c>
      <c r="R478" s="34" t="s">
        <v>49</v>
      </c>
      <c r="S478" s="35" t="n">
        <f>1952.38</f>
        <v>1952.38</v>
      </c>
      <c r="T478" s="32" t="n">
        <f>4143</f>
        <v>4143.0</v>
      </c>
      <c r="U478" s="32" t="str">
        <f>"－"</f>
        <v>－</v>
      </c>
      <c r="V478" s="32" t="n">
        <f>8044645</f>
        <v>8044645.0</v>
      </c>
      <c r="W478" s="32" t="str">
        <f>"－"</f>
        <v>－</v>
      </c>
      <c r="X478" s="36" t="n">
        <f>8</f>
        <v>8.0</v>
      </c>
    </row>
    <row r="479">
      <c r="A479" s="27" t="s">
        <v>42</v>
      </c>
      <c r="B479" s="27" t="s">
        <v>1480</v>
      </c>
      <c r="C479" s="27" t="s">
        <v>1481</v>
      </c>
      <c r="D479" s="27" t="s">
        <v>1482</v>
      </c>
      <c r="E479" s="28" t="s">
        <v>46</v>
      </c>
      <c r="F479" s="29" t="s">
        <v>46</v>
      </c>
      <c r="G479" s="30" t="s">
        <v>46</v>
      </c>
      <c r="H479" s="31"/>
      <c r="I479" s="31" t="s">
        <v>416</v>
      </c>
      <c r="J479" s="32" t="n">
        <v>1.0</v>
      </c>
      <c r="K479" s="33" t="n">
        <f>1816</f>
        <v>1816.0</v>
      </c>
      <c r="L479" s="34" t="s">
        <v>48</v>
      </c>
      <c r="M479" s="33" t="n">
        <f>1914</f>
        <v>1914.0</v>
      </c>
      <c r="N479" s="34" t="s">
        <v>49</v>
      </c>
      <c r="O479" s="33" t="n">
        <f>1797</f>
        <v>1797.0</v>
      </c>
      <c r="P479" s="34" t="s">
        <v>48</v>
      </c>
      <c r="Q479" s="33" t="n">
        <f>1887</f>
        <v>1887.0</v>
      </c>
      <c r="R479" s="34" t="s">
        <v>49</v>
      </c>
      <c r="S479" s="35" t="n">
        <f>1869.78</f>
        <v>1869.78</v>
      </c>
      <c r="T479" s="32" t="n">
        <f>185556</f>
        <v>185556.0</v>
      </c>
      <c r="U479" s="32" t="n">
        <f>407</f>
        <v>407.0</v>
      </c>
      <c r="V479" s="32" t="n">
        <f>347172153</f>
        <v>3.47172153E8</v>
      </c>
      <c r="W479" s="32" t="n">
        <f>717188</f>
        <v>717188.0</v>
      </c>
      <c r="X479" s="36" t="n">
        <f>18</f>
        <v>18.0</v>
      </c>
    </row>
    <row r="480">
      <c r="A480" s="27" t="s">
        <v>42</v>
      </c>
      <c r="B480" s="27" t="s">
        <v>1483</v>
      </c>
      <c r="C480" s="27" t="s">
        <v>1484</v>
      </c>
      <c r="D480" s="27" t="s">
        <v>1485</v>
      </c>
      <c r="E480" s="28" t="s">
        <v>46</v>
      </c>
      <c r="F480" s="29" t="s">
        <v>46</v>
      </c>
      <c r="G480" s="30" t="s">
        <v>46</v>
      </c>
      <c r="H480" s="31"/>
      <c r="I480" s="31" t="s">
        <v>416</v>
      </c>
      <c r="J480" s="32" t="n">
        <v>1.0</v>
      </c>
      <c r="K480" s="33" t="n">
        <f>1925</f>
        <v>1925.0</v>
      </c>
      <c r="L480" s="34" t="s">
        <v>48</v>
      </c>
      <c r="M480" s="33" t="n">
        <f>2109</f>
        <v>2109.0</v>
      </c>
      <c r="N480" s="34" t="s">
        <v>49</v>
      </c>
      <c r="O480" s="33" t="n">
        <f>1914</f>
        <v>1914.0</v>
      </c>
      <c r="P480" s="34" t="s">
        <v>48</v>
      </c>
      <c r="Q480" s="33" t="n">
        <f>2094</f>
        <v>2094.0</v>
      </c>
      <c r="R480" s="34" t="s">
        <v>49</v>
      </c>
      <c r="S480" s="35" t="n">
        <f>2028.17</f>
        <v>2028.17</v>
      </c>
      <c r="T480" s="32" t="n">
        <f>2964865</f>
        <v>2964865.0</v>
      </c>
      <c r="U480" s="32" t="n">
        <f>258</f>
        <v>258.0</v>
      </c>
      <c r="V480" s="32" t="n">
        <f>6050607436</f>
        <v>6.050607436E9</v>
      </c>
      <c r="W480" s="32" t="n">
        <f>537409</f>
        <v>537409.0</v>
      </c>
      <c r="X480" s="36" t="n">
        <f>18</f>
        <v>18.0</v>
      </c>
    </row>
    <row r="481">
      <c r="A481" s="27" t="s">
        <v>42</v>
      </c>
      <c r="B481" s="27" t="s">
        <v>1486</v>
      </c>
      <c r="C481" s="27" t="s">
        <v>1487</v>
      </c>
      <c r="D481" s="27" t="s">
        <v>1488</v>
      </c>
      <c r="E481" s="28" t="s">
        <v>46</v>
      </c>
      <c r="F481" s="29" t="s">
        <v>46</v>
      </c>
      <c r="G481" s="30" t="s">
        <v>46</v>
      </c>
      <c r="H481" s="31"/>
      <c r="I481" s="31" t="s">
        <v>416</v>
      </c>
      <c r="J481" s="32" t="n">
        <v>1.0</v>
      </c>
      <c r="K481" s="33" t="n">
        <f>1951</f>
        <v>1951.0</v>
      </c>
      <c r="L481" s="34" t="s">
        <v>48</v>
      </c>
      <c r="M481" s="33" t="n">
        <f>2140</f>
        <v>2140.0</v>
      </c>
      <c r="N481" s="34" t="s">
        <v>67</v>
      </c>
      <c r="O481" s="33" t="n">
        <f>1938</f>
        <v>1938.0</v>
      </c>
      <c r="P481" s="34" t="s">
        <v>48</v>
      </c>
      <c r="Q481" s="33" t="n">
        <f>2065</f>
        <v>2065.0</v>
      </c>
      <c r="R481" s="34" t="s">
        <v>49</v>
      </c>
      <c r="S481" s="35" t="n">
        <f>2003.89</f>
        <v>2003.89</v>
      </c>
      <c r="T481" s="32" t="n">
        <f>64099</f>
        <v>64099.0</v>
      </c>
      <c r="U481" s="32" t="n">
        <f>4501</f>
        <v>4501.0</v>
      </c>
      <c r="V481" s="32" t="n">
        <f>127845030</f>
        <v>1.2784503E8</v>
      </c>
      <c r="W481" s="32" t="n">
        <f>9094599</f>
        <v>9094599.0</v>
      </c>
      <c r="X481" s="36" t="n">
        <f>18</f>
        <v>18.0</v>
      </c>
    </row>
    <row r="482">
      <c r="A482" s="27" t="s">
        <v>42</v>
      </c>
      <c r="B482" s="27" t="s">
        <v>1489</v>
      </c>
      <c r="C482" s="27" t="s">
        <v>1490</v>
      </c>
      <c r="D482" s="27" t="s">
        <v>1491</v>
      </c>
      <c r="E482" s="28" t="s">
        <v>46</v>
      </c>
      <c r="F482" s="29" t="s">
        <v>46</v>
      </c>
      <c r="G482" s="30" t="s">
        <v>46</v>
      </c>
      <c r="H482" s="31"/>
      <c r="I482" s="31" t="s">
        <v>416</v>
      </c>
      <c r="J482" s="32" t="n">
        <v>1.0</v>
      </c>
      <c r="K482" s="33" t="n">
        <f>1907</f>
        <v>1907.0</v>
      </c>
      <c r="L482" s="34" t="s">
        <v>48</v>
      </c>
      <c r="M482" s="33" t="n">
        <f>1925</f>
        <v>1925.0</v>
      </c>
      <c r="N482" s="34" t="s">
        <v>67</v>
      </c>
      <c r="O482" s="33" t="n">
        <f>1821</f>
        <v>1821.0</v>
      </c>
      <c r="P482" s="34" t="s">
        <v>104</v>
      </c>
      <c r="Q482" s="33" t="n">
        <f>1854</f>
        <v>1854.0</v>
      </c>
      <c r="R482" s="34" t="s">
        <v>49</v>
      </c>
      <c r="S482" s="35" t="n">
        <f>1859.72</f>
        <v>1859.72</v>
      </c>
      <c r="T482" s="32" t="n">
        <f>9497</f>
        <v>9497.0</v>
      </c>
      <c r="U482" s="32" t="n">
        <f>1</f>
        <v>1.0</v>
      </c>
      <c r="V482" s="32" t="n">
        <f>17975002</f>
        <v>1.7975002E7</v>
      </c>
      <c r="W482" s="32" t="n">
        <f>1855</f>
        <v>1855.0</v>
      </c>
      <c r="X482" s="36" t="n">
        <f>18</f>
        <v>18.0</v>
      </c>
    </row>
    <row r="483">
      <c r="A483" s="27" t="s">
        <v>42</v>
      </c>
      <c r="B483" s="27" t="s">
        <v>1492</v>
      </c>
      <c r="C483" s="27" t="s">
        <v>1493</v>
      </c>
      <c r="D483" s="27" t="s">
        <v>1494</v>
      </c>
      <c r="E483" s="28" t="s">
        <v>46</v>
      </c>
      <c r="F483" s="29" t="s">
        <v>46</v>
      </c>
      <c r="G483" s="30" t="s">
        <v>46</v>
      </c>
      <c r="H483" s="31"/>
      <c r="I483" s="31" t="s">
        <v>416</v>
      </c>
      <c r="J483" s="32" t="n">
        <v>1.0</v>
      </c>
      <c r="K483" s="33" t="n">
        <f>2014</f>
        <v>2014.0</v>
      </c>
      <c r="L483" s="34" t="s">
        <v>48</v>
      </c>
      <c r="M483" s="33" t="n">
        <f>2350</f>
        <v>2350.0</v>
      </c>
      <c r="N483" s="34" t="s">
        <v>67</v>
      </c>
      <c r="O483" s="33" t="n">
        <f>1992</f>
        <v>1992.0</v>
      </c>
      <c r="P483" s="34" t="s">
        <v>48</v>
      </c>
      <c r="Q483" s="33" t="n">
        <f>2133</f>
        <v>2133.0</v>
      </c>
      <c r="R483" s="34" t="s">
        <v>49</v>
      </c>
      <c r="S483" s="35" t="n">
        <f>2096.11</f>
        <v>2096.11</v>
      </c>
      <c r="T483" s="32" t="n">
        <f>28838</f>
        <v>28838.0</v>
      </c>
      <c r="U483" s="32" t="n">
        <f>5008</f>
        <v>5008.0</v>
      </c>
      <c r="V483" s="32" t="n">
        <f>60688731</f>
        <v>6.0688731E7</v>
      </c>
      <c r="W483" s="32" t="n">
        <f>10445716</f>
        <v>1.0445716E7</v>
      </c>
      <c r="X483" s="36" t="n">
        <f>18</f>
        <v>18.0</v>
      </c>
    </row>
    <row r="484">
      <c r="A484" s="27" t="s">
        <v>42</v>
      </c>
      <c r="B484" s="27" t="s">
        <v>1495</v>
      </c>
      <c r="C484" s="27" t="s">
        <v>1496</v>
      </c>
      <c r="D484" s="27" t="s">
        <v>1497</v>
      </c>
      <c r="E484" s="28" t="s">
        <v>46</v>
      </c>
      <c r="F484" s="29" t="s">
        <v>46</v>
      </c>
      <c r="G484" s="30" t="s">
        <v>46</v>
      </c>
      <c r="H484" s="31"/>
      <c r="I484" s="31" t="s">
        <v>416</v>
      </c>
      <c r="J484" s="32" t="n">
        <v>1.0</v>
      </c>
      <c r="K484" s="33" t="n">
        <f>2025</f>
        <v>2025.0</v>
      </c>
      <c r="L484" s="34" t="s">
        <v>48</v>
      </c>
      <c r="M484" s="33" t="n">
        <f>2157</f>
        <v>2157.0</v>
      </c>
      <c r="N484" s="34" t="s">
        <v>117</v>
      </c>
      <c r="O484" s="33" t="n">
        <f>1998</f>
        <v>1998.0</v>
      </c>
      <c r="P484" s="34" t="s">
        <v>48</v>
      </c>
      <c r="Q484" s="33" t="n">
        <f>2101</f>
        <v>2101.0</v>
      </c>
      <c r="R484" s="34" t="s">
        <v>49</v>
      </c>
      <c r="S484" s="35" t="n">
        <f>2098.83</f>
        <v>2098.83</v>
      </c>
      <c r="T484" s="32" t="n">
        <f>4015</f>
        <v>4015.0</v>
      </c>
      <c r="U484" s="32" t="str">
        <f>"－"</f>
        <v>－</v>
      </c>
      <c r="V484" s="32" t="n">
        <f>8381687</f>
        <v>8381687.0</v>
      </c>
      <c r="W484" s="32" t="str">
        <f>"－"</f>
        <v>－</v>
      </c>
      <c r="X484" s="36" t="n">
        <f>18</f>
        <v>18.0</v>
      </c>
    </row>
    <row r="485">
      <c r="A485" s="27" t="s">
        <v>42</v>
      </c>
      <c r="B485" s="27" t="s">
        <v>1498</v>
      </c>
      <c r="C485" s="27" t="s">
        <v>1499</v>
      </c>
      <c r="D485" s="27" t="s">
        <v>1500</v>
      </c>
      <c r="E485" s="28" t="s">
        <v>46</v>
      </c>
      <c r="F485" s="29" t="s">
        <v>46</v>
      </c>
      <c r="G485" s="30" t="s">
        <v>46</v>
      </c>
      <c r="H485" s="31"/>
      <c r="I485" s="31" t="s">
        <v>416</v>
      </c>
      <c r="J485" s="32" t="n">
        <v>1.0</v>
      </c>
      <c r="K485" s="33" t="n">
        <f>2300</f>
        <v>2300.0</v>
      </c>
      <c r="L485" s="34" t="s">
        <v>48</v>
      </c>
      <c r="M485" s="33" t="n">
        <f>2530</f>
        <v>2530.0</v>
      </c>
      <c r="N485" s="34" t="s">
        <v>67</v>
      </c>
      <c r="O485" s="33" t="n">
        <f>2165</f>
        <v>2165.0</v>
      </c>
      <c r="P485" s="34" t="s">
        <v>117</v>
      </c>
      <c r="Q485" s="33" t="n">
        <f>2256</f>
        <v>2256.0</v>
      </c>
      <c r="R485" s="34" t="s">
        <v>49</v>
      </c>
      <c r="S485" s="35" t="n">
        <f>2249.28</f>
        <v>2249.28</v>
      </c>
      <c r="T485" s="32" t="n">
        <f>2033</f>
        <v>2033.0</v>
      </c>
      <c r="U485" s="32" t="str">
        <f>"－"</f>
        <v>－</v>
      </c>
      <c r="V485" s="32" t="n">
        <f>4608605</f>
        <v>4608605.0</v>
      </c>
      <c r="W485" s="32" t="str">
        <f>"－"</f>
        <v>－</v>
      </c>
      <c r="X485" s="36" t="n">
        <f>18</f>
        <v>18.0</v>
      </c>
    </row>
    <row r="486">
      <c r="A486" s="27" t="s">
        <v>42</v>
      </c>
      <c r="B486" s="27" t="s">
        <v>1501</v>
      </c>
      <c r="C486" s="27" t="s">
        <v>1502</v>
      </c>
      <c r="D486" s="27" t="s">
        <v>1503</v>
      </c>
      <c r="E486" s="28" t="s">
        <v>46</v>
      </c>
      <c r="F486" s="29" t="s">
        <v>46</v>
      </c>
      <c r="G486" s="30" t="s">
        <v>46</v>
      </c>
      <c r="H486" s="31"/>
      <c r="I486" s="31" t="s">
        <v>416</v>
      </c>
      <c r="J486" s="32" t="n">
        <v>1.0</v>
      </c>
      <c r="K486" s="33" t="n">
        <f>2304</f>
        <v>2304.0</v>
      </c>
      <c r="L486" s="34" t="s">
        <v>48</v>
      </c>
      <c r="M486" s="33" t="n">
        <f>2829</f>
        <v>2829.0</v>
      </c>
      <c r="N486" s="34" t="s">
        <v>68</v>
      </c>
      <c r="O486" s="33" t="n">
        <f>2204</f>
        <v>2204.0</v>
      </c>
      <c r="P486" s="34" t="s">
        <v>48</v>
      </c>
      <c r="Q486" s="33" t="n">
        <f>2540</f>
        <v>2540.0</v>
      </c>
      <c r="R486" s="34" t="s">
        <v>49</v>
      </c>
      <c r="S486" s="35" t="n">
        <f>2410.78</f>
        <v>2410.78</v>
      </c>
      <c r="T486" s="32" t="n">
        <f>6287</f>
        <v>6287.0</v>
      </c>
      <c r="U486" s="32" t="str">
        <f>"－"</f>
        <v>－</v>
      </c>
      <c r="V486" s="32" t="n">
        <f>15268462</f>
        <v>1.5268462E7</v>
      </c>
      <c r="W486" s="32" t="str">
        <f>"－"</f>
        <v>－</v>
      </c>
      <c r="X486" s="36" t="n">
        <f>18</f>
        <v>18.0</v>
      </c>
    </row>
    <row r="487">
      <c r="A487" s="27" t="s">
        <v>42</v>
      </c>
      <c r="B487" s="27" t="s">
        <v>1504</v>
      </c>
      <c r="C487" s="27" t="s">
        <v>1505</v>
      </c>
      <c r="D487" s="27" t="s">
        <v>1506</v>
      </c>
      <c r="E487" s="28" t="s">
        <v>46</v>
      </c>
      <c r="F487" s="29" t="s">
        <v>46</v>
      </c>
      <c r="G487" s="30" t="s">
        <v>46</v>
      </c>
      <c r="H487" s="31"/>
      <c r="I487" s="31" t="s">
        <v>416</v>
      </c>
      <c r="J487" s="32" t="n">
        <v>1.0</v>
      </c>
      <c r="K487" s="33" t="n">
        <f>2005</f>
        <v>2005.0</v>
      </c>
      <c r="L487" s="34" t="s">
        <v>48</v>
      </c>
      <c r="M487" s="33" t="n">
        <f>2149</f>
        <v>2149.0</v>
      </c>
      <c r="N487" s="34" t="s">
        <v>204</v>
      </c>
      <c r="O487" s="33" t="n">
        <f>2002</f>
        <v>2002.0</v>
      </c>
      <c r="P487" s="34" t="s">
        <v>60</v>
      </c>
      <c r="Q487" s="33" t="n">
        <f>2149</f>
        <v>2149.0</v>
      </c>
      <c r="R487" s="34" t="s">
        <v>49</v>
      </c>
      <c r="S487" s="35" t="n">
        <f>2080.18</f>
        <v>2080.18</v>
      </c>
      <c r="T487" s="32" t="n">
        <f>46</f>
        <v>46.0</v>
      </c>
      <c r="U487" s="32" t="n">
        <f>3</f>
        <v>3.0</v>
      </c>
      <c r="V487" s="32" t="n">
        <f>94582</f>
        <v>94582.0</v>
      </c>
      <c r="W487" s="32" t="n">
        <f>6087</f>
        <v>6087.0</v>
      </c>
      <c r="X487" s="36" t="n">
        <f>11</f>
        <v>11.0</v>
      </c>
    </row>
    <row r="488">
      <c r="A488" s="27" t="s">
        <v>42</v>
      </c>
      <c r="B488" s="27" t="s">
        <v>1507</v>
      </c>
      <c r="C488" s="27" t="s">
        <v>1508</v>
      </c>
      <c r="D488" s="27" t="s">
        <v>1509</v>
      </c>
      <c r="E488" s="28" t="s">
        <v>46</v>
      </c>
      <c r="F488" s="29" t="s">
        <v>46</v>
      </c>
      <c r="G488" s="30" t="s">
        <v>46</v>
      </c>
      <c r="H488" s="31"/>
      <c r="I488" s="31" t="s">
        <v>416</v>
      </c>
      <c r="J488" s="32" t="n">
        <v>1.0</v>
      </c>
      <c r="K488" s="33" t="n">
        <f>2183</f>
        <v>2183.0</v>
      </c>
      <c r="L488" s="34" t="s">
        <v>48</v>
      </c>
      <c r="M488" s="33" t="n">
        <f>2399</f>
        <v>2399.0</v>
      </c>
      <c r="N488" s="34" t="s">
        <v>117</v>
      </c>
      <c r="O488" s="33" t="n">
        <f>2050</f>
        <v>2050.0</v>
      </c>
      <c r="P488" s="34" t="s">
        <v>67</v>
      </c>
      <c r="Q488" s="33" t="n">
        <f>2233</f>
        <v>2233.0</v>
      </c>
      <c r="R488" s="34" t="s">
        <v>49</v>
      </c>
      <c r="S488" s="35" t="n">
        <f>2231</f>
        <v>2231.0</v>
      </c>
      <c r="T488" s="32" t="n">
        <f>2416</f>
        <v>2416.0</v>
      </c>
      <c r="U488" s="32" t="str">
        <f>"－"</f>
        <v>－</v>
      </c>
      <c r="V488" s="32" t="n">
        <f>5384183</f>
        <v>5384183.0</v>
      </c>
      <c r="W488" s="32" t="str">
        <f>"－"</f>
        <v>－</v>
      </c>
      <c r="X488" s="36" t="n">
        <f>18</f>
        <v>18.0</v>
      </c>
    </row>
    <row r="489">
      <c r="A489" s="27" t="s">
        <v>42</v>
      </c>
      <c r="B489" s="27" t="s">
        <v>1510</v>
      </c>
      <c r="C489" s="27" t="s">
        <v>1511</v>
      </c>
      <c r="D489" s="27" t="s">
        <v>1512</v>
      </c>
      <c r="E489" s="28" t="s">
        <v>46</v>
      </c>
      <c r="F489" s="29" t="s">
        <v>46</v>
      </c>
      <c r="G489" s="30" t="s">
        <v>46</v>
      </c>
      <c r="H489" s="31"/>
      <c r="I489" s="31" t="s">
        <v>416</v>
      </c>
      <c r="J489" s="32" t="n">
        <v>1.0</v>
      </c>
      <c r="K489" s="33" t="n">
        <f>1091</f>
        <v>1091.0</v>
      </c>
      <c r="L489" s="34" t="s">
        <v>48</v>
      </c>
      <c r="M489" s="33" t="n">
        <f>1141</f>
        <v>1141.0</v>
      </c>
      <c r="N489" s="34" t="s">
        <v>70</v>
      </c>
      <c r="O489" s="33" t="n">
        <f>1079</f>
        <v>1079.0</v>
      </c>
      <c r="P489" s="34" t="s">
        <v>48</v>
      </c>
      <c r="Q489" s="33" t="n">
        <f>1106</f>
        <v>1106.0</v>
      </c>
      <c r="R489" s="34" t="s">
        <v>49</v>
      </c>
      <c r="S489" s="35" t="n">
        <f>1103.22</f>
        <v>1103.22</v>
      </c>
      <c r="T489" s="32" t="n">
        <f>11944</f>
        <v>11944.0</v>
      </c>
      <c r="U489" s="32" t="n">
        <f>5</f>
        <v>5.0</v>
      </c>
      <c r="V489" s="32" t="n">
        <f>13094189</f>
        <v>1.3094189E7</v>
      </c>
      <c r="W489" s="32" t="n">
        <f>5450</f>
        <v>5450.0</v>
      </c>
      <c r="X489" s="36" t="n">
        <f>18</f>
        <v>18.0</v>
      </c>
    </row>
    <row r="490">
      <c r="A490" s="27" t="s">
        <v>42</v>
      </c>
      <c r="B490" s="27" t="s">
        <v>1513</v>
      </c>
      <c r="C490" s="27" t="s">
        <v>1514</v>
      </c>
      <c r="D490" s="27" t="s">
        <v>1515</v>
      </c>
      <c r="E490" s="28" t="s">
        <v>46</v>
      </c>
      <c r="F490" s="29" t="s">
        <v>46</v>
      </c>
      <c r="G490" s="30" t="s">
        <v>46</v>
      </c>
      <c r="H490" s="31"/>
      <c r="I490" s="31" t="s">
        <v>416</v>
      </c>
      <c r="J490" s="32" t="n">
        <v>1.0</v>
      </c>
      <c r="K490" s="33" t="n">
        <f>5056</f>
        <v>5056.0</v>
      </c>
      <c r="L490" s="34" t="s">
        <v>67</v>
      </c>
      <c r="M490" s="33" t="n">
        <f>5056</f>
        <v>5056.0</v>
      </c>
      <c r="N490" s="34" t="s">
        <v>67</v>
      </c>
      <c r="O490" s="33" t="n">
        <f>4857</f>
        <v>4857.0</v>
      </c>
      <c r="P490" s="34" t="s">
        <v>69</v>
      </c>
      <c r="Q490" s="33" t="n">
        <f>4938</f>
        <v>4938.0</v>
      </c>
      <c r="R490" s="34" t="s">
        <v>49</v>
      </c>
      <c r="S490" s="35" t="n">
        <f>4918.5</f>
        <v>4918.5</v>
      </c>
      <c r="T490" s="32" t="n">
        <f>242</f>
        <v>242.0</v>
      </c>
      <c r="U490" s="32" t="n">
        <f>1</f>
        <v>1.0</v>
      </c>
      <c r="V490" s="32" t="n">
        <f>1183614</f>
        <v>1183614.0</v>
      </c>
      <c r="W490" s="32" t="n">
        <f>4885</f>
        <v>4885.0</v>
      </c>
      <c r="X490" s="36" t="n">
        <f>14</f>
        <v>14.0</v>
      </c>
    </row>
    <row r="491">
      <c r="A491" s="27" t="s">
        <v>42</v>
      </c>
      <c r="B491" s="27" t="s">
        <v>1516</v>
      </c>
      <c r="C491" s="27" t="s">
        <v>1517</v>
      </c>
      <c r="D491" s="27" t="s">
        <v>1518</v>
      </c>
      <c r="E491" s="28" t="s">
        <v>46</v>
      </c>
      <c r="F491" s="29" t="s">
        <v>46</v>
      </c>
      <c r="G491" s="30" t="s">
        <v>46</v>
      </c>
      <c r="H491" s="31"/>
      <c r="I491" s="31" t="s">
        <v>416</v>
      </c>
      <c r="J491" s="32" t="n">
        <v>1.0</v>
      </c>
      <c r="K491" s="33" t="n">
        <f>5188</f>
        <v>5188.0</v>
      </c>
      <c r="L491" s="34" t="s">
        <v>48</v>
      </c>
      <c r="M491" s="33" t="n">
        <f>5188</f>
        <v>5188.0</v>
      </c>
      <c r="N491" s="34" t="s">
        <v>48</v>
      </c>
      <c r="O491" s="33" t="n">
        <f>4936</f>
        <v>4936.0</v>
      </c>
      <c r="P491" s="34" t="s">
        <v>69</v>
      </c>
      <c r="Q491" s="33" t="n">
        <f>5034</f>
        <v>5034.0</v>
      </c>
      <c r="R491" s="34" t="s">
        <v>49</v>
      </c>
      <c r="S491" s="35" t="n">
        <f>5003.67</f>
        <v>5003.67</v>
      </c>
      <c r="T491" s="32" t="n">
        <f>1554</f>
        <v>1554.0</v>
      </c>
      <c r="U491" s="32" t="str">
        <f>"－"</f>
        <v>－</v>
      </c>
      <c r="V491" s="32" t="n">
        <f>7813120</f>
        <v>7813120.0</v>
      </c>
      <c r="W491" s="32" t="str">
        <f>"－"</f>
        <v>－</v>
      </c>
      <c r="X491" s="36" t="n">
        <f>18</f>
        <v>18.0</v>
      </c>
    </row>
    <row r="492">
      <c r="A492" s="27" t="s">
        <v>42</v>
      </c>
      <c r="B492" s="27" t="s">
        <v>1519</v>
      </c>
      <c r="C492" s="27" t="s">
        <v>1520</v>
      </c>
      <c r="D492" s="27" t="s">
        <v>1521</v>
      </c>
      <c r="E492" s="28" t="s">
        <v>46</v>
      </c>
      <c r="F492" s="29" t="s">
        <v>46</v>
      </c>
      <c r="G492" s="30" t="s">
        <v>46</v>
      </c>
      <c r="H492" s="31"/>
      <c r="I492" s="31" t="s">
        <v>416</v>
      </c>
      <c r="J492" s="32" t="n">
        <v>1.0</v>
      </c>
      <c r="K492" s="33" t="n">
        <f>1649</f>
        <v>1649.0</v>
      </c>
      <c r="L492" s="34" t="s">
        <v>48</v>
      </c>
      <c r="M492" s="33" t="n">
        <f>1850</f>
        <v>1850.0</v>
      </c>
      <c r="N492" s="34" t="s">
        <v>196</v>
      </c>
      <c r="O492" s="33" t="n">
        <f>1605</f>
        <v>1605.0</v>
      </c>
      <c r="P492" s="34" t="s">
        <v>48</v>
      </c>
      <c r="Q492" s="33" t="n">
        <f>1749</f>
        <v>1749.0</v>
      </c>
      <c r="R492" s="34" t="s">
        <v>49</v>
      </c>
      <c r="S492" s="35" t="n">
        <f>1734.5</f>
        <v>1734.5</v>
      </c>
      <c r="T492" s="32" t="n">
        <f>1314721</f>
        <v>1314721.0</v>
      </c>
      <c r="U492" s="32" t="n">
        <f>620000</f>
        <v>620000.0</v>
      </c>
      <c r="V492" s="32" t="n">
        <f>2301986208</f>
        <v>2.301986208E9</v>
      </c>
      <c r="W492" s="32" t="n">
        <f>1100290600</f>
        <v>1.1002906E9</v>
      </c>
      <c r="X492" s="36" t="n">
        <f>18</f>
        <v>18.0</v>
      </c>
    </row>
    <row r="493">
      <c r="A493" s="27" t="s">
        <v>42</v>
      </c>
      <c r="B493" s="27" t="s">
        <v>1522</v>
      </c>
      <c r="C493" s="27" t="s">
        <v>1523</v>
      </c>
      <c r="D493" s="27" t="s">
        <v>1524</v>
      </c>
      <c r="E493" s="28" t="s">
        <v>46</v>
      </c>
      <c r="F493" s="29" t="s">
        <v>46</v>
      </c>
      <c r="G493" s="30" t="s">
        <v>46</v>
      </c>
      <c r="H493" s="31"/>
      <c r="I493" s="31" t="s">
        <v>416</v>
      </c>
      <c r="J493" s="32" t="n">
        <v>10.0</v>
      </c>
      <c r="K493" s="33" t="n">
        <f>1067</f>
        <v>1067.0</v>
      </c>
      <c r="L493" s="34" t="s">
        <v>48</v>
      </c>
      <c r="M493" s="33" t="n">
        <f>1150</f>
        <v>1150.0</v>
      </c>
      <c r="N493" s="34" t="s">
        <v>209</v>
      </c>
      <c r="O493" s="33" t="n">
        <f>1015</f>
        <v>1015.0</v>
      </c>
      <c r="P493" s="34" t="s">
        <v>69</v>
      </c>
      <c r="Q493" s="33" t="n">
        <f>1039.5</f>
        <v>1039.5</v>
      </c>
      <c r="R493" s="34" t="s">
        <v>49</v>
      </c>
      <c r="S493" s="35" t="n">
        <f>1044.17</f>
        <v>1044.17</v>
      </c>
      <c r="T493" s="32" t="n">
        <f>15610</f>
        <v>15610.0</v>
      </c>
      <c r="U493" s="32" t="n">
        <f>90</f>
        <v>90.0</v>
      </c>
      <c r="V493" s="32" t="n">
        <f>16421345</f>
        <v>1.6421345E7</v>
      </c>
      <c r="W493" s="32" t="n">
        <f>92610</f>
        <v>92610.0</v>
      </c>
      <c r="X493" s="36" t="n">
        <f>18</f>
        <v>18.0</v>
      </c>
    </row>
    <row r="494">
      <c r="A494" s="27" t="s">
        <v>42</v>
      </c>
      <c r="B494" s="27" t="s">
        <v>1525</v>
      </c>
      <c r="C494" s="27" t="s">
        <v>1526</v>
      </c>
      <c r="D494" s="27" t="s">
        <v>1527</v>
      </c>
      <c r="E494" s="28" t="s">
        <v>46</v>
      </c>
      <c r="F494" s="29" t="s">
        <v>46</v>
      </c>
      <c r="G494" s="30" t="s">
        <v>46</v>
      </c>
      <c r="H494" s="31"/>
      <c r="I494" s="31" t="s">
        <v>416</v>
      </c>
      <c r="J494" s="32" t="n">
        <v>1.0</v>
      </c>
      <c r="K494" s="33" t="n">
        <f>2417</f>
        <v>2417.0</v>
      </c>
      <c r="L494" s="34" t="s">
        <v>48</v>
      </c>
      <c r="M494" s="33" t="n">
        <f>2748</f>
        <v>2748.0</v>
      </c>
      <c r="N494" s="34" t="s">
        <v>100</v>
      </c>
      <c r="O494" s="33" t="n">
        <f>2400</f>
        <v>2400.0</v>
      </c>
      <c r="P494" s="34" t="s">
        <v>48</v>
      </c>
      <c r="Q494" s="33" t="n">
        <f>2614</f>
        <v>2614.0</v>
      </c>
      <c r="R494" s="34" t="s">
        <v>49</v>
      </c>
      <c r="S494" s="35" t="n">
        <f>2525.89</f>
        <v>2525.89</v>
      </c>
      <c r="T494" s="32" t="n">
        <f>181688</f>
        <v>181688.0</v>
      </c>
      <c r="U494" s="32" t="n">
        <f>8</f>
        <v>8.0</v>
      </c>
      <c r="V494" s="32" t="n">
        <f>460725553</f>
        <v>4.60725553E8</v>
      </c>
      <c r="W494" s="32" t="n">
        <f>20208</f>
        <v>20208.0</v>
      </c>
      <c r="X494" s="36" t="n">
        <f>18</f>
        <v>18.0</v>
      </c>
    </row>
    <row r="495">
      <c r="A495" s="27" t="s">
        <v>42</v>
      </c>
      <c r="B495" s="27" t="s">
        <v>1528</v>
      </c>
      <c r="C495" s="27" t="s">
        <v>1529</v>
      </c>
      <c r="D495" s="27" t="s">
        <v>1530</v>
      </c>
      <c r="E495" s="28" t="s">
        <v>46</v>
      </c>
      <c r="F495" s="29" t="s">
        <v>46</v>
      </c>
      <c r="G495" s="30" t="s">
        <v>46</v>
      </c>
      <c r="H495" s="31"/>
      <c r="I495" s="31" t="s">
        <v>416</v>
      </c>
      <c r="J495" s="32" t="n">
        <v>1.0</v>
      </c>
      <c r="K495" s="33" t="n">
        <f>1020</f>
        <v>1020.0</v>
      </c>
      <c r="L495" s="34" t="s">
        <v>48</v>
      </c>
      <c r="M495" s="33" t="n">
        <f>1176</f>
        <v>1176.0</v>
      </c>
      <c r="N495" s="34" t="s">
        <v>100</v>
      </c>
      <c r="O495" s="33" t="n">
        <f>1005</f>
        <v>1005.0</v>
      </c>
      <c r="P495" s="34" t="s">
        <v>48</v>
      </c>
      <c r="Q495" s="33" t="n">
        <f>1124</f>
        <v>1124.0</v>
      </c>
      <c r="R495" s="34" t="s">
        <v>49</v>
      </c>
      <c r="S495" s="35" t="n">
        <f>1084.39</f>
        <v>1084.39</v>
      </c>
      <c r="T495" s="32" t="n">
        <f>14623274</f>
        <v>1.4623274E7</v>
      </c>
      <c r="U495" s="32" t="n">
        <f>3487</f>
        <v>3487.0</v>
      </c>
      <c r="V495" s="32" t="n">
        <f>15892417170</f>
        <v>1.589241717E10</v>
      </c>
      <c r="W495" s="32" t="n">
        <f>3794356</f>
        <v>3794356.0</v>
      </c>
      <c r="X495" s="36" t="n">
        <f>18</f>
        <v>18.0</v>
      </c>
    </row>
    <row r="496">
      <c r="A496" s="27" t="s">
        <v>42</v>
      </c>
      <c r="B496" s="27" t="s">
        <v>1531</v>
      </c>
      <c r="C496" s="27" t="s">
        <v>1532</v>
      </c>
      <c r="D496" s="27" t="s">
        <v>1533</v>
      </c>
      <c r="E496" s="28" t="s">
        <v>46</v>
      </c>
      <c r="F496" s="29" t="s">
        <v>46</v>
      </c>
      <c r="G496" s="30" t="s">
        <v>46</v>
      </c>
      <c r="H496" s="31"/>
      <c r="I496" s="31" t="s">
        <v>416</v>
      </c>
      <c r="J496" s="32" t="n">
        <v>1.0</v>
      </c>
      <c r="K496" s="33" t="n">
        <f>997</f>
        <v>997.0</v>
      </c>
      <c r="L496" s="34" t="s">
        <v>48</v>
      </c>
      <c r="M496" s="33" t="n">
        <f>1066</f>
        <v>1066.0</v>
      </c>
      <c r="N496" s="34" t="s">
        <v>49</v>
      </c>
      <c r="O496" s="33" t="n">
        <f>997</f>
        <v>997.0</v>
      </c>
      <c r="P496" s="34" t="s">
        <v>48</v>
      </c>
      <c r="Q496" s="33" t="n">
        <f>1050</f>
        <v>1050.0</v>
      </c>
      <c r="R496" s="34" t="s">
        <v>49</v>
      </c>
      <c r="S496" s="35" t="n">
        <f>1037</f>
        <v>1037.0</v>
      </c>
      <c r="T496" s="32" t="n">
        <f>67003</f>
        <v>67003.0</v>
      </c>
      <c r="U496" s="32" t="n">
        <f>10</f>
        <v>10.0</v>
      </c>
      <c r="V496" s="32" t="n">
        <f>68244444</f>
        <v>6.8244444E7</v>
      </c>
      <c r="W496" s="32" t="n">
        <f>10220</f>
        <v>10220.0</v>
      </c>
      <c r="X496" s="36" t="n">
        <f>18</f>
        <v>18.0</v>
      </c>
    </row>
    <row r="497">
      <c r="A497" s="27" t="s">
        <v>42</v>
      </c>
      <c r="B497" s="27" t="s">
        <v>1534</v>
      </c>
      <c r="C497" s="27" t="s">
        <v>1535</v>
      </c>
      <c r="D497" s="27" t="s">
        <v>1536</v>
      </c>
      <c r="E497" s="28" t="s">
        <v>1537</v>
      </c>
      <c r="F497" s="29" t="s">
        <v>1538</v>
      </c>
      <c r="G497" s="30" t="s">
        <v>1539</v>
      </c>
      <c r="H497" s="31"/>
      <c r="I497" s="31" t="s">
        <v>416</v>
      </c>
      <c r="J497" s="32" t="n">
        <v>1.0</v>
      </c>
      <c r="K497" s="33" t="n">
        <f>2035</f>
        <v>2035.0</v>
      </c>
      <c r="L497" s="34" t="s">
        <v>67</v>
      </c>
      <c r="M497" s="33" t="n">
        <f>2121</f>
        <v>2121.0</v>
      </c>
      <c r="N497" s="34" t="s">
        <v>49</v>
      </c>
      <c r="O497" s="33" t="n">
        <f>2000</f>
        <v>2000.0</v>
      </c>
      <c r="P497" s="34" t="s">
        <v>100</v>
      </c>
      <c r="Q497" s="33" t="n">
        <f>2121</f>
        <v>2121.0</v>
      </c>
      <c r="R497" s="34" t="s">
        <v>49</v>
      </c>
      <c r="S497" s="35" t="n">
        <f>2063.59</f>
        <v>2063.59</v>
      </c>
      <c r="T497" s="32" t="n">
        <f>35033</f>
        <v>35033.0</v>
      </c>
      <c r="U497" s="32" t="n">
        <f>5001</f>
        <v>5001.0</v>
      </c>
      <c r="V497" s="32" t="n">
        <f>71486981</f>
        <v>7.1486981E7</v>
      </c>
      <c r="W497" s="32" t="n">
        <f>10175912</f>
        <v>1.0175912E7</v>
      </c>
      <c r="X497" s="36" t="n">
        <f>17</f>
        <v>17.0</v>
      </c>
    </row>
    <row r="498">
      <c r="A498" s="27" t="s">
        <v>42</v>
      </c>
      <c r="B498" s="27" t="s">
        <v>1540</v>
      </c>
      <c r="C498" s="27" t="s">
        <v>1541</v>
      </c>
      <c r="D498" s="27" t="s">
        <v>1542</v>
      </c>
      <c r="E498" s="28" t="s">
        <v>1537</v>
      </c>
      <c r="F498" s="29" t="s">
        <v>1538</v>
      </c>
      <c r="G498" s="30" t="s">
        <v>1543</v>
      </c>
      <c r="H498" s="31"/>
      <c r="I498" s="31" t="s">
        <v>416</v>
      </c>
      <c r="J498" s="32" t="n">
        <v>10.0</v>
      </c>
      <c r="K498" s="33" t="n">
        <f>204</f>
        <v>204.0</v>
      </c>
      <c r="L498" s="34" t="s">
        <v>69</v>
      </c>
      <c r="M498" s="33" t="n">
        <f>218.9</f>
        <v>218.9</v>
      </c>
      <c r="N498" s="34" t="s">
        <v>104</v>
      </c>
      <c r="O498" s="33" t="n">
        <f>188.1</f>
        <v>188.1</v>
      </c>
      <c r="P498" s="34" t="s">
        <v>70</v>
      </c>
      <c r="Q498" s="33" t="n">
        <f>198.1</f>
        <v>198.1</v>
      </c>
      <c r="R498" s="34" t="s">
        <v>49</v>
      </c>
      <c r="S498" s="35" t="n">
        <f>197.78</f>
        <v>197.78</v>
      </c>
      <c r="T498" s="32" t="n">
        <f>1141190</f>
        <v>1141190.0</v>
      </c>
      <c r="U498" s="32" t="str">
        <f>"－"</f>
        <v>－</v>
      </c>
      <c r="V498" s="32" t="n">
        <f>226685553</f>
        <v>2.26685553E8</v>
      </c>
      <c r="W498" s="32" t="str">
        <f>"－"</f>
        <v>－</v>
      </c>
      <c r="X498" s="36" t="n">
        <f>8</f>
        <v>8.0</v>
      </c>
    </row>
    <row r="499">
      <c r="A499" s="27" t="s">
        <v>42</v>
      </c>
      <c r="B499" s="27" t="s">
        <v>1544</v>
      </c>
      <c r="C499" s="27" t="s">
        <v>1545</v>
      </c>
      <c r="D499" s="27" t="s">
        <v>1546</v>
      </c>
      <c r="E499" s="28" t="s">
        <v>1537</v>
      </c>
      <c r="F499" s="29" t="s">
        <v>1538</v>
      </c>
      <c r="G499" s="30" t="s">
        <v>1543</v>
      </c>
      <c r="H499" s="31"/>
      <c r="I499" s="31" t="s">
        <v>416</v>
      </c>
      <c r="J499" s="32" t="n">
        <v>10.0</v>
      </c>
      <c r="K499" s="33" t="n">
        <f>200.7</f>
        <v>200.7</v>
      </c>
      <c r="L499" s="34" t="s">
        <v>69</v>
      </c>
      <c r="M499" s="33" t="n">
        <f>202</f>
        <v>202.0</v>
      </c>
      <c r="N499" s="34" t="s">
        <v>69</v>
      </c>
      <c r="O499" s="33" t="n">
        <f>189.3</f>
        <v>189.3</v>
      </c>
      <c r="P499" s="34" t="s">
        <v>70</v>
      </c>
      <c r="Q499" s="33" t="n">
        <f>192.6</f>
        <v>192.6</v>
      </c>
      <c r="R499" s="34" t="s">
        <v>49</v>
      </c>
      <c r="S499" s="35" t="n">
        <f>194.38</f>
        <v>194.38</v>
      </c>
      <c r="T499" s="32" t="n">
        <f>345000</f>
        <v>345000.0</v>
      </c>
      <c r="U499" s="32" t="str">
        <f>"－"</f>
        <v>－</v>
      </c>
      <c r="V499" s="32" t="n">
        <f>67317123</f>
        <v>6.7317123E7</v>
      </c>
      <c r="W499" s="32" t="str">
        <f>"－"</f>
        <v>－</v>
      </c>
      <c r="X499" s="36" t="n">
        <f>8</f>
        <v>8.0</v>
      </c>
    </row>
    <row r="500">
      <c r="A500" s="27" t="s">
        <v>42</v>
      </c>
      <c r="B500" s="27" t="s">
        <v>1547</v>
      </c>
      <c r="C500" s="27" t="s">
        <v>1548</v>
      </c>
      <c r="D500" s="27" t="s">
        <v>1549</v>
      </c>
      <c r="E500" s="28" t="s">
        <v>1537</v>
      </c>
      <c r="F500" s="29" t="s">
        <v>1538</v>
      </c>
      <c r="G500" s="30" t="s">
        <v>1550</v>
      </c>
      <c r="H500" s="31"/>
      <c r="I500" s="31" t="s">
        <v>416</v>
      </c>
      <c r="J500" s="32" t="n">
        <v>10.0</v>
      </c>
      <c r="K500" s="33" t="n">
        <f>903</f>
        <v>903.0</v>
      </c>
      <c r="L500" s="34" t="s">
        <v>68</v>
      </c>
      <c r="M500" s="33" t="n">
        <f>903</f>
        <v>903.0</v>
      </c>
      <c r="N500" s="34" t="s">
        <v>68</v>
      </c>
      <c r="O500" s="33" t="n">
        <f>900</f>
        <v>900.0</v>
      </c>
      <c r="P500" s="34" t="s">
        <v>70</v>
      </c>
      <c r="Q500" s="33" t="n">
        <f>901</f>
        <v>901.0</v>
      </c>
      <c r="R500" s="34" t="s">
        <v>49</v>
      </c>
      <c r="S500" s="35" t="n">
        <f>900.5</f>
        <v>900.5</v>
      </c>
      <c r="T500" s="32" t="n">
        <f>229080</f>
        <v>229080.0</v>
      </c>
      <c r="U500" s="32" t="n">
        <f>220000</f>
        <v>220000.0</v>
      </c>
      <c r="V500" s="32" t="n">
        <f>206236206</f>
        <v>2.06236206E8</v>
      </c>
      <c r="W500" s="32" t="n">
        <f>198057420</f>
        <v>1.9805742E8</v>
      </c>
      <c r="X500" s="36" t="n">
        <f>3</f>
        <v>3.0</v>
      </c>
    </row>
    <row r="501">
      <c r="A501" s="27" t="s">
        <v>42</v>
      </c>
      <c r="B501" s="27" t="s">
        <v>1551</v>
      </c>
      <c r="C501" s="27" t="s">
        <v>1552</v>
      </c>
      <c r="D501" s="27" t="s">
        <v>1553</v>
      </c>
      <c r="E501" s="28" t="s">
        <v>1537</v>
      </c>
      <c r="F501" s="29" t="s">
        <v>1538</v>
      </c>
      <c r="G501" s="30" t="s">
        <v>1550</v>
      </c>
      <c r="H501" s="31"/>
      <c r="I501" s="31" t="s">
        <v>416</v>
      </c>
      <c r="J501" s="32" t="n">
        <v>10.0</v>
      </c>
      <c r="K501" s="33" t="n">
        <f>502</f>
        <v>502.0</v>
      </c>
      <c r="L501" s="34" t="s">
        <v>68</v>
      </c>
      <c r="M501" s="33" t="n">
        <f>521.5</f>
        <v>521.5</v>
      </c>
      <c r="N501" s="34" t="s">
        <v>68</v>
      </c>
      <c r="O501" s="33" t="n">
        <f>500</f>
        <v>500.0</v>
      </c>
      <c r="P501" s="34" t="s">
        <v>70</v>
      </c>
      <c r="Q501" s="33" t="n">
        <f>501.3</f>
        <v>501.3</v>
      </c>
      <c r="R501" s="34" t="s">
        <v>49</v>
      </c>
      <c r="S501" s="35" t="n">
        <f>500.6</f>
        <v>500.6</v>
      </c>
      <c r="T501" s="32" t="n">
        <f>400910</f>
        <v>400910.0</v>
      </c>
      <c r="U501" s="32" t="n">
        <f>400000</f>
        <v>400000.0</v>
      </c>
      <c r="V501" s="32" t="n">
        <f>200515963</f>
        <v>2.00515963E8</v>
      </c>
      <c r="W501" s="32" t="n">
        <f>200058000</f>
        <v>2.00058E8</v>
      </c>
      <c r="X501" s="36" t="n">
        <f>3</f>
        <v>3.0</v>
      </c>
    </row>
    <row r="502">
      <c r="A502" s="27" t="s">
        <v>42</v>
      </c>
      <c r="B502" s="27" t="s">
        <v>1554</v>
      </c>
      <c r="C502" s="27" t="s">
        <v>1555</v>
      </c>
      <c r="D502" s="27" t="s">
        <v>1556</v>
      </c>
      <c r="E502" s="28" t="s">
        <v>1537</v>
      </c>
      <c r="F502" s="29" t="s">
        <v>1538</v>
      </c>
      <c r="G502" s="30" t="s">
        <v>1550</v>
      </c>
      <c r="H502" s="31"/>
      <c r="I502" s="31" t="s">
        <v>416</v>
      </c>
      <c r="J502" s="32" t="n">
        <v>10.0</v>
      </c>
      <c r="K502" s="33" t="n">
        <f>502</f>
        <v>502.0</v>
      </c>
      <c r="L502" s="34" t="s">
        <v>68</v>
      </c>
      <c r="M502" s="33" t="n">
        <f>504.5</f>
        <v>504.5</v>
      </c>
      <c r="N502" s="34" t="s">
        <v>68</v>
      </c>
      <c r="O502" s="33" t="n">
        <f>499.7</f>
        <v>499.7</v>
      </c>
      <c r="P502" s="34" t="s">
        <v>68</v>
      </c>
      <c r="Q502" s="33" t="n">
        <f>501.5</f>
        <v>501.5</v>
      </c>
      <c r="R502" s="34" t="s">
        <v>49</v>
      </c>
      <c r="S502" s="35" t="n">
        <f>500.63</f>
        <v>500.63</v>
      </c>
      <c r="T502" s="32" t="n">
        <f>403200</f>
        <v>403200.0</v>
      </c>
      <c r="U502" s="32" t="n">
        <f>400000</f>
        <v>400000.0</v>
      </c>
      <c r="V502" s="32" t="n">
        <f>201662326</f>
        <v>2.01662326E8</v>
      </c>
      <c r="W502" s="32" t="n">
        <f>200058000</f>
        <v>2.00058E8</v>
      </c>
      <c r="X502" s="36" t="n">
        <f>3</f>
        <v>3.0</v>
      </c>
    </row>
    <row r="503">
      <c r="A503" s="27" t="s">
        <v>42</v>
      </c>
      <c r="B503" s="27" t="s">
        <v>1557</v>
      </c>
      <c r="C503" s="27" t="s">
        <v>1558</v>
      </c>
      <c r="D503" s="27" t="s">
        <v>1559</v>
      </c>
      <c r="E503" s="28" t="s">
        <v>1537</v>
      </c>
      <c r="F503" s="29" t="s">
        <v>1538</v>
      </c>
      <c r="G503" s="30" t="s">
        <v>1550</v>
      </c>
      <c r="H503" s="31"/>
      <c r="I503" s="31" t="s">
        <v>416</v>
      </c>
      <c r="J503" s="32" t="n">
        <v>10.0</v>
      </c>
      <c r="K503" s="33" t="n">
        <f>513.7</f>
        <v>513.7</v>
      </c>
      <c r="L503" s="34" t="s">
        <v>68</v>
      </c>
      <c r="M503" s="33" t="n">
        <f>603.7</f>
        <v>603.7</v>
      </c>
      <c r="N503" s="34" t="s">
        <v>68</v>
      </c>
      <c r="O503" s="33" t="n">
        <f>502.9</f>
        <v>502.9</v>
      </c>
      <c r="P503" s="34" t="s">
        <v>49</v>
      </c>
      <c r="Q503" s="33" t="n">
        <f>504</f>
        <v>504.0</v>
      </c>
      <c r="R503" s="34" t="s">
        <v>49</v>
      </c>
      <c r="S503" s="35" t="n">
        <f>504.43</f>
        <v>504.43</v>
      </c>
      <c r="T503" s="32" t="n">
        <f>573350</f>
        <v>573350.0</v>
      </c>
      <c r="U503" s="32" t="n">
        <f>400000</f>
        <v>400000.0</v>
      </c>
      <c r="V503" s="32" t="n">
        <f>287357813</f>
        <v>2.87357813E8</v>
      </c>
      <c r="W503" s="32" t="n">
        <f>200058000</f>
        <v>2.00058E8</v>
      </c>
      <c r="X503" s="36" t="n">
        <f>3</f>
        <v>3.0</v>
      </c>
    </row>
    <row r="504">
      <c r="A504" s="27" t="s">
        <v>42</v>
      </c>
      <c r="B504" s="27" t="s">
        <v>1560</v>
      </c>
      <c r="C504" s="27" t="s">
        <v>1561</v>
      </c>
      <c r="D504" s="27" t="s">
        <v>1562</v>
      </c>
      <c r="E504" s="28" t="s">
        <v>1537</v>
      </c>
      <c r="F504" s="29" t="s">
        <v>1538</v>
      </c>
      <c r="G504" s="30" t="s">
        <v>1563</v>
      </c>
      <c r="H504" s="31"/>
      <c r="I504" s="31" t="s">
        <v>416</v>
      </c>
      <c r="J504" s="32" t="n">
        <v>1.0</v>
      </c>
      <c r="K504" s="33" t="n">
        <f>1020</f>
        <v>1020.0</v>
      </c>
      <c r="L504" s="34" t="s">
        <v>70</v>
      </c>
      <c r="M504" s="33" t="n">
        <f>1023</f>
        <v>1023.0</v>
      </c>
      <c r="N504" s="34" t="s">
        <v>70</v>
      </c>
      <c r="O504" s="33" t="n">
        <f>1000</f>
        <v>1000.0</v>
      </c>
      <c r="P504" s="34" t="s">
        <v>49</v>
      </c>
      <c r="Q504" s="33" t="n">
        <f>1012</f>
        <v>1012.0</v>
      </c>
      <c r="R504" s="34" t="s">
        <v>49</v>
      </c>
      <c r="S504" s="35" t="n">
        <f>1015.5</f>
        <v>1015.5</v>
      </c>
      <c r="T504" s="32" t="n">
        <f>53691</f>
        <v>53691.0</v>
      </c>
      <c r="U504" s="32" t="str">
        <f>"－"</f>
        <v>－</v>
      </c>
      <c r="V504" s="32" t="n">
        <f>54490653</f>
        <v>5.4490653E7</v>
      </c>
      <c r="W504" s="32" t="str">
        <f>"－"</f>
        <v>－</v>
      </c>
      <c r="X504" s="36" t="n">
        <f>2</f>
        <v>2.0</v>
      </c>
    </row>
    <row r="505">
      <c r="A505" s="27" t="s">
        <v>42</v>
      </c>
      <c r="B505" s="27" t="s">
        <v>1564</v>
      </c>
      <c r="C505" s="27" t="s">
        <v>1565</v>
      </c>
      <c r="D505" s="27" t="s">
        <v>1566</v>
      </c>
      <c r="E505" s="28" t="s">
        <v>1537</v>
      </c>
      <c r="F505" s="29" t="s">
        <v>1538</v>
      </c>
      <c r="G505" s="30" t="s">
        <v>1563</v>
      </c>
      <c r="H505" s="31"/>
      <c r="I505" s="31" t="s">
        <v>416</v>
      </c>
      <c r="J505" s="32" t="n">
        <v>10.0</v>
      </c>
      <c r="K505" s="33" t="n">
        <f>297.1</f>
        <v>297.1</v>
      </c>
      <c r="L505" s="34" t="s">
        <v>70</v>
      </c>
      <c r="M505" s="33" t="n">
        <f>310.2</f>
        <v>310.2</v>
      </c>
      <c r="N505" s="34" t="s">
        <v>49</v>
      </c>
      <c r="O505" s="33" t="n">
        <f>281.3</f>
        <v>281.3</v>
      </c>
      <c r="P505" s="34" t="s">
        <v>70</v>
      </c>
      <c r="Q505" s="33" t="n">
        <f>305</f>
        <v>305.0</v>
      </c>
      <c r="R505" s="34" t="s">
        <v>49</v>
      </c>
      <c r="S505" s="35" t="n">
        <f>295.6</f>
        <v>295.6</v>
      </c>
      <c r="T505" s="32" t="n">
        <f>56540</f>
        <v>56540.0</v>
      </c>
      <c r="U505" s="32" t="str">
        <f>"－"</f>
        <v>－</v>
      </c>
      <c r="V505" s="32" t="n">
        <f>16600811</f>
        <v>1.6600811E7</v>
      </c>
      <c r="W505" s="32" t="str">
        <f>"－"</f>
        <v>－</v>
      </c>
      <c r="X505" s="36" t="n">
        <f>2</f>
        <v>2.0</v>
      </c>
    </row>
    <row r="506">
      <c r="A506" s="27" t="s">
        <v>42</v>
      </c>
      <c r="B506" s="27" t="s">
        <v>1567</v>
      </c>
      <c r="C506" s="27" t="s">
        <v>1568</v>
      </c>
      <c r="D506" s="27" t="s">
        <v>1569</v>
      </c>
      <c r="E506" s="28" t="s">
        <v>1537</v>
      </c>
      <c r="F506" s="29" t="s">
        <v>1538</v>
      </c>
      <c r="G506" s="30" t="s">
        <v>1563</v>
      </c>
      <c r="H506" s="31"/>
      <c r="I506" s="31" t="s">
        <v>416</v>
      </c>
      <c r="J506" s="32" t="n">
        <v>10.0</v>
      </c>
      <c r="K506" s="33" t="n">
        <f>295.9</f>
        <v>295.9</v>
      </c>
      <c r="L506" s="34" t="s">
        <v>70</v>
      </c>
      <c r="M506" s="33" t="n">
        <f>300</f>
        <v>300.0</v>
      </c>
      <c r="N506" s="34" t="s">
        <v>49</v>
      </c>
      <c r="O506" s="33" t="n">
        <f>283.2</f>
        <v>283.2</v>
      </c>
      <c r="P506" s="34" t="s">
        <v>70</v>
      </c>
      <c r="Q506" s="33" t="n">
        <f>296.1</f>
        <v>296.1</v>
      </c>
      <c r="R506" s="34" t="s">
        <v>49</v>
      </c>
      <c r="S506" s="35" t="n">
        <f>291</f>
        <v>291.0</v>
      </c>
      <c r="T506" s="32" t="n">
        <f>154390</f>
        <v>154390.0</v>
      </c>
      <c r="U506" s="32" t="str">
        <f>"－"</f>
        <v>－</v>
      </c>
      <c r="V506" s="32" t="n">
        <f>45309336</f>
        <v>4.5309336E7</v>
      </c>
      <c r="W506" s="32" t="str">
        <f>"－"</f>
        <v>－</v>
      </c>
      <c r="X506" s="36" t="n">
        <f>2</f>
        <v>2.0</v>
      </c>
    </row>
    <row r="507">
      <c r="A507" s="27" t="s">
        <v>42</v>
      </c>
      <c r="B507" s="27" t="s">
        <v>1570</v>
      </c>
      <c r="C507" s="27" t="s">
        <v>1571</v>
      </c>
      <c r="D507" s="27" t="s">
        <v>1572</v>
      </c>
      <c r="E507" s="28" t="s">
        <v>1537</v>
      </c>
      <c r="F507" s="29" t="s">
        <v>1538</v>
      </c>
      <c r="G507" s="30" t="s">
        <v>1563</v>
      </c>
      <c r="H507" s="31"/>
      <c r="I507" s="31" t="s">
        <v>416</v>
      </c>
      <c r="J507" s="32" t="n">
        <v>1.0</v>
      </c>
      <c r="K507" s="33" t="n">
        <f>990</f>
        <v>990.0</v>
      </c>
      <c r="L507" s="34" t="s">
        <v>70</v>
      </c>
      <c r="M507" s="33" t="n">
        <f>1021</f>
        <v>1021.0</v>
      </c>
      <c r="N507" s="34" t="s">
        <v>49</v>
      </c>
      <c r="O507" s="33" t="n">
        <f>966</f>
        <v>966.0</v>
      </c>
      <c r="P507" s="34" t="s">
        <v>70</v>
      </c>
      <c r="Q507" s="33" t="n">
        <f>1005</f>
        <v>1005.0</v>
      </c>
      <c r="R507" s="34" t="s">
        <v>49</v>
      </c>
      <c r="S507" s="35" t="n">
        <f>992</f>
        <v>992.0</v>
      </c>
      <c r="T507" s="32" t="n">
        <f>21652</f>
        <v>21652.0</v>
      </c>
      <c r="U507" s="32" t="str">
        <f>"－"</f>
        <v>－</v>
      </c>
      <c r="V507" s="32" t="n">
        <f>21492411</f>
        <v>2.1492411E7</v>
      </c>
      <c r="W507" s="32" t="str">
        <f>"－"</f>
        <v>－</v>
      </c>
      <c r="X507" s="36" t="n">
        <f>2</f>
        <v>2.0</v>
      </c>
    </row>
    <row r="508">
      <c r="A508" s="27" t="s">
        <v>42</v>
      </c>
      <c r="B508" s="27" t="s">
        <v>1573</v>
      </c>
      <c r="C508" s="27" t="s">
        <v>1574</v>
      </c>
      <c r="D508" s="27" t="s">
        <v>1575</v>
      </c>
      <c r="E508" s="28" t="s">
        <v>1537</v>
      </c>
      <c r="F508" s="29" t="s">
        <v>1538</v>
      </c>
      <c r="G508" s="30" t="s">
        <v>1563</v>
      </c>
      <c r="H508" s="31"/>
      <c r="I508" s="31" t="s">
        <v>416</v>
      </c>
      <c r="J508" s="32" t="n">
        <v>1.0</v>
      </c>
      <c r="K508" s="33" t="n">
        <f>1000</f>
        <v>1000.0</v>
      </c>
      <c r="L508" s="34" t="s">
        <v>70</v>
      </c>
      <c r="M508" s="33" t="n">
        <f>1028</f>
        <v>1028.0</v>
      </c>
      <c r="N508" s="34" t="s">
        <v>49</v>
      </c>
      <c r="O508" s="33" t="n">
        <f>980</f>
        <v>980.0</v>
      </c>
      <c r="P508" s="34" t="s">
        <v>70</v>
      </c>
      <c r="Q508" s="33" t="n">
        <f>1005</f>
        <v>1005.0</v>
      </c>
      <c r="R508" s="34" t="s">
        <v>49</v>
      </c>
      <c r="S508" s="35" t="n">
        <f>999</f>
        <v>999.0</v>
      </c>
      <c r="T508" s="32" t="n">
        <f>35948</f>
        <v>35948.0</v>
      </c>
      <c r="U508" s="32" t="str">
        <f>"－"</f>
        <v>－</v>
      </c>
      <c r="V508" s="32" t="n">
        <f>35960330</f>
        <v>3.596033E7</v>
      </c>
      <c r="W508" s="32" t="str">
        <f>"－"</f>
        <v>－</v>
      </c>
      <c r="X508" s="36" t="n">
        <f>2</f>
        <v>2.0</v>
      </c>
    </row>
    <row r="509">
      <c r="A509" s="27" t="s">
        <v>42</v>
      </c>
      <c r="B509" s="27" t="s">
        <v>1576</v>
      </c>
      <c r="C509" s="27" t="s">
        <v>1577</v>
      </c>
      <c r="D509" s="27" t="s">
        <v>1578</v>
      </c>
      <c r="E509" s="28" t="s">
        <v>46</v>
      </c>
      <c r="F509" s="29" t="s">
        <v>46</v>
      </c>
      <c r="G509" s="30" t="s">
        <v>46</v>
      </c>
      <c r="H509" s="31"/>
      <c r="I509" s="31" t="s">
        <v>47</v>
      </c>
      <c r="J509" s="32" t="n">
        <v>1.0</v>
      </c>
      <c r="K509" s="33" t="n">
        <f>130900</f>
        <v>130900.0</v>
      </c>
      <c r="L509" s="34" t="s">
        <v>48</v>
      </c>
      <c r="M509" s="33" t="n">
        <f>132200</f>
        <v>132200.0</v>
      </c>
      <c r="N509" s="34" t="s">
        <v>48</v>
      </c>
      <c r="O509" s="33" t="n">
        <f>120500</f>
        <v>120500.0</v>
      </c>
      <c r="P509" s="34" t="s">
        <v>104</v>
      </c>
      <c r="Q509" s="33" t="n">
        <f>127400</f>
        <v>127400.0</v>
      </c>
      <c r="R509" s="34" t="s">
        <v>49</v>
      </c>
      <c r="S509" s="35" t="n">
        <f>125205.56</f>
        <v>125205.56</v>
      </c>
      <c r="T509" s="32" t="n">
        <f>896335</f>
        <v>896335.0</v>
      </c>
      <c r="U509" s="32" t="n">
        <f>183567</f>
        <v>183567.0</v>
      </c>
      <c r="V509" s="32" t="n">
        <f>112360882700</f>
        <v>1.123608827E11</v>
      </c>
      <c r="W509" s="32" t="n">
        <f>23013620900</f>
        <v>2.30136209E10</v>
      </c>
      <c r="X509" s="36" t="n">
        <f>18</f>
        <v>18.0</v>
      </c>
    </row>
    <row r="510">
      <c r="A510" s="27" t="s">
        <v>42</v>
      </c>
      <c r="B510" s="27" t="s">
        <v>1579</v>
      </c>
      <c r="C510" s="27" t="s">
        <v>1580</v>
      </c>
      <c r="D510" s="27" t="s">
        <v>1581</v>
      </c>
      <c r="E510" s="28" t="s">
        <v>46</v>
      </c>
      <c r="F510" s="29" t="s">
        <v>46</v>
      </c>
      <c r="G510" s="30" t="s">
        <v>46</v>
      </c>
      <c r="H510" s="31"/>
      <c r="I510" s="31" t="s">
        <v>47</v>
      </c>
      <c r="J510" s="32" t="n">
        <v>1.0</v>
      </c>
      <c r="K510" s="33" t="n">
        <f>119500</f>
        <v>119500.0</v>
      </c>
      <c r="L510" s="34" t="s">
        <v>48</v>
      </c>
      <c r="M510" s="33" t="n">
        <f>120300</f>
        <v>120300.0</v>
      </c>
      <c r="N510" s="34" t="s">
        <v>67</v>
      </c>
      <c r="O510" s="33" t="n">
        <f>112300</f>
        <v>112300.0</v>
      </c>
      <c r="P510" s="34" t="s">
        <v>83</v>
      </c>
      <c r="Q510" s="33" t="n">
        <f>114300</f>
        <v>114300.0</v>
      </c>
      <c r="R510" s="34" t="s">
        <v>49</v>
      </c>
      <c r="S510" s="35" t="n">
        <f>114966.67</f>
        <v>114966.67</v>
      </c>
      <c r="T510" s="32" t="n">
        <f>489287</f>
        <v>489287.0</v>
      </c>
      <c r="U510" s="32" t="n">
        <f>98460</f>
        <v>98460.0</v>
      </c>
      <c r="V510" s="32" t="n">
        <f>56315178998</f>
        <v>5.6315178998E10</v>
      </c>
      <c r="W510" s="32" t="n">
        <f>11343844998</f>
        <v>1.1343844998E10</v>
      </c>
      <c r="X510" s="36" t="n">
        <f>18</f>
        <v>18.0</v>
      </c>
    </row>
    <row r="511">
      <c r="A511" s="27" t="s">
        <v>42</v>
      </c>
      <c r="B511" s="27" t="s">
        <v>1582</v>
      </c>
      <c r="C511" s="27" t="s">
        <v>1583</v>
      </c>
      <c r="D511" s="27" t="s">
        <v>1584</v>
      </c>
      <c r="E511" s="28" t="s">
        <v>46</v>
      </c>
      <c r="F511" s="29" t="s">
        <v>46</v>
      </c>
      <c r="G511" s="30" t="s">
        <v>46</v>
      </c>
      <c r="H511" s="31"/>
      <c r="I511" s="31" t="s">
        <v>47</v>
      </c>
      <c r="J511" s="32" t="n">
        <v>1.0</v>
      </c>
      <c r="K511" s="33" t="n">
        <f>116500</f>
        <v>116500.0</v>
      </c>
      <c r="L511" s="34" t="s">
        <v>48</v>
      </c>
      <c r="M511" s="33" t="n">
        <f>116900</f>
        <v>116900.0</v>
      </c>
      <c r="N511" s="34" t="s">
        <v>67</v>
      </c>
      <c r="O511" s="33" t="n">
        <f>109400</f>
        <v>109400.0</v>
      </c>
      <c r="P511" s="34" t="s">
        <v>70</v>
      </c>
      <c r="Q511" s="33" t="n">
        <f>112500</f>
        <v>112500.0</v>
      </c>
      <c r="R511" s="34" t="s">
        <v>49</v>
      </c>
      <c r="S511" s="35" t="n">
        <f>113133.33</f>
        <v>113133.33</v>
      </c>
      <c r="T511" s="32" t="n">
        <f>466575</f>
        <v>466575.0</v>
      </c>
      <c r="U511" s="32" t="n">
        <f>96966</f>
        <v>96966.0</v>
      </c>
      <c r="V511" s="32" t="n">
        <f>52799600234</f>
        <v>5.2799600234E10</v>
      </c>
      <c r="W511" s="32" t="n">
        <f>10950489734</f>
        <v>1.0950489734E10</v>
      </c>
      <c r="X511" s="36" t="n">
        <f>18</f>
        <v>18.0</v>
      </c>
    </row>
    <row r="512">
      <c r="A512" s="27" t="s">
        <v>42</v>
      </c>
      <c r="B512" s="27" t="s">
        <v>1585</v>
      </c>
      <c r="C512" s="27" t="s">
        <v>1586</v>
      </c>
      <c r="D512" s="27" t="s">
        <v>1587</v>
      </c>
      <c r="E512" s="28" t="s">
        <v>46</v>
      </c>
      <c r="F512" s="29" t="s">
        <v>46</v>
      </c>
      <c r="G512" s="30" t="s">
        <v>46</v>
      </c>
      <c r="H512" s="31"/>
      <c r="I512" s="31" t="s">
        <v>47</v>
      </c>
      <c r="J512" s="32" t="n">
        <v>1.0</v>
      </c>
      <c r="K512" s="33" t="n">
        <f>98200</f>
        <v>98200.0</v>
      </c>
      <c r="L512" s="34" t="s">
        <v>48</v>
      </c>
      <c r="M512" s="33" t="n">
        <f>101000</f>
        <v>101000.0</v>
      </c>
      <c r="N512" s="34" t="s">
        <v>67</v>
      </c>
      <c r="O512" s="33" t="n">
        <f>94600</f>
        <v>94600.0</v>
      </c>
      <c r="P512" s="34" t="s">
        <v>70</v>
      </c>
      <c r="Q512" s="33" t="n">
        <f>96100</f>
        <v>96100.0</v>
      </c>
      <c r="R512" s="34" t="s">
        <v>49</v>
      </c>
      <c r="S512" s="35" t="n">
        <f>96744.44</f>
        <v>96744.44</v>
      </c>
      <c r="T512" s="32" t="n">
        <f>297259</f>
        <v>297259.0</v>
      </c>
      <c r="U512" s="32" t="n">
        <f>70485</f>
        <v>70485.0</v>
      </c>
      <c r="V512" s="32" t="n">
        <f>28790424199</f>
        <v>2.8790424199E10</v>
      </c>
      <c r="W512" s="32" t="n">
        <f>6821212299</f>
        <v>6.821212299E9</v>
      </c>
      <c r="X512" s="36" t="n">
        <f>18</f>
        <v>18.0</v>
      </c>
    </row>
    <row r="513">
      <c r="A513" s="27" t="s">
        <v>42</v>
      </c>
      <c r="B513" s="27" t="s">
        <v>1588</v>
      </c>
      <c r="C513" s="27" t="s">
        <v>1589</v>
      </c>
      <c r="D513" s="27" t="s">
        <v>1590</v>
      </c>
      <c r="E513" s="28" t="s">
        <v>46</v>
      </c>
      <c r="F513" s="29" t="s">
        <v>46</v>
      </c>
      <c r="G513" s="30" t="s">
        <v>46</v>
      </c>
      <c r="H513" s="31"/>
      <c r="I513" s="31" t="s">
        <v>47</v>
      </c>
      <c r="J513" s="32" t="n">
        <v>1.0</v>
      </c>
      <c r="K513" s="33" t="n">
        <f>99200</f>
        <v>99200.0</v>
      </c>
      <c r="L513" s="34" t="s">
        <v>48</v>
      </c>
      <c r="M513" s="33" t="n">
        <f>100400</f>
        <v>100400.0</v>
      </c>
      <c r="N513" s="34" t="s">
        <v>67</v>
      </c>
      <c r="O513" s="33" t="n">
        <f>93800</f>
        <v>93800.0</v>
      </c>
      <c r="P513" s="34" t="s">
        <v>70</v>
      </c>
      <c r="Q513" s="33" t="n">
        <f>95100</f>
        <v>95100.0</v>
      </c>
      <c r="R513" s="34" t="s">
        <v>49</v>
      </c>
      <c r="S513" s="35" t="n">
        <f>96200</f>
        <v>96200.0</v>
      </c>
      <c r="T513" s="32" t="n">
        <f>187180</f>
        <v>187180.0</v>
      </c>
      <c r="U513" s="32" t="n">
        <f>47934</f>
        <v>47934.0</v>
      </c>
      <c r="V513" s="32" t="n">
        <f>18020109992</f>
        <v>1.8020109992E10</v>
      </c>
      <c r="W513" s="32" t="n">
        <f>4612804592</f>
        <v>4.612804592E9</v>
      </c>
      <c r="X513" s="36" t="n">
        <f>18</f>
        <v>18.0</v>
      </c>
    </row>
    <row r="514">
      <c r="A514" s="27" t="s">
        <v>42</v>
      </c>
      <c r="B514" s="27" t="s">
        <v>1591</v>
      </c>
      <c r="C514" s="27" t="s">
        <v>1592</v>
      </c>
      <c r="D514" s="27" t="s">
        <v>1593</v>
      </c>
      <c r="E514" s="28" t="s">
        <v>46</v>
      </c>
      <c r="F514" s="29" t="s">
        <v>46</v>
      </c>
      <c r="G514" s="30" t="s">
        <v>46</v>
      </c>
      <c r="H514" s="31"/>
      <c r="I514" s="31" t="s">
        <v>47</v>
      </c>
      <c r="J514" s="32" t="n">
        <v>1.0</v>
      </c>
      <c r="K514" s="33" t="n">
        <f>137400</f>
        <v>137400.0</v>
      </c>
      <c r="L514" s="34" t="s">
        <v>48</v>
      </c>
      <c r="M514" s="33" t="n">
        <f>137800</f>
        <v>137800.0</v>
      </c>
      <c r="N514" s="34" t="s">
        <v>209</v>
      </c>
      <c r="O514" s="33" t="n">
        <f>130900</f>
        <v>130900.0</v>
      </c>
      <c r="P514" s="34" t="s">
        <v>70</v>
      </c>
      <c r="Q514" s="33" t="n">
        <f>132300</f>
        <v>132300.0</v>
      </c>
      <c r="R514" s="34" t="s">
        <v>49</v>
      </c>
      <c r="S514" s="35" t="n">
        <f>133544.44</f>
        <v>133544.44</v>
      </c>
      <c r="T514" s="32" t="n">
        <f>80289</f>
        <v>80289.0</v>
      </c>
      <c r="U514" s="32" t="n">
        <f>17146</f>
        <v>17146.0</v>
      </c>
      <c r="V514" s="32" t="n">
        <f>10732432384</f>
        <v>1.0732432384E10</v>
      </c>
      <c r="W514" s="32" t="n">
        <f>2296102784</f>
        <v>2.296102784E9</v>
      </c>
      <c r="X514" s="36" t="n">
        <f>18</f>
        <v>18.0</v>
      </c>
    </row>
    <row r="515">
      <c r="A515" s="27" t="s">
        <v>42</v>
      </c>
      <c r="B515" s="27" t="s">
        <v>1594</v>
      </c>
      <c r="C515" s="27" t="s">
        <v>1595</v>
      </c>
      <c r="D515" s="27" t="s">
        <v>1596</v>
      </c>
      <c r="E515" s="28" t="s">
        <v>46</v>
      </c>
      <c r="F515" s="29" t="s">
        <v>46</v>
      </c>
      <c r="G515" s="30" t="s">
        <v>46</v>
      </c>
      <c r="H515" s="31"/>
      <c r="I515" s="31" t="s">
        <v>47</v>
      </c>
      <c r="J515" s="32" t="n">
        <v>1.0</v>
      </c>
      <c r="K515" s="33" t="n">
        <f>192700</f>
        <v>192700.0</v>
      </c>
      <c r="L515" s="34" t="s">
        <v>48</v>
      </c>
      <c r="M515" s="33" t="n">
        <f>192700</f>
        <v>192700.0</v>
      </c>
      <c r="N515" s="34" t="s">
        <v>48</v>
      </c>
      <c r="O515" s="33" t="n">
        <f>183700</f>
        <v>183700.0</v>
      </c>
      <c r="P515" s="34" t="s">
        <v>49</v>
      </c>
      <c r="Q515" s="33" t="n">
        <f>185500</f>
        <v>185500.0</v>
      </c>
      <c r="R515" s="34" t="s">
        <v>49</v>
      </c>
      <c r="S515" s="35" t="n">
        <f>187916.67</f>
        <v>187916.67</v>
      </c>
      <c r="T515" s="32" t="n">
        <f>55107</f>
        <v>55107.0</v>
      </c>
      <c r="U515" s="32" t="n">
        <f>12988</f>
        <v>12988.0</v>
      </c>
      <c r="V515" s="32" t="n">
        <f>10339527456</f>
        <v>1.0339527456E10</v>
      </c>
      <c r="W515" s="32" t="n">
        <f>2438876656</f>
        <v>2.438876656E9</v>
      </c>
      <c r="X515" s="36" t="n">
        <f>18</f>
        <v>18.0</v>
      </c>
    </row>
    <row r="516">
      <c r="A516" s="27" t="s">
        <v>42</v>
      </c>
      <c r="B516" s="27" t="s">
        <v>1597</v>
      </c>
      <c r="C516" s="27" t="s">
        <v>1598</v>
      </c>
      <c r="D516" s="27" t="s">
        <v>1599</v>
      </c>
      <c r="E516" s="28" t="s">
        <v>46</v>
      </c>
      <c r="F516" s="29" t="s">
        <v>46</v>
      </c>
      <c r="G516" s="30" t="s">
        <v>46</v>
      </c>
      <c r="H516" s="31"/>
      <c r="I516" s="31" t="s">
        <v>47</v>
      </c>
      <c r="J516" s="32" t="n">
        <v>1.0</v>
      </c>
      <c r="K516" s="33" t="n">
        <f>121600</f>
        <v>121600.0</v>
      </c>
      <c r="L516" s="34" t="s">
        <v>48</v>
      </c>
      <c r="M516" s="33" t="n">
        <f>121900</f>
        <v>121900.0</v>
      </c>
      <c r="N516" s="34" t="s">
        <v>48</v>
      </c>
      <c r="O516" s="33" t="n">
        <f>110100</f>
        <v>110100.0</v>
      </c>
      <c r="P516" s="34" t="s">
        <v>70</v>
      </c>
      <c r="Q516" s="33" t="n">
        <f>112000</f>
        <v>112000.0</v>
      </c>
      <c r="R516" s="34" t="s">
        <v>49</v>
      </c>
      <c r="S516" s="35" t="n">
        <f>116044.44</f>
        <v>116044.44</v>
      </c>
      <c r="T516" s="32" t="n">
        <f>141987</f>
        <v>141987.0</v>
      </c>
      <c r="U516" s="32" t="n">
        <f>27216</f>
        <v>27216.0</v>
      </c>
      <c r="V516" s="32" t="n">
        <f>16479718707</f>
        <v>1.6479718707E10</v>
      </c>
      <c r="W516" s="32" t="n">
        <f>3160150007</f>
        <v>3.160150007E9</v>
      </c>
      <c r="X516" s="36" t="n">
        <f>18</f>
        <v>18.0</v>
      </c>
    </row>
    <row r="517">
      <c r="A517" s="27" t="s">
        <v>42</v>
      </c>
      <c r="B517" s="27" t="s">
        <v>1600</v>
      </c>
      <c r="C517" s="27" t="s">
        <v>1601</v>
      </c>
      <c r="D517" s="27" t="s">
        <v>1602</v>
      </c>
      <c r="E517" s="28" t="s">
        <v>46</v>
      </c>
      <c r="F517" s="29" t="s">
        <v>46</v>
      </c>
      <c r="G517" s="30" t="s">
        <v>46</v>
      </c>
      <c r="H517" s="31"/>
      <c r="I517" s="31" t="s">
        <v>47</v>
      </c>
      <c r="J517" s="32" t="n">
        <v>1.0</v>
      </c>
      <c r="K517" s="33" t="n">
        <f>176500</f>
        <v>176500.0</v>
      </c>
      <c r="L517" s="34" t="s">
        <v>48</v>
      </c>
      <c r="M517" s="33" t="n">
        <f>177900</f>
        <v>177900.0</v>
      </c>
      <c r="N517" s="34" t="s">
        <v>67</v>
      </c>
      <c r="O517" s="33" t="n">
        <f>158200</f>
        <v>158200.0</v>
      </c>
      <c r="P517" s="34" t="s">
        <v>70</v>
      </c>
      <c r="Q517" s="33" t="n">
        <f>162200</f>
        <v>162200.0</v>
      </c>
      <c r="R517" s="34" t="s">
        <v>49</v>
      </c>
      <c r="S517" s="35" t="n">
        <f>168177.78</f>
        <v>168177.78</v>
      </c>
      <c r="T517" s="32" t="n">
        <f>207512</f>
        <v>207512.0</v>
      </c>
      <c r="U517" s="32" t="n">
        <f>38030</f>
        <v>38030.0</v>
      </c>
      <c r="V517" s="32" t="n">
        <f>34794852777</f>
        <v>3.4794852777E10</v>
      </c>
      <c r="W517" s="32" t="n">
        <f>6380859677</f>
        <v>6.380859677E9</v>
      </c>
      <c r="X517" s="36" t="n">
        <f>18</f>
        <v>18.0</v>
      </c>
    </row>
    <row r="518">
      <c r="A518" s="27" t="s">
        <v>42</v>
      </c>
      <c r="B518" s="27" t="s">
        <v>1603</v>
      </c>
      <c r="C518" s="27" t="s">
        <v>1604</v>
      </c>
      <c r="D518" s="27" t="s">
        <v>1605</v>
      </c>
      <c r="E518" s="28" t="s">
        <v>46</v>
      </c>
      <c r="F518" s="29" t="s">
        <v>46</v>
      </c>
      <c r="G518" s="30" t="s">
        <v>46</v>
      </c>
      <c r="H518" s="31"/>
      <c r="I518" s="31" t="s">
        <v>47</v>
      </c>
      <c r="J518" s="32" t="n">
        <v>1.0</v>
      </c>
      <c r="K518" s="33" t="n">
        <f>75700</f>
        <v>75700.0</v>
      </c>
      <c r="L518" s="34" t="s">
        <v>48</v>
      </c>
      <c r="M518" s="33" t="n">
        <f>76300</f>
        <v>76300.0</v>
      </c>
      <c r="N518" s="34" t="s">
        <v>67</v>
      </c>
      <c r="O518" s="33" t="n">
        <f>72400</f>
        <v>72400.0</v>
      </c>
      <c r="P518" s="34" t="s">
        <v>204</v>
      </c>
      <c r="Q518" s="33" t="n">
        <f>74000</f>
        <v>74000.0</v>
      </c>
      <c r="R518" s="34" t="s">
        <v>49</v>
      </c>
      <c r="S518" s="35" t="n">
        <f>73650</f>
        <v>73650.0</v>
      </c>
      <c r="T518" s="32" t="n">
        <f>155957</f>
        <v>155957.0</v>
      </c>
      <c r="U518" s="32" t="n">
        <f>35559</f>
        <v>35559.0</v>
      </c>
      <c r="V518" s="32" t="n">
        <f>11499302625</f>
        <v>1.1499302625E10</v>
      </c>
      <c r="W518" s="32" t="n">
        <f>2621469225</f>
        <v>2.621469225E9</v>
      </c>
      <c r="X518" s="36" t="n">
        <f>18</f>
        <v>18.0</v>
      </c>
    </row>
    <row r="519">
      <c r="A519" s="27" t="s">
        <v>42</v>
      </c>
      <c r="B519" s="27" t="s">
        <v>1606</v>
      </c>
      <c r="C519" s="27" t="s">
        <v>1607</v>
      </c>
      <c r="D519" s="27" t="s">
        <v>1608</v>
      </c>
      <c r="E519" s="28" t="s">
        <v>46</v>
      </c>
      <c r="F519" s="29" t="s">
        <v>46</v>
      </c>
      <c r="G519" s="30" t="s">
        <v>46</v>
      </c>
      <c r="H519" s="31"/>
      <c r="I519" s="31" t="s">
        <v>47</v>
      </c>
      <c r="J519" s="32" t="n">
        <v>1.0</v>
      </c>
      <c r="K519" s="33" t="n">
        <f>61400</f>
        <v>61400.0</v>
      </c>
      <c r="L519" s="34" t="s">
        <v>48</v>
      </c>
      <c r="M519" s="33" t="n">
        <f>62600</f>
        <v>62600.0</v>
      </c>
      <c r="N519" s="34" t="s">
        <v>67</v>
      </c>
      <c r="O519" s="33" t="n">
        <f>59500</f>
        <v>59500.0</v>
      </c>
      <c r="P519" s="34" t="s">
        <v>69</v>
      </c>
      <c r="Q519" s="33" t="n">
        <f>61300</f>
        <v>61300.0</v>
      </c>
      <c r="R519" s="34" t="s">
        <v>49</v>
      </c>
      <c r="S519" s="35" t="n">
        <f>60844.44</f>
        <v>60844.44</v>
      </c>
      <c r="T519" s="32" t="n">
        <f>927344</f>
        <v>927344.0</v>
      </c>
      <c r="U519" s="32" t="n">
        <f>209931</f>
        <v>209931.0</v>
      </c>
      <c r="V519" s="32" t="n">
        <f>56551041415</f>
        <v>5.6551041415E10</v>
      </c>
      <c r="W519" s="32" t="n">
        <f>12831368315</f>
        <v>1.2831368315E10</v>
      </c>
      <c r="X519" s="36" t="n">
        <f>18</f>
        <v>18.0</v>
      </c>
    </row>
    <row r="520">
      <c r="A520" s="27" t="s">
        <v>42</v>
      </c>
      <c r="B520" s="27" t="s">
        <v>1609</v>
      </c>
      <c r="C520" s="27" t="s">
        <v>1610</v>
      </c>
      <c r="D520" s="27" t="s">
        <v>1611</v>
      </c>
      <c r="E520" s="28" t="s">
        <v>46</v>
      </c>
      <c r="F520" s="29" t="s">
        <v>46</v>
      </c>
      <c r="G520" s="30" t="s">
        <v>46</v>
      </c>
      <c r="H520" s="31"/>
      <c r="I520" s="31" t="s">
        <v>47</v>
      </c>
      <c r="J520" s="32" t="n">
        <v>1.0</v>
      </c>
      <c r="K520" s="33" t="n">
        <f>85700</f>
        <v>85700.0</v>
      </c>
      <c r="L520" s="34" t="s">
        <v>48</v>
      </c>
      <c r="M520" s="33" t="n">
        <f>87000</f>
        <v>87000.0</v>
      </c>
      <c r="N520" s="34" t="s">
        <v>67</v>
      </c>
      <c r="O520" s="33" t="n">
        <f>80800</f>
        <v>80800.0</v>
      </c>
      <c r="P520" s="34" t="s">
        <v>70</v>
      </c>
      <c r="Q520" s="33" t="n">
        <f>81600</f>
        <v>81600.0</v>
      </c>
      <c r="R520" s="34" t="s">
        <v>49</v>
      </c>
      <c r="S520" s="35" t="n">
        <f>83322.22</f>
        <v>83322.22</v>
      </c>
      <c r="T520" s="32" t="n">
        <f>156281</f>
        <v>156281.0</v>
      </c>
      <c r="U520" s="32" t="n">
        <f>32981</f>
        <v>32981.0</v>
      </c>
      <c r="V520" s="32" t="n">
        <f>13008113072</f>
        <v>1.3008113072E10</v>
      </c>
      <c r="W520" s="32" t="n">
        <f>2742172472</f>
        <v>2.742172472E9</v>
      </c>
      <c r="X520" s="36" t="n">
        <f>18</f>
        <v>18.0</v>
      </c>
    </row>
    <row r="521">
      <c r="A521" s="27" t="s">
        <v>42</v>
      </c>
      <c r="B521" s="27" t="s">
        <v>1612</v>
      </c>
      <c r="C521" s="27" t="s">
        <v>1613</v>
      </c>
      <c r="D521" s="27" t="s">
        <v>1614</v>
      </c>
      <c r="E521" s="28" t="s">
        <v>46</v>
      </c>
      <c r="F521" s="29" t="s">
        <v>46</v>
      </c>
      <c r="G521" s="30" t="s">
        <v>46</v>
      </c>
      <c r="H521" s="31"/>
      <c r="I521" s="31" t="s">
        <v>47</v>
      </c>
      <c r="J521" s="32" t="n">
        <v>1.0</v>
      </c>
      <c r="K521" s="33" t="n">
        <f>146900</f>
        <v>146900.0</v>
      </c>
      <c r="L521" s="34" t="s">
        <v>48</v>
      </c>
      <c r="M521" s="33" t="n">
        <f>149200</f>
        <v>149200.0</v>
      </c>
      <c r="N521" s="34" t="s">
        <v>67</v>
      </c>
      <c r="O521" s="33" t="n">
        <f>134300</f>
        <v>134300.0</v>
      </c>
      <c r="P521" s="34" t="s">
        <v>70</v>
      </c>
      <c r="Q521" s="33" t="n">
        <f>135700</f>
        <v>135700.0</v>
      </c>
      <c r="R521" s="34" t="s">
        <v>49</v>
      </c>
      <c r="S521" s="35" t="n">
        <f>141600</f>
        <v>141600.0</v>
      </c>
      <c r="T521" s="32" t="n">
        <f>157367</f>
        <v>157367.0</v>
      </c>
      <c r="U521" s="32" t="n">
        <f>18512</f>
        <v>18512.0</v>
      </c>
      <c r="V521" s="32" t="n">
        <f>22111025313</f>
        <v>2.2111025313E10</v>
      </c>
      <c r="W521" s="32" t="n">
        <f>2600510513</f>
        <v>2.600510513E9</v>
      </c>
      <c r="X521" s="36" t="n">
        <f>18</f>
        <v>18.0</v>
      </c>
    </row>
    <row r="522">
      <c r="A522" s="27" t="s">
        <v>42</v>
      </c>
      <c r="B522" s="27" t="s">
        <v>1615</v>
      </c>
      <c r="C522" s="27" t="s">
        <v>1616</v>
      </c>
      <c r="D522" s="27" t="s">
        <v>1617</v>
      </c>
      <c r="E522" s="28" t="s">
        <v>46</v>
      </c>
      <c r="F522" s="29" t="s">
        <v>46</v>
      </c>
      <c r="G522" s="30" t="s">
        <v>46</v>
      </c>
      <c r="H522" s="31"/>
      <c r="I522" s="31" t="s">
        <v>47</v>
      </c>
      <c r="J522" s="32" t="n">
        <v>1.0</v>
      </c>
      <c r="K522" s="33" t="n">
        <f>95100</f>
        <v>95100.0</v>
      </c>
      <c r="L522" s="34" t="s">
        <v>48</v>
      </c>
      <c r="M522" s="33" t="n">
        <f>95400</f>
        <v>95400.0</v>
      </c>
      <c r="N522" s="34" t="s">
        <v>48</v>
      </c>
      <c r="O522" s="33" t="n">
        <f>91000</f>
        <v>91000.0</v>
      </c>
      <c r="P522" s="34" t="s">
        <v>83</v>
      </c>
      <c r="Q522" s="33" t="n">
        <f>91900</f>
        <v>91900.0</v>
      </c>
      <c r="R522" s="34" t="s">
        <v>49</v>
      </c>
      <c r="S522" s="35" t="n">
        <f>92794.44</f>
        <v>92794.44</v>
      </c>
      <c r="T522" s="32" t="n">
        <f>142478</f>
        <v>142478.0</v>
      </c>
      <c r="U522" s="32" t="n">
        <f>36120</f>
        <v>36120.0</v>
      </c>
      <c r="V522" s="32" t="n">
        <f>13225704440</f>
        <v>1.322570444E10</v>
      </c>
      <c r="W522" s="32" t="n">
        <f>3354089540</f>
        <v>3.35408954E9</v>
      </c>
      <c r="X522" s="36" t="n">
        <f>18</f>
        <v>18.0</v>
      </c>
    </row>
    <row r="523">
      <c r="A523" s="27" t="s">
        <v>42</v>
      </c>
      <c r="B523" s="27" t="s">
        <v>1618</v>
      </c>
      <c r="C523" s="27" t="s">
        <v>1619</v>
      </c>
      <c r="D523" s="27" t="s">
        <v>1620</v>
      </c>
      <c r="E523" s="28" t="s">
        <v>46</v>
      </c>
      <c r="F523" s="29" t="s">
        <v>46</v>
      </c>
      <c r="G523" s="30" t="s">
        <v>46</v>
      </c>
      <c r="H523" s="31"/>
      <c r="I523" s="31" t="s">
        <v>47</v>
      </c>
      <c r="J523" s="32" t="n">
        <v>1.0</v>
      </c>
      <c r="K523" s="33" t="n">
        <f>181200</f>
        <v>181200.0</v>
      </c>
      <c r="L523" s="34" t="s">
        <v>48</v>
      </c>
      <c r="M523" s="33" t="n">
        <f>182400</f>
        <v>182400.0</v>
      </c>
      <c r="N523" s="34" t="s">
        <v>48</v>
      </c>
      <c r="O523" s="33" t="n">
        <f>169500</f>
        <v>169500.0</v>
      </c>
      <c r="P523" s="34" t="s">
        <v>70</v>
      </c>
      <c r="Q523" s="33" t="n">
        <f>170700</f>
        <v>170700.0</v>
      </c>
      <c r="R523" s="34" t="s">
        <v>49</v>
      </c>
      <c r="S523" s="35" t="n">
        <f>173677.78</f>
        <v>173677.78</v>
      </c>
      <c r="T523" s="32" t="n">
        <f>49828</f>
        <v>49828.0</v>
      </c>
      <c r="U523" s="32" t="n">
        <f>12073</f>
        <v>12073.0</v>
      </c>
      <c r="V523" s="32" t="n">
        <f>8667767261</f>
        <v>8.667767261E9</v>
      </c>
      <c r="W523" s="32" t="n">
        <f>2096796761</f>
        <v>2.096796761E9</v>
      </c>
      <c r="X523" s="36" t="n">
        <f>18</f>
        <v>18.0</v>
      </c>
    </row>
    <row r="524">
      <c r="A524" s="27" t="s">
        <v>42</v>
      </c>
      <c r="B524" s="27" t="s">
        <v>1621</v>
      </c>
      <c r="C524" s="27" t="s">
        <v>1622</v>
      </c>
      <c r="D524" s="27" t="s">
        <v>1623</v>
      </c>
      <c r="E524" s="28" t="s">
        <v>46</v>
      </c>
      <c r="F524" s="29" t="s">
        <v>46</v>
      </c>
      <c r="G524" s="30" t="s">
        <v>46</v>
      </c>
      <c r="H524" s="31"/>
      <c r="I524" s="31" t="s">
        <v>47</v>
      </c>
      <c r="J524" s="32" t="n">
        <v>1.0</v>
      </c>
      <c r="K524" s="33" t="n">
        <f>162600</f>
        <v>162600.0</v>
      </c>
      <c r="L524" s="34" t="s">
        <v>48</v>
      </c>
      <c r="M524" s="33" t="n">
        <f>164500</f>
        <v>164500.0</v>
      </c>
      <c r="N524" s="34" t="s">
        <v>67</v>
      </c>
      <c r="O524" s="33" t="n">
        <f>155600</f>
        <v>155600.0</v>
      </c>
      <c r="P524" s="34" t="s">
        <v>104</v>
      </c>
      <c r="Q524" s="33" t="n">
        <f>159000</f>
        <v>159000.0</v>
      </c>
      <c r="R524" s="34" t="s">
        <v>49</v>
      </c>
      <c r="S524" s="35" t="n">
        <f>159027.78</f>
        <v>159027.78</v>
      </c>
      <c r="T524" s="32" t="n">
        <f>250748</f>
        <v>250748.0</v>
      </c>
      <c r="U524" s="32" t="n">
        <f>53082</f>
        <v>53082.0</v>
      </c>
      <c r="V524" s="32" t="n">
        <f>39869544354</f>
        <v>3.9869544354E10</v>
      </c>
      <c r="W524" s="32" t="n">
        <f>8443170954</f>
        <v>8.443170954E9</v>
      </c>
      <c r="X524" s="36" t="n">
        <f>18</f>
        <v>18.0</v>
      </c>
    </row>
    <row r="525">
      <c r="A525" s="27" t="s">
        <v>42</v>
      </c>
      <c r="B525" s="27" t="s">
        <v>1624</v>
      </c>
      <c r="C525" s="27" t="s">
        <v>1625</v>
      </c>
      <c r="D525" s="27" t="s">
        <v>1626</v>
      </c>
      <c r="E525" s="28" t="s">
        <v>46</v>
      </c>
      <c r="F525" s="29" t="s">
        <v>46</v>
      </c>
      <c r="G525" s="30" t="s">
        <v>46</v>
      </c>
      <c r="H525" s="31"/>
      <c r="I525" s="31" t="s">
        <v>47</v>
      </c>
      <c r="J525" s="32" t="n">
        <v>1.0</v>
      </c>
      <c r="K525" s="33" t="n">
        <f>90300</f>
        <v>90300.0</v>
      </c>
      <c r="L525" s="34" t="s">
        <v>48</v>
      </c>
      <c r="M525" s="33" t="n">
        <f>90300</f>
        <v>90300.0</v>
      </c>
      <c r="N525" s="34" t="s">
        <v>48</v>
      </c>
      <c r="O525" s="33" t="n">
        <f>85100</f>
        <v>85100.0</v>
      </c>
      <c r="P525" s="34" t="s">
        <v>70</v>
      </c>
      <c r="Q525" s="33" t="n">
        <f>86900</f>
        <v>86900.0</v>
      </c>
      <c r="R525" s="34" t="s">
        <v>49</v>
      </c>
      <c r="S525" s="35" t="n">
        <f>87155.56</f>
        <v>87155.56</v>
      </c>
      <c r="T525" s="32" t="n">
        <f>149418</f>
        <v>149418.0</v>
      </c>
      <c r="U525" s="32" t="n">
        <f>56243</f>
        <v>56243.0</v>
      </c>
      <c r="V525" s="32" t="n">
        <f>12954990869</f>
        <v>1.2954990869E10</v>
      </c>
      <c r="W525" s="32" t="n">
        <f>4872155269</f>
        <v>4.872155269E9</v>
      </c>
      <c r="X525" s="36" t="n">
        <f>18</f>
        <v>18.0</v>
      </c>
    </row>
    <row r="526">
      <c r="A526" s="27" t="s">
        <v>42</v>
      </c>
      <c r="B526" s="27" t="s">
        <v>1627</v>
      </c>
      <c r="C526" s="27" t="s">
        <v>1628</v>
      </c>
      <c r="D526" s="27" t="s">
        <v>1629</v>
      </c>
      <c r="E526" s="28" t="s">
        <v>46</v>
      </c>
      <c r="F526" s="29" t="s">
        <v>46</v>
      </c>
      <c r="G526" s="30" t="s">
        <v>46</v>
      </c>
      <c r="H526" s="31"/>
      <c r="I526" s="31" t="s">
        <v>47</v>
      </c>
      <c r="J526" s="32" t="n">
        <v>1.0</v>
      </c>
      <c r="K526" s="33" t="n">
        <f>333500</f>
        <v>333500.0</v>
      </c>
      <c r="L526" s="34" t="s">
        <v>48</v>
      </c>
      <c r="M526" s="33" t="n">
        <f>337000</f>
        <v>337000.0</v>
      </c>
      <c r="N526" s="34" t="s">
        <v>67</v>
      </c>
      <c r="O526" s="33" t="n">
        <f>310500</f>
        <v>310500.0</v>
      </c>
      <c r="P526" s="34" t="s">
        <v>70</v>
      </c>
      <c r="Q526" s="33" t="n">
        <f>318000</f>
        <v>318000.0</v>
      </c>
      <c r="R526" s="34" t="s">
        <v>49</v>
      </c>
      <c r="S526" s="35" t="n">
        <f>325527.78</f>
        <v>325527.78</v>
      </c>
      <c r="T526" s="32" t="n">
        <f>52148</f>
        <v>52148.0</v>
      </c>
      <c r="U526" s="32" t="n">
        <f>12193</f>
        <v>12193.0</v>
      </c>
      <c r="V526" s="32" t="n">
        <f>16932002915</f>
        <v>1.6932002915E10</v>
      </c>
      <c r="W526" s="32" t="n">
        <f>3980099415</f>
        <v>3.980099415E9</v>
      </c>
      <c r="X526" s="36" t="n">
        <f>18</f>
        <v>18.0</v>
      </c>
    </row>
    <row r="527">
      <c r="A527" s="27" t="s">
        <v>42</v>
      </c>
      <c r="B527" s="27" t="s">
        <v>1630</v>
      </c>
      <c r="C527" s="27" t="s">
        <v>1631</v>
      </c>
      <c r="D527" s="27" t="s">
        <v>1632</v>
      </c>
      <c r="E527" s="28" t="s">
        <v>46</v>
      </c>
      <c r="F527" s="29" t="s">
        <v>46</v>
      </c>
      <c r="G527" s="30" t="s">
        <v>46</v>
      </c>
      <c r="H527" s="31"/>
      <c r="I527" s="31" t="s">
        <v>47</v>
      </c>
      <c r="J527" s="32" t="n">
        <v>1.0</v>
      </c>
      <c r="K527" s="33" t="n">
        <f>148400</f>
        <v>148400.0</v>
      </c>
      <c r="L527" s="34" t="s">
        <v>48</v>
      </c>
      <c r="M527" s="33" t="n">
        <f>150500</f>
        <v>150500.0</v>
      </c>
      <c r="N527" s="34" t="s">
        <v>67</v>
      </c>
      <c r="O527" s="33" t="n">
        <f>141300</f>
        <v>141300.0</v>
      </c>
      <c r="P527" s="34" t="s">
        <v>70</v>
      </c>
      <c r="Q527" s="33" t="n">
        <f>143900</f>
        <v>143900.0</v>
      </c>
      <c r="R527" s="34" t="s">
        <v>49</v>
      </c>
      <c r="S527" s="35" t="n">
        <f>147672.22</f>
        <v>147672.22</v>
      </c>
      <c r="T527" s="32" t="n">
        <f>50685</f>
        <v>50685.0</v>
      </c>
      <c r="U527" s="32" t="n">
        <f>13229</f>
        <v>13229.0</v>
      </c>
      <c r="V527" s="32" t="n">
        <f>7469907212</f>
        <v>7.469907212E9</v>
      </c>
      <c r="W527" s="32" t="n">
        <f>1951501312</f>
        <v>1.951501312E9</v>
      </c>
      <c r="X527" s="36" t="n">
        <f>18</f>
        <v>18.0</v>
      </c>
    </row>
    <row r="528">
      <c r="A528" s="27" t="s">
        <v>42</v>
      </c>
      <c r="B528" s="27" t="s">
        <v>1633</v>
      </c>
      <c r="C528" s="27" t="s">
        <v>1634</v>
      </c>
      <c r="D528" s="27" t="s">
        <v>1635</v>
      </c>
      <c r="E528" s="28" t="s">
        <v>46</v>
      </c>
      <c r="F528" s="29" t="s">
        <v>46</v>
      </c>
      <c r="G528" s="30" t="s">
        <v>46</v>
      </c>
      <c r="H528" s="31"/>
      <c r="I528" s="31" t="s">
        <v>416</v>
      </c>
      <c r="J528" s="32" t="n">
        <v>1.0</v>
      </c>
      <c r="K528" s="33" t="n">
        <f>194200</f>
        <v>194200.0</v>
      </c>
      <c r="L528" s="34" t="s">
        <v>48</v>
      </c>
      <c r="M528" s="33" t="n">
        <f>194200</f>
        <v>194200.0</v>
      </c>
      <c r="N528" s="34" t="s">
        <v>48</v>
      </c>
      <c r="O528" s="33" t="n">
        <f>180100</f>
        <v>180100.0</v>
      </c>
      <c r="P528" s="34" t="s">
        <v>83</v>
      </c>
      <c r="Q528" s="33" t="n">
        <f>186300</f>
        <v>186300.0</v>
      </c>
      <c r="R528" s="34" t="s">
        <v>49</v>
      </c>
      <c r="S528" s="35" t="n">
        <f>189061.11</f>
        <v>189061.11</v>
      </c>
      <c r="T528" s="32" t="n">
        <f>13160</f>
        <v>13160.0</v>
      </c>
      <c r="U528" s="32" t="n">
        <f>1995</f>
        <v>1995.0</v>
      </c>
      <c r="V528" s="32" t="n">
        <f>2487147516</f>
        <v>2.487147516E9</v>
      </c>
      <c r="W528" s="32" t="n">
        <f>377618616</f>
        <v>3.77618616E8</v>
      </c>
      <c r="X528" s="36" t="n">
        <f>18</f>
        <v>18.0</v>
      </c>
    </row>
    <row r="529">
      <c r="A529" s="27" t="s">
        <v>42</v>
      </c>
      <c r="B529" s="27" t="s">
        <v>1636</v>
      </c>
      <c r="C529" s="27" t="s">
        <v>1637</v>
      </c>
      <c r="D529" s="27" t="s">
        <v>1638</v>
      </c>
      <c r="E529" s="28" t="s">
        <v>46</v>
      </c>
      <c r="F529" s="29" t="s">
        <v>46</v>
      </c>
      <c r="G529" s="30" t="s">
        <v>46</v>
      </c>
      <c r="H529" s="31"/>
      <c r="I529" s="31" t="s">
        <v>47</v>
      </c>
      <c r="J529" s="32" t="n">
        <v>1.0</v>
      </c>
      <c r="K529" s="33" t="n">
        <f>126400</f>
        <v>126400.0</v>
      </c>
      <c r="L529" s="34" t="s">
        <v>48</v>
      </c>
      <c r="M529" s="33" t="n">
        <f>126700</f>
        <v>126700.0</v>
      </c>
      <c r="N529" s="34" t="s">
        <v>67</v>
      </c>
      <c r="O529" s="33" t="n">
        <f>118800</f>
        <v>118800.0</v>
      </c>
      <c r="P529" s="34" t="s">
        <v>70</v>
      </c>
      <c r="Q529" s="33" t="n">
        <f>120600</f>
        <v>120600.0</v>
      </c>
      <c r="R529" s="34" t="s">
        <v>49</v>
      </c>
      <c r="S529" s="35" t="n">
        <f>121816.67</f>
        <v>121816.67</v>
      </c>
      <c r="T529" s="32" t="n">
        <f>237615</f>
        <v>237615.0</v>
      </c>
      <c r="U529" s="32" t="n">
        <f>55470</f>
        <v>55470.0</v>
      </c>
      <c r="V529" s="32" t="n">
        <f>28944217732</f>
        <v>2.8944217732E10</v>
      </c>
      <c r="W529" s="32" t="n">
        <f>6747816032</f>
        <v>6.747816032E9</v>
      </c>
      <c r="X529" s="36" t="n">
        <f>18</f>
        <v>18.0</v>
      </c>
    </row>
    <row r="530">
      <c r="A530" s="27" t="s">
        <v>42</v>
      </c>
      <c r="B530" s="27" t="s">
        <v>1639</v>
      </c>
      <c r="C530" s="27" t="s">
        <v>1640</v>
      </c>
      <c r="D530" s="27" t="s">
        <v>1641</v>
      </c>
      <c r="E530" s="28" t="s">
        <v>46</v>
      </c>
      <c r="F530" s="29" t="s">
        <v>46</v>
      </c>
      <c r="G530" s="30" t="s">
        <v>46</v>
      </c>
      <c r="H530" s="31"/>
      <c r="I530" s="31" t="s">
        <v>47</v>
      </c>
      <c r="J530" s="32" t="n">
        <v>1.0</v>
      </c>
      <c r="K530" s="33" t="n">
        <f>78000</f>
        <v>78000.0</v>
      </c>
      <c r="L530" s="34" t="s">
        <v>48</v>
      </c>
      <c r="M530" s="33" t="n">
        <f>79200</f>
        <v>79200.0</v>
      </c>
      <c r="N530" s="34" t="s">
        <v>67</v>
      </c>
      <c r="O530" s="33" t="n">
        <f>74600</f>
        <v>74600.0</v>
      </c>
      <c r="P530" s="34" t="s">
        <v>69</v>
      </c>
      <c r="Q530" s="33" t="n">
        <f>76600</f>
        <v>76600.0</v>
      </c>
      <c r="R530" s="34" t="s">
        <v>49</v>
      </c>
      <c r="S530" s="35" t="n">
        <f>76500</f>
        <v>76500.0</v>
      </c>
      <c r="T530" s="32" t="n">
        <f>606771</f>
        <v>606771.0</v>
      </c>
      <c r="U530" s="32" t="n">
        <f>156079</f>
        <v>156079.0</v>
      </c>
      <c r="V530" s="32" t="n">
        <f>46458620052</f>
        <v>4.6458620052E10</v>
      </c>
      <c r="W530" s="32" t="n">
        <f>11972129352</f>
        <v>1.1972129352E10</v>
      </c>
      <c r="X530" s="36" t="n">
        <f>18</f>
        <v>18.0</v>
      </c>
    </row>
    <row r="531">
      <c r="A531" s="27" t="s">
        <v>42</v>
      </c>
      <c r="B531" s="27" t="s">
        <v>1642</v>
      </c>
      <c r="C531" s="27" t="s">
        <v>1643</v>
      </c>
      <c r="D531" s="27" t="s">
        <v>1644</v>
      </c>
      <c r="E531" s="28" t="s">
        <v>46</v>
      </c>
      <c r="F531" s="29" t="s">
        <v>46</v>
      </c>
      <c r="G531" s="30" t="s">
        <v>46</v>
      </c>
      <c r="H531" s="31"/>
      <c r="I531" s="31" t="s">
        <v>47</v>
      </c>
      <c r="J531" s="32" t="n">
        <v>1.0</v>
      </c>
      <c r="K531" s="33" t="n">
        <f>107000</f>
        <v>107000.0</v>
      </c>
      <c r="L531" s="34" t="s">
        <v>48</v>
      </c>
      <c r="M531" s="33" t="n">
        <f>107500</f>
        <v>107500.0</v>
      </c>
      <c r="N531" s="34" t="s">
        <v>48</v>
      </c>
      <c r="O531" s="33" t="n">
        <f>100100</f>
        <v>100100.0</v>
      </c>
      <c r="P531" s="34" t="s">
        <v>104</v>
      </c>
      <c r="Q531" s="33" t="n">
        <f>101400</f>
        <v>101400.0</v>
      </c>
      <c r="R531" s="34" t="s">
        <v>49</v>
      </c>
      <c r="S531" s="35" t="n">
        <f>104050</f>
        <v>104050.0</v>
      </c>
      <c r="T531" s="32" t="n">
        <f>133120</f>
        <v>133120.0</v>
      </c>
      <c r="U531" s="32" t="n">
        <f>34281</f>
        <v>34281.0</v>
      </c>
      <c r="V531" s="32" t="n">
        <f>13811687358</f>
        <v>1.3811687358E10</v>
      </c>
      <c r="W531" s="32" t="n">
        <f>3560363158</f>
        <v>3.560363158E9</v>
      </c>
      <c r="X531" s="36" t="n">
        <f>18</f>
        <v>18.0</v>
      </c>
    </row>
    <row r="532">
      <c r="A532" s="27" t="s">
        <v>42</v>
      </c>
      <c r="B532" s="27" t="s">
        <v>1645</v>
      </c>
      <c r="C532" s="27" t="s">
        <v>1646</v>
      </c>
      <c r="D532" s="27" t="s">
        <v>1647</v>
      </c>
      <c r="E532" s="28" t="s">
        <v>46</v>
      </c>
      <c r="F532" s="29" t="s">
        <v>46</v>
      </c>
      <c r="G532" s="30" t="s">
        <v>46</v>
      </c>
      <c r="H532" s="31"/>
      <c r="I532" s="31" t="s">
        <v>47</v>
      </c>
      <c r="J532" s="32" t="n">
        <v>1.0</v>
      </c>
      <c r="K532" s="33" t="n">
        <f>142100</f>
        <v>142100.0</v>
      </c>
      <c r="L532" s="34" t="s">
        <v>48</v>
      </c>
      <c r="M532" s="33" t="n">
        <f>144100</f>
        <v>144100.0</v>
      </c>
      <c r="N532" s="34" t="s">
        <v>209</v>
      </c>
      <c r="O532" s="33" t="n">
        <f>138300</f>
        <v>138300.0</v>
      </c>
      <c r="P532" s="34" t="s">
        <v>204</v>
      </c>
      <c r="Q532" s="33" t="n">
        <f>140500</f>
        <v>140500.0</v>
      </c>
      <c r="R532" s="34" t="s">
        <v>49</v>
      </c>
      <c r="S532" s="35" t="n">
        <f>140794.44</f>
        <v>140794.44</v>
      </c>
      <c r="T532" s="32" t="n">
        <f>73700</f>
        <v>73700.0</v>
      </c>
      <c r="U532" s="32" t="n">
        <f>19659</f>
        <v>19659.0</v>
      </c>
      <c r="V532" s="32" t="n">
        <f>10383611009</f>
        <v>1.0383611009E10</v>
      </c>
      <c r="W532" s="32" t="n">
        <f>2771711509</f>
        <v>2.771711509E9</v>
      </c>
      <c r="X532" s="36" t="n">
        <f>18</f>
        <v>18.0</v>
      </c>
    </row>
    <row r="533">
      <c r="A533" s="27" t="s">
        <v>42</v>
      </c>
      <c r="B533" s="27" t="s">
        <v>1648</v>
      </c>
      <c r="C533" s="27" t="s">
        <v>1649</v>
      </c>
      <c r="D533" s="27" t="s">
        <v>1650</v>
      </c>
      <c r="E533" s="28" t="s">
        <v>46</v>
      </c>
      <c r="F533" s="29" t="s">
        <v>46</v>
      </c>
      <c r="G533" s="30" t="s">
        <v>46</v>
      </c>
      <c r="H533" s="31"/>
      <c r="I533" s="31" t="s">
        <v>416</v>
      </c>
      <c r="J533" s="32" t="n">
        <v>1.0</v>
      </c>
      <c r="K533" s="33" t="n">
        <f>59800</f>
        <v>59800.0</v>
      </c>
      <c r="L533" s="34" t="s">
        <v>48</v>
      </c>
      <c r="M533" s="33" t="n">
        <f>60400</f>
        <v>60400.0</v>
      </c>
      <c r="N533" s="34" t="s">
        <v>67</v>
      </c>
      <c r="O533" s="33" t="n">
        <f>56400</f>
        <v>56400.0</v>
      </c>
      <c r="P533" s="34" t="s">
        <v>49</v>
      </c>
      <c r="Q533" s="33" t="n">
        <f>57300</f>
        <v>57300.0</v>
      </c>
      <c r="R533" s="34" t="s">
        <v>49</v>
      </c>
      <c r="S533" s="35" t="n">
        <f>58311.11</f>
        <v>58311.11</v>
      </c>
      <c r="T533" s="32" t="n">
        <f>4250</f>
        <v>4250.0</v>
      </c>
      <c r="U533" s="32" t="n">
        <f>5</f>
        <v>5.0</v>
      </c>
      <c r="V533" s="32" t="n">
        <f>246729700</f>
        <v>2.467297E8</v>
      </c>
      <c r="W533" s="32" t="n">
        <f>294500</f>
        <v>294500.0</v>
      </c>
      <c r="X533" s="36" t="n">
        <f>18</f>
        <v>18.0</v>
      </c>
    </row>
    <row r="534">
      <c r="A534" s="27" t="s">
        <v>42</v>
      </c>
      <c r="B534" s="27" t="s">
        <v>1651</v>
      </c>
      <c r="C534" s="27" t="s">
        <v>1652</v>
      </c>
      <c r="D534" s="27" t="s">
        <v>1653</v>
      </c>
      <c r="E534" s="28" t="s">
        <v>46</v>
      </c>
      <c r="F534" s="29" t="s">
        <v>46</v>
      </c>
      <c r="G534" s="30" t="s">
        <v>46</v>
      </c>
      <c r="H534" s="31"/>
      <c r="I534" s="31" t="s">
        <v>416</v>
      </c>
      <c r="J534" s="32" t="n">
        <v>1.0</v>
      </c>
      <c r="K534" s="33" t="n">
        <f>91200</f>
        <v>91200.0</v>
      </c>
      <c r="L534" s="34" t="s">
        <v>48</v>
      </c>
      <c r="M534" s="33" t="n">
        <f>91700</f>
        <v>91700.0</v>
      </c>
      <c r="N534" s="34" t="s">
        <v>67</v>
      </c>
      <c r="O534" s="33" t="n">
        <f>86900</f>
        <v>86900.0</v>
      </c>
      <c r="P534" s="34" t="s">
        <v>70</v>
      </c>
      <c r="Q534" s="33" t="n">
        <f>88600</f>
        <v>88600.0</v>
      </c>
      <c r="R534" s="34" t="s">
        <v>49</v>
      </c>
      <c r="S534" s="35" t="n">
        <f>89661.11</f>
        <v>89661.11</v>
      </c>
      <c r="T534" s="32" t="n">
        <f>18739</f>
        <v>18739.0</v>
      </c>
      <c r="U534" s="32" t="n">
        <f>246</f>
        <v>246.0</v>
      </c>
      <c r="V534" s="32" t="n">
        <f>1669851789</f>
        <v>1.669851789E9</v>
      </c>
      <c r="W534" s="32" t="n">
        <f>22031289</f>
        <v>2.2031289E7</v>
      </c>
      <c r="X534" s="36" t="n">
        <f>18</f>
        <v>18.0</v>
      </c>
    </row>
    <row r="535">
      <c r="A535" s="27" t="s">
        <v>42</v>
      </c>
      <c r="B535" s="27" t="s">
        <v>1654</v>
      </c>
      <c r="C535" s="27" t="s">
        <v>1655</v>
      </c>
      <c r="D535" s="27" t="s">
        <v>1656</v>
      </c>
      <c r="E535" s="28" t="s">
        <v>46</v>
      </c>
      <c r="F535" s="29" t="s">
        <v>46</v>
      </c>
      <c r="G535" s="30" t="s">
        <v>46</v>
      </c>
      <c r="H535" s="31"/>
      <c r="I535" s="31" t="s">
        <v>416</v>
      </c>
      <c r="J535" s="32" t="n">
        <v>1.0</v>
      </c>
      <c r="K535" s="33" t="n">
        <f>49900</f>
        <v>49900.0</v>
      </c>
      <c r="L535" s="34" t="s">
        <v>48</v>
      </c>
      <c r="M535" s="33" t="n">
        <f>50600</f>
        <v>50600.0</v>
      </c>
      <c r="N535" s="34" t="s">
        <v>209</v>
      </c>
      <c r="O535" s="33" t="n">
        <f>47950</f>
        <v>47950.0</v>
      </c>
      <c r="P535" s="34" t="s">
        <v>70</v>
      </c>
      <c r="Q535" s="33" t="n">
        <f>48950</f>
        <v>48950.0</v>
      </c>
      <c r="R535" s="34" t="s">
        <v>49</v>
      </c>
      <c r="S535" s="35" t="n">
        <f>49580.56</f>
        <v>49580.56</v>
      </c>
      <c r="T535" s="32" t="n">
        <f>7743</f>
        <v>7743.0</v>
      </c>
      <c r="U535" s="32" t="n">
        <f>7</f>
        <v>7.0</v>
      </c>
      <c r="V535" s="32" t="n">
        <f>380053100</f>
        <v>3.800531E8</v>
      </c>
      <c r="W535" s="32" t="n">
        <f>348600</f>
        <v>348600.0</v>
      </c>
      <c r="X535" s="36" t="n">
        <f>18</f>
        <v>18.0</v>
      </c>
    </row>
    <row r="536">
      <c r="A536" s="27" t="s">
        <v>42</v>
      </c>
      <c r="B536" s="27" t="s">
        <v>1657</v>
      </c>
      <c r="C536" s="27" t="s">
        <v>1658</v>
      </c>
      <c r="D536" s="27" t="s">
        <v>1659</v>
      </c>
      <c r="E536" s="28" t="s">
        <v>46</v>
      </c>
      <c r="F536" s="29" t="s">
        <v>46</v>
      </c>
      <c r="G536" s="30" t="s">
        <v>46</v>
      </c>
      <c r="H536" s="31"/>
      <c r="I536" s="31" t="s">
        <v>47</v>
      </c>
      <c r="J536" s="32" t="n">
        <v>1.0</v>
      </c>
      <c r="K536" s="33" t="n">
        <f>59000</f>
        <v>59000.0</v>
      </c>
      <c r="L536" s="34" t="s">
        <v>48</v>
      </c>
      <c r="M536" s="33" t="n">
        <f>59300</f>
        <v>59300.0</v>
      </c>
      <c r="N536" s="34" t="s">
        <v>117</v>
      </c>
      <c r="O536" s="33" t="n">
        <f>54900</f>
        <v>54900.0</v>
      </c>
      <c r="P536" s="34" t="s">
        <v>70</v>
      </c>
      <c r="Q536" s="33" t="n">
        <f>55500</f>
        <v>55500.0</v>
      </c>
      <c r="R536" s="34" t="s">
        <v>49</v>
      </c>
      <c r="S536" s="35" t="n">
        <f>58155.56</f>
        <v>58155.56</v>
      </c>
      <c r="T536" s="32" t="n">
        <f>48070</f>
        <v>48070.0</v>
      </c>
      <c r="U536" s="32" t="n">
        <f>263</f>
        <v>263.0</v>
      </c>
      <c r="V536" s="32" t="n">
        <f>2754617760</f>
        <v>2.75461776E9</v>
      </c>
      <c r="W536" s="32" t="n">
        <f>15229560</f>
        <v>1.522956E7</v>
      </c>
      <c r="X536" s="36" t="n">
        <f>18</f>
        <v>18.0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