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<sst xmlns="http://schemas.openxmlformats.org/spreadsheetml/2006/main" count="6457" uniqueCount="1673">
  <si>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</si>
  <si>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</si>
  <si>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</si>
  <si>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</si>
  <si>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</si>
  <si>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</si>
  <si>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</si>
  <si>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</si>
  <si>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</si>
  <si>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</si>
  <si>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</si>
  <si>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</si>
  <si>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</si>
  <si>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</si>
  <si>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</si>
  <si>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</si>
  <si>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</si>
  <si>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</si>
  <si>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</si>
  <si>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</si>
  <si>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</si>
  <si>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</si>
  <si>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</si>
  <si>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</si>
  <si>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</si>
  <si>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</si>
  <si>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</si>
  <si>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</si>
  <si>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</si>
  <si>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</si>
  <si>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</si>
  <si>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</si>
  <si>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</si>
  <si>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</si>
  <si>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</si>
  <si>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</si>
  <si>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</si>
  <si>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</si>
  <si>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</si>
  <si>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</si>
  <si>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</si>
  <si>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</si>
  <si>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2026/06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</si>
  <si>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</si>
  <si>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</si>
  <si>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</si>
  <si>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</si>
  <si>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</si>
  <si>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</si>
  <si>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22</t>
  </si>
  <si>
    <t>11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</si>
  <si>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</si>
  <si>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</si>
  <si>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</si>
  <si>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</si>
  <si>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</si>
  <si>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</si>
  <si>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</si>
  <si>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</si>
  <si>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</si>
  <si>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</si>
  <si>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23</t>
  </si>
  <si>
    <t>9</t>
  </si>
  <si>
    <t>1311</t>
  </si>
  <si>
    <t>ＮＥＸＴ　ＦＵＮＤＳ　ＴＯＰＩＸ　Ｃｏｒｅ　３０連動型上場投信　受益証券</t>
  </si>
  <si>
    <t>NEXT FUNDS TOPIX Core 30 Exchange Traded Fund</t>
  </si>
  <si>
    <t>19</t>
  </si>
  <si>
    <t>1319</t>
  </si>
  <si>
    <t>ＮＥＸＴ　ＦＵＮＤＳ　日経３００株価指数連動型上場投信　受益証券</t>
  </si>
  <si>
    <t>NEXT FUNDS Nikkei 300 Index Exchange Traded Fund</t>
  </si>
  <si>
    <t>26</t>
  </si>
  <si>
    <t>12</t>
  </si>
  <si>
    <t>29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</si>
  <si>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</si>
  <si>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</si>
  <si>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</si>
  <si>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</si>
  <si>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</si>
  <si>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</si>
  <si>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</si>
  <si>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</si>
  <si>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</si>
  <si>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</si>
  <si>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</si>
  <si>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</si>
  <si>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3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</si>
  <si>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</si>
  <si>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</si>
  <si>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</si>
  <si>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</si>
  <si>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</si>
  <si>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</si>
  <si>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</si>
  <si>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</si>
  <si>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</si>
  <si>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</si>
  <si>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</si>
  <si>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</si>
  <si>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</si>
  <si>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</si>
  <si>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</si>
  <si>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</si>
  <si>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</si>
  <si>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</si>
  <si>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8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</si>
  <si>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</si>
  <si>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</si>
  <si>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</si>
  <si>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</si>
  <si>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</si>
  <si>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</si>
  <si>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</si>
  <si>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</si>
  <si>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</si>
  <si>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</si>
  <si>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</si>
  <si>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</si>
  <si>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</si>
  <si>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</si>
  <si>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</si>
  <si>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</si>
  <si>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</si>
  <si>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</si>
  <si>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25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</si>
  <si>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</si>
  <si>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</si>
  <si>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</si>
  <si>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</si>
  <si>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</si>
  <si>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</si>
  <si>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</si>
  <si>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</si>
  <si>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</si>
  <si>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</si>
  <si>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</si>
  <si>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</si>
  <si>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</si>
  <si>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</si>
  <si>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</si>
  <si>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</si>
  <si>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</si>
  <si>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</si>
  <si>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</si>
  <si>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</si>
  <si>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</si>
  <si>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</si>
  <si>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</si>
  <si>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</si>
  <si>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</si>
  <si>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</si>
  <si>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</si>
  <si>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</si>
  <si>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</si>
  <si>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</si>
  <si>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10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</si>
  <si>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</si>
  <si>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</si>
  <si>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</si>
  <si>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</si>
  <si>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</si>
  <si>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</si>
  <si>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</si>
  <si>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</si>
  <si>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</si>
  <si>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</si>
  <si>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</si>
  <si>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</si>
  <si>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</si>
  <si>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</si>
  <si>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</si>
  <si>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</si>
  <si>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</si>
  <si>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</si>
  <si>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</si>
  <si>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</si>
  <si>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</si>
  <si>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</si>
  <si>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</si>
  <si>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</si>
  <si>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</si>
  <si>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</si>
  <si>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</si>
  <si>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</si>
  <si>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</si>
  <si>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</si>
  <si>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</si>
  <si>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</si>
  <si>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</si>
  <si>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</si>
  <si>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</si>
  <si>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</si>
  <si>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</si>
  <si>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</si>
  <si>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</si>
  <si>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</si>
  <si>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5</t>
  </si>
  <si>
    <t>1477</t>
  </si>
  <si>
    <t>ｉシェアーズ　ＭＳＣＩ　日本株最小分散　ＥＴＦ　受益証券</t>
  </si>
  <si>
    <t>iShares MSCI Japan Minimum Volatility (ex-REITs) ETF</t>
  </si>
  <si>
    <t>24</t>
  </si>
  <si>
    <t>1478</t>
  </si>
  <si>
    <t>ｉシェアーズ　ＭＳＣＩ　ジャパン高配当利回り　ＥＴＦ　受益証券</t>
  </si>
  <si>
    <t>iShares MSCI Japan High Dividend ETF</t>
  </si>
  <si>
    <t>15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</si>
  <si>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</si>
  <si>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</si>
  <si>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</si>
  <si>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</si>
  <si>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</si>
  <si>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</si>
  <si>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4</t>
  </si>
  <si>
    <t>1481</t>
  </si>
  <si>
    <t>上場インデックスファンド日本経済貢献株　受益証券</t>
  </si>
  <si>
    <t>Listed Index Fund Japanese Economy Contributor Stocks</t>
  </si>
  <si>
    <t>16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</si>
  <si>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</si>
  <si>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</si>
  <si>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</si>
  <si>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</si>
  <si>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</si>
  <si>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</si>
  <si>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</si>
  <si>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</si>
  <si>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</si>
  <si>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</si>
  <si>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</si>
  <si>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</si>
  <si>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</si>
  <si>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</si>
  <si>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</si>
  <si>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</si>
  <si>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</si>
  <si>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</si>
  <si>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</si>
  <si>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</si>
  <si>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</si>
  <si>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</si>
  <si>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</si>
  <si>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</si>
  <si>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</si>
  <si>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</si>
  <si>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</si>
  <si>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</si>
  <si>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</si>
  <si>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</si>
  <si>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</si>
  <si>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</si>
  <si>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</si>
  <si>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</si>
  <si>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</si>
  <si>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</si>
  <si>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</si>
  <si>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</si>
  <si>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</si>
  <si>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</si>
  <si>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</si>
  <si>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</si>
  <si>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</si>
  <si>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</si>
  <si>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</si>
  <si>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</si>
  <si>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</si>
  <si>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</si>
  <si>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</si>
  <si>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</si>
  <si>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</si>
  <si>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</si>
  <si>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</si>
  <si>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</si>
  <si>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</si>
  <si>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</si>
  <si>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</si>
  <si>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</si>
  <si>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</si>
  <si>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</si>
  <si>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</si>
  <si>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</si>
  <si>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</si>
  <si>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</si>
  <si>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</si>
  <si>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</si>
  <si>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</si>
  <si>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</si>
  <si>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</si>
  <si>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</si>
  <si>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</si>
  <si>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</si>
  <si>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</si>
  <si>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</si>
  <si>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</si>
  <si>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</si>
  <si>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</si>
  <si>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</si>
  <si>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</si>
  <si>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</si>
  <si>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</si>
  <si>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17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</si>
  <si>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</si>
  <si>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</si>
  <si>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</si>
  <si>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</si>
  <si>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</si>
  <si>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</si>
  <si>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</si>
  <si>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</si>
  <si>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</si>
  <si>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</si>
  <si>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</si>
  <si>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</si>
  <si>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</si>
  <si>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</si>
  <si>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</si>
  <si>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</si>
  <si>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</si>
  <si>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</si>
  <si>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</si>
  <si>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</si>
  <si>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</si>
  <si>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</si>
  <si>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</si>
  <si>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</si>
  <si>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</si>
  <si>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</si>
  <si>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</si>
  <si>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</si>
  <si>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</si>
  <si>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</si>
  <si>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</si>
  <si>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</si>
  <si>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</si>
  <si>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</si>
  <si>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</si>
  <si>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</si>
  <si>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</si>
  <si>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</si>
  <si>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</si>
  <si>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</si>
  <si>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</si>
  <si>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</si>
  <si>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</si>
  <si>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</si>
  <si>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</si>
  <si>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</si>
  <si>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</si>
  <si>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</si>
  <si>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</si>
  <si>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</si>
  <si>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</si>
  <si>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</si>
  <si>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</si>
  <si>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</si>
  <si>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</si>
  <si>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</si>
  <si>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</si>
  <si>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</si>
  <si>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</si>
  <si>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</si>
  <si>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</si>
  <si>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</si>
  <si>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</si>
  <si>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</si>
  <si>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</si>
  <si>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</si>
  <si>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</si>
  <si>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</si>
  <si>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</si>
  <si>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</si>
  <si>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</si>
  <si>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</si>
  <si>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</si>
  <si>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</si>
  <si>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</si>
  <si>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</si>
  <si>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</si>
  <si>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</si>
  <si>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18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</si>
  <si>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</si>
  <si>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</si>
  <si>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</si>
  <si>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</si>
  <si>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</si>
  <si>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</si>
  <si>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</si>
  <si>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</si>
  <si>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</si>
  <si>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</si>
  <si>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</si>
  <si>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</si>
  <si>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</si>
  <si>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</si>
  <si>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</si>
  <si>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</si>
  <si>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</si>
  <si>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</si>
  <si>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</si>
  <si>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</si>
  <si>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</si>
  <si>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</si>
  <si>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</si>
  <si>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</si>
  <si>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</si>
  <si>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</si>
  <si>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</si>
  <si>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</si>
  <si>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</si>
  <si>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</si>
  <si>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</si>
  <si>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</si>
  <si>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</si>
  <si>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</si>
  <si>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</si>
  <si>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</si>
  <si>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</si>
  <si>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</si>
  <si>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</si>
  <si>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</si>
  <si>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</si>
  <si>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</si>
  <si>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</si>
  <si>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</si>
  <si>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</si>
  <si>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</si>
  <si>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</si>
  <si>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</si>
  <si>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</si>
  <si>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</si>
  <si>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</si>
  <si>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</si>
  <si>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</si>
  <si>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</si>
  <si>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</si>
  <si>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</si>
  <si>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</si>
  <si>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</si>
  <si>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</si>
  <si>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</si>
  <si>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</si>
  <si>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</si>
  <si>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</si>
  <si>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</si>
  <si>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</si>
  <si>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</si>
  <si>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</si>
  <si>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</si>
  <si>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</si>
  <si>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</si>
  <si>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</si>
  <si>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</si>
  <si>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</si>
  <si>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</si>
  <si>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</si>
  <si>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</si>
  <si>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</si>
  <si>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</si>
  <si>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</si>
  <si>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</si>
  <si>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</si>
  <si>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</si>
  <si>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</si>
  <si>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</si>
  <si>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</si>
  <si>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</si>
  <si>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</si>
  <si>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</si>
  <si>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</si>
  <si>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</si>
  <si>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</si>
  <si>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</si>
  <si>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</si>
  <si>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</si>
  <si>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</si>
  <si>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</si>
  <si>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</si>
  <si>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</si>
  <si>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</si>
  <si>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</si>
  <si>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</si>
  <si>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</si>
  <si>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</si>
  <si>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</si>
  <si>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</si>
  <si>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</si>
  <si>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</si>
  <si>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</si>
  <si>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</si>
  <si>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</si>
  <si>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</si>
  <si>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</si>
  <si>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</si>
  <si>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</si>
  <si>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</si>
  <si>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</si>
  <si>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</si>
  <si>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</si>
  <si>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</si>
  <si>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</si>
  <si>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</si>
  <si>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</si>
  <si>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</si>
  <si>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</si>
  <si>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</si>
  <si>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</si>
  <si>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</si>
  <si>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</si>
  <si>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</si>
  <si>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</si>
  <si>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</si>
  <si>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</si>
  <si>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</si>
  <si>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</si>
  <si>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</si>
  <si>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</si>
  <si>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</si>
  <si>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</si>
  <si>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</si>
  <si>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</si>
  <si>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</si>
  <si>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</si>
  <si>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</si>
  <si>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</si>
  <si>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</si>
  <si>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</si>
  <si>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</si>
  <si>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</si>
  <si>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</si>
  <si>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</si>
  <si>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</si>
  <si>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</si>
  <si>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</si>
  <si>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</si>
  <si>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</si>
  <si>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</si>
  <si>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</si>
  <si>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</si>
  <si>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</si>
  <si>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</si>
  <si>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</si>
  <si>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</si>
  <si>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</si>
  <si>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</si>
  <si>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</si>
  <si>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</si>
  <si>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</si>
  <si>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</si>
  <si>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</si>
  <si>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</si>
  <si>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</si>
  <si>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</si>
  <si>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</si>
  <si>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</si>
  <si>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</si>
  <si>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</si>
  <si>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</si>
  <si>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</si>
  <si>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</si>
  <si>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</si>
  <si>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</si>
  <si>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</si>
  <si>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</si>
  <si>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</si>
  <si>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</si>
  <si>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</si>
  <si>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</si>
  <si>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</si>
  <si>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</si>
  <si>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</si>
  <si>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</si>
  <si>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</si>
  <si>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</si>
  <si>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</si>
  <si>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</si>
  <si>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</si>
  <si>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</si>
  <si>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</si>
  <si>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</si>
  <si>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</si>
  <si>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</si>
  <si>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</si>
  <si>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</si>
  <si>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</si>
  <si>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</si>
  <si>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</si>
  <si>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</si>
  <si>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</si>
  <si>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</si>
  <si>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</si>
  <si>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</si>
  <si>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</si>
  <si>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</si>
  <si>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</si>
  <si>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</si>
  <si>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</si>
  <si>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</si>
  <si>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</si>
  <si>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</si>
  <si>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</si>
  <si>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</si>
  <si>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</si>
  <si>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</si>
  <si>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</si>
  <si>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</si>
  <si>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</si>
  <si>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</si>
  <si>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</si>
  <si>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</si>
  <si>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</si>
  <si>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</si>
  <si>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</si>
  <si>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</si>
  <si>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</si>
  <si>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</si>
  <si>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</si>
  <si>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</si>
  <si>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</si>
  <si>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</si>
  <si>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</si>
  <si>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</si>
  <si>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</si>
  <si>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</si>
  <si>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</si>
  <si>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</si>
  <si>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</si>
  <si>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</si>
  <si>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</si>
  <si>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</si>
  <si>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</si>
  <si>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</si>
  <si>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</si>
  <si>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</si>
  <si>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</si>
  <si>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</si>
  <si>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</si>
  <si>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</si>
  <si>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</si>
  <si>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</si>
  <si>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</si>
  <si>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</si>
  <si>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</si>
  <si>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</si>
  <si>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</si>
  <si>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</si>
  <si>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</si>
  <si>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</si>
  <si>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</si>
  <si>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</si>
  <si>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</si>
  <si>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</si>
  <si>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</si>
  <si>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</si>
  <si>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</si>
  <si>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</si>
  <si>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</si>
  <si>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</si>
  <si>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</si>
  <si>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</si>
  <si>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</si>
  <si>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</si>
  <si>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</si>
  <si>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</si>
  <si>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</si>
  <si>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</si>
  <si>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</si>
  <si>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</si>
  <si>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</si>
  <si>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</si>
  <si>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</si>
  <si>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</si>
  <si>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</si>
  <si>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</si>
  <si>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</si>
  <si>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</si>
  <si>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</si>
  <si>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</si>
  <si>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</si>
  <si>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</si>
  <si>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</si>
  <si>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</si>
  <si>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</si>
  <si>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</si>
  <si>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</si>
  <si>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</si>
  <si>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</si>
  <si>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</si>
  <si>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</si>
  <si>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</si>
  <si>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</si>
  <si>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</si>
  <si>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</si>
  <si>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</si>
  <si>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</si>
  <si>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</si>
  <si>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</si>
  <si>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</si>
  <si>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</si>
  <si>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</si>
  <si>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</si>
  <si>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</si>
  <si>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</si>
  <si>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</si>
  <si>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</si>
  <si>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</si>
  <si>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</si>
  <si>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</si>
  <si>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</si>
  <si>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</si>
  <si>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</si>
  <si>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</si>
  <si>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</si>
  <si>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</si>
  <si>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</si>
  <si>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</si>
  <si>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</si>
  <si>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</si>
  <si>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</si>
  <si>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</si>
  <si>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</si>
  <si>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</si>
  <si>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</si>
  <si>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</si>
  <si>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</si>
  <si>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</si>
  <si>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</si>
  <si>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</si>
  <si>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</si>
  <si>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</si>
  <si>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</si>
  <si>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</si>
  <si>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</si>
  <si>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</si>
  <si>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</si>
  <si>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</si>
  <si>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</si>
  <si>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</si>
  <si>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</si>
  <si>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</si>
  <si>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</si>
  <si>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</si>
  <si>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</si>
  <si>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</si>
  <si>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</si>
  <si>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</si>
  <si>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</si>
  <si>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</si>
  <si>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</si>
  <si>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</si>
  <si>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</si>
  <si>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</si>
  <si>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</si>
  <si>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</si>
  <si>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</si>
  <si>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</si>
  <si>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</si>
  <si>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</si>
  <si>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</si>
  <si>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</si>
  <si>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</si>
  <si>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</si>
  <si>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</si>
  <si>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</si>
  <si>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</si>
  <si>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</si>
  <si>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</si>
  <si>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</si>
  <si>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</si>
  <si>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</si>
  <si>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</si>
  <si>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</si>
  <si>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</si>
  <si>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</si>
  <si>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</si>
  <si>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</si>
  <si>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</si>
  <si>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</si>
  <si>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</si>
  <si>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</si>
  <si>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</si>
  <si>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</si>
  <si>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</si>
  <si>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</si>
  <si>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</si>
  <si>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</si>
  <si>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</si>
  <si>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</si>
  <si>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</si>
  <si>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</si>
  <si>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</si>
  <si>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</si>
  <si>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</si>
  <si>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 xml:space="preserve">上場廃止  </t>
  </si>
  <si>
    <t xml:space="preserve">Removal  </t>
  </si>
  <si>
    <t xml:space="preserve">2026/06/29  </t>
  </si>
  <si>
    <t>整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</si>
  <si>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</si>
  <si>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</si>
  <si>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</si>
  <si>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</si>
  <si>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</si>
  <si>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</si>
  <si>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</si>
  <si>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</si>
  <si>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</si>
  <si>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</si>
  <si>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</si>
  <si>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</si>
  <si>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</si>
  <si>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</si>
  <si>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</si>
  <si>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</si>
  <si>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</si>
  <si>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</si>
  <si>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</si>
  <si>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</si>
  <si>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</si>
  <si>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</si>
  <si>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</si>
  <si>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</si>
  <si>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</si>
  <si>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</si>
  <si>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</si>
  <si>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</si>
  <si>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</si>
  <si>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</si>
  <si>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</si>
  <si>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</si>
  <si>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</si>
  <si>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</si>
  <si>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</si>
  <si>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</si>
  <si>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</si>
  <si>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</si>
  <si>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</si>
  <si>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</si>
  <si>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</si>
  <si>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</si>
  <si>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</si>
  <si>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</si>
  <si>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</si>
  <si>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</si>
  <si>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</si>
  <si>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</si>
  <si>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</si>
  <si>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</si>
  <si>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</si>
  <si>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</si>
  <si>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</si>
  <si>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</si>
  <si>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</si>
  <si>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</si>
  <si>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</si>
  <si>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</si>
  <si>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</si>
  <si>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</si>
  <si>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</si>
  <si>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</si>
  <si>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</si>
  <si>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</si>
  <si>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</si>
  <si>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</si>
  <si>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</si>
  <si>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</si>
  <si>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</si>
  <si>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</si>
  <si>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</si>
  <si>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</si>
  <si>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</si>
  <si>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</si>
  <si>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</si>
  <si>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</si>
  <si>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</si>
  <si>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</si>
  <si>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</si>
  <si>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</si>
  <si>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</si>
  <si>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</si>
  <si>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</si>
  <si>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</si>
  <si>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</si>
  <si>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</si>
  <si>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</si>
  <si>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</si>
  <si>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</si>
  <si>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</si>
  <si>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</si>
  <si>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</si>
  <si>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</si>
  <si>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</si>
  <si>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</si>
  <si>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</si>
  <si>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</si>
  <si>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</si>
  <si>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</si>
  <si>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</si>
  <si>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</si>
  <si>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</si>
  <si>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</si>
  <si>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</si>
  <si>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</si>
  <si>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</si>
  <si>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</si>
  <si>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</si>
  <si>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</si>
  <si>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</si>
  <si>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</si>
  <si>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</si>
  <si>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</si>
  <si>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</si>
  <si>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</si>
  <si>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</si>
  <si>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</si>
  <si>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</si>
  <si>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</si>
  <si>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</si>
  <si>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</si>
  <si>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</si>
  <si>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</si>
  <si>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</si>
  <si>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</si>
  <si>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</si>
  <si>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</si>
  <si>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</si>
  <si>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</si>
  <si>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</si>
  <si>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</si>
  <si>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</si>
  <si>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</si>
  <si>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</si>
  <si>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</si>
  <si>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</si>
  <si>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</si>
  <si>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</si>
  <si>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</si>
  <si>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</si>
  <si>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</si>
  <si>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</si>
  <si>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</si>
  <si>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</si>
  <si>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 xml:space="preserve">新株落ち  </t>
  </si>
  <si>
    <t xml:space="preserve">ex-subscription right  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</si>
  <si>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</si>
  <si>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</si>
  <si>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</si>
  <si>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</si>
  <si>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</si>
  <si>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</si>
  <si>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</si>
  <si>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</si>
  <si>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</si>
  <si>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</si>
  <si>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</si>
  <si>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</si>
  <si>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</si>
  <si>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</si>
  <si>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</si>
  <si>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</si>
  <si>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</si>
  <si>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</si>
  <si>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</si>
  <si>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</si>
  <si>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</si>
  <si>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</si>
  <si>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</si>
  <si>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</si>
  <si>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</si>
  <si>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</si>
  <si>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</si>
  <si>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</si>
  <si>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</si>
  <si>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</si>
  <si>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</si>
  <si>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</si>
  <si>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</si>
  <si>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</si>
  <si>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</si>
  <si>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</si>
  <si>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</si>
  <si>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</si>
  <si>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</si>
  <si>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</si>
  <si>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</si>
  <si>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</si>
  <si>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</si>
  <si>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</si>
  <si>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</si>
  <si>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</si>
  <si>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</si>
  <si>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</si>
  <si>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</si>
  <si>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</si>
  <si>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</si>
  <si>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</si>
  <si>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</si>
  <si>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</si>
  <si>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</si>
  <si>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</si>
  <si>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</si>
  <si>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</si>
  <si>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</si>
  <si>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</si>
  <si>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</si>
  <si>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</si>
  <si>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</si>
  <si>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</si>
  <si>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</si>
  <si>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</si>
  <si>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</si>
  <si>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</si>
  <si>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</si>
  <si>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</si>
  <si>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</si>
  <si>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</si>
  <si>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</si>
  <si>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</si>
  <si>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</si>
  <si>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</si>
  <si>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</si>
  <si>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</si>
  <si>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</si>
  <si>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</si>
  <si>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</si>
  <si>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</si>
  <si>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</si>
  <si>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</si>
  <si>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</si>
  <si>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</si>
  <si>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</si>
  <si>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</si>
  <si>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</si>
  <si>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</si>
  <si>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</si>
  <si>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</si>
  <si>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</si>
  <si>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</si>
  <si>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</si>
  <si>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</si>
  <si>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</si>
  <si>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</si>
  <si>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</si>
  <si>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</si>
  <si>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</si>
  <si>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</si>
  <si>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</si>
  <si>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</si>
  <si>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</si>
  <si>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</si>
  <si>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</si>
  <si>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</si>
  <si>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</si>
  <si>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</si>
  <si>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</si>
  <si>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</si>
  <si>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</si>
  <si>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</si>
  <si>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</si>
  <si>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</si>
  <si>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</si>
  <si>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</si>
  <si>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</si>
  <si>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</si>
  <si>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</si>
  <si>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</si>
  <si>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</si>
  <si>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</si>
  <si>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</si>
  <si>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</si>
  <si>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</si>
  <si>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</si>
  <si>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</si>
  <si>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</si>
  <si>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</si>
  <si>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</si>
  <si>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</si>
  <si>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</si>
  <si>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</si>
  <si>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</si>
  <si>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</si>
  <si>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</si>
  <si>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</si>
  <si>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</si>
  <si>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</si>
  <si>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</si>
  <si>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</si>
  <si>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</si>
  <si>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</si>
  <si>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</si>
  <si>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</si>
  <si>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</si>
  <si>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</si>
  <si>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</si>
  <si>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</si>
  <si>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</si>
  <si>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</si>
  <si>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</si>
  <si>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</si>
  <si>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</si>
  <si>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</si>
  <si>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</si>
  <si>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</si>
  <si>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</si>
  <si>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</si>
  <si>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</si>
  <si>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</si>
  <si>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</si>
  <si>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</si>
  <si>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</si>
  <si>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</si>
  <si>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</si>
  <si>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</si>
  <si>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</si>
  <si>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</si>
  <si>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</si>
  <si>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</si>
  <si>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</si>
  <si>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</si>
  <si>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</si>
  <si>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</si>
  <si>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</si>
  <si>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</si>
  <si>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</si>
  <si>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</si>
  <si>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</si>
  <si>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</si>
  <si>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</si>
  <si>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</si>
  <si>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</si>
  <si>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</si>
  <si>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</si>
  <si>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</si>
  <si>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</si>
  <si>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</si>
  <si>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</si>
  <si>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</si>
  <si>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</si>
  <si>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</si>
  <si>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</si>
  <si>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</si>
  <si>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</si>
  <si>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</si>
  <si>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</si>
  <si>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</si>
  <si>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</si>
  <si>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</si>
  <si>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</si>
  <si>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</si>
  <si>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</si>
  <si>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</si>
  <si>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</si>
  <si>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</si>
  <si>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</si>
  <si>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</si>
  <si>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</si>
  <si>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</si>
  <si>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</si>
  <si>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</si>
  <si>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</si>
  <si>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</si>
  <si>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</si>
  <si>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</si>
  <si>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</si>
  <si>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</si>
  <si>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</si>
  <si>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</si>
  <si>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</si>
  <si>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</si>
  <si>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</si>
  <si>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</si>
  <si>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</si>
  <si>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</si>
  <si>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</si>
  <si>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</si>
  <si>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</si>
  <si>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</si>
  <si>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</si>
  <si>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</si>
  <si>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</si>
  <si>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</si>
  <si>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</si>
  <si>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</si>
  <si>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</si>
  <si>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</si>
  <si>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</si>
  <si>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</si>
  <si>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</si>
  <si>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</si>
  <si>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</si>
  <si>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</si>
  <si>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</si>
  <si>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</si>
  <si>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</si>
  <si>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</si>
  <si>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</si>
  <si>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</si>
  <si>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</si>
  <si>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</si>
  <si>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</si>
  <si>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</si>
  <si>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</si>
  <si>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</si>
  <si>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</si>
  <si>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</si>
  <si>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</si>
  <si>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</si>
  <si>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</si>
  <si>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</si>
  <si>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</si>
  <si>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</si>
  <si>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</si>
  <si>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</si>
  <si>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</si>
  <si>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</si>
  <si>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</si>
  <si>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</si>
  <si>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</si>
  <si>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</si>
  <si>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</si>
  <si>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</si>
  <si>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</si>
  <si>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</si>
  <si>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</si>
  <si>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</si>
  <si>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</si>
  <si>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</si>
  <si>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</si>
  <si>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</si>
  <si>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</si>
  <si>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</si>
  <si>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</si>
  <si>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</si>
  <si>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</si>
  <si>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</si>
  <si>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</si>
  <si>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</si>
  <si>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</si>
  <si>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</si>
  <si>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</si>
  <si>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</si>
  <si>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</si>
  <si>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</si>
  <si>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</si>
  <si>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</si>
  <si>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</si>
  <si>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</si>
  <si>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</si>
  <si>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</si>
  <si>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</si>
  <si>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</si>
  <si>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</si>
  <si>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</si>
  <si>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</si>
  <si>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</si>
  <si>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</si>
  <si>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</si>
  <si>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</si>
  <si>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</si>
  <si>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</si>
  <si>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</si>
  <si>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</si>
  <si>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</si>
  <si>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</si>
  <si>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</si>
  <si>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</si>
  <si>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</si>
  <si>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</si>
  <si>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</si>
  <si>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</si>
  <si>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</si>
  <si>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</si>
  <si>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</si>
  <si>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</si>
  <si>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</si>
  <si>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</si>
  <si>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</si>
  <si>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</si>
  <si>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</si>
  <si>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</si>
  <si>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</si>
  <si>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</si>
  <si>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</si>
  <si>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</si>
  <si>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</si>
  <si>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</si>
  <si>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</si>
  <si>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</si>
  <si>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</si>
  <si>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</si>
  <si>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</si>
  <si>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</si>
  <si>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</si>
  <si>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</si>
  <si>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</si>
  <si>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</si>
  <si>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</si>
  <si>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</si>
  <si>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</si>
  <si>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</si>
  <si>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</si>
  <si>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</si>
  <si>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</si>
  <si>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</si>
  <si>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</si>
  <si>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</si>
  <si>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</si>
  <si>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</si>
  <si>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</si>
  <si>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</si>
  <si>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</si>
  <si>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</si>
  <si>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</si>
  <si>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</si>
  <si>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</si>
  <si>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</si>
  <si>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</si>
  <si>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</si>
  <si>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</si>
  <si>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</si>
  <si>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</si>
  <si>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</si>
  <si>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</si>
  <si>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</si>
  <si>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</si>
  <si>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</si>
  <si>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</si>
  <si>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</si>
  <si>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</si>
  <si>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</si>
  <si>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</si>
  <si>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</si>
  <si>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</si>
  <si>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</si>
  <si>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</si>
  <si>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</si>
  <si>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</si>
  <si>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</si>
  <si>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</si>
  <si>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</si>
  <si>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</si>
  <si>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</si>
  <si>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</si>
  <si>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</si>
  <si>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</si>
  <si>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</si>
  <si>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</si>
  <si>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</si>
  <si>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</si>
  <si>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</si>
  <si>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</si>
  <si>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</si>
  <si>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</si>
  <si>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</si>
  <si>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</si>
  <si>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</si>
  <si>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</si>
  <si>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</si>
  <si>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</si>
  <si>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</si>
  <si>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</si>
  <si>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</si>
  <si>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</si>
  <si>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</si>
  <si>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</si>
  <si>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</si>
  <si>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</si>
  <si>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</si>
  <si>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</si>
  <si>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</si>
  <si>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</si>
  <si>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</si>
  <si>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</si>
  <si>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</si>
  <si>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</si>
  <si>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</si>
  <si>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</si>
  <si>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</si>
  <si>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</si>
  <si>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</si>
  <si>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</si>
  <si>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</si>
  <si>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</si>
  <si>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</si>
  <si>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</si>
  <si>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</si>
  <si>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</si>
  <si>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</si>
  <si>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</si>
  <si>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</si>
  <si>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</si>
  <si>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</si>
  <si>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</si>
  <si>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</si>
  <si>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</si>
  <si>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</si>
  <si>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</si>
  <si>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</si>
  <si>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</si>
  <si>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</si>
  <si>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</si>
  <si>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</si>
  <si>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</si>
  <si>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</si>
  <si>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</si>
  <si>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</si>
  <si>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</si>
  <si>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</si>
  <si>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</si>
  <si>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</si>
  <si>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</si>
  <si>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</si>
  <si>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</si>
  <si>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</si>
  <si>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</si>
  <si>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</si>
  <si>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</si>
  <si>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</si>
  <si>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</si>
  <si>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</si>
  <si>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</si>
  <si>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</si>
  <si>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</si>
  <si>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</si>
  <si>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</si>
  <si>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</si>
  <si>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</si>
  <si>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</si>
  <si>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</si>
  <si>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</si>
  <si>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</si>
  <si>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</si>
  <si>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</si>
  <si>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</si>
  <si>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</si>
  <si>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</si>
  <si>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</si>
  <si>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</si>
  <si>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</si>
  <si>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</si>
  <si>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</si>
  <si>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</si>
  <si>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</si>
  <si>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</si>
  <si>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</si>
  <si>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</si>
  <si>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</si>
  <si>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</si>
  <si>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</si>
  <si>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</si>
  <si>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</si>
  <si>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</si>
  <si>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</si>
  <si>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</si>
  <si>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</si>
  <si>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</si>
  <si>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</si>
  <si>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</si>
  <si>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</si>
  <si>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</si>
  <si>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</si>
  <si>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</si>
  <si>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</si>
  <si>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</si>
  <si>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</si>
  <si>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</si>
  <si>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</si>
  <si>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</si>
  <si>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</si>
  <si>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</si>
  <si>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</si>
  <si>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</si>
  <si>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</si>
  <si>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</si>
  <si>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</si>
  <si>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>509A</t>
  </si>
  <si>
    <t>グリーンライト・再エネインフラ投資法人　投資証券</t>
  </si>
  <si>
    <t>Green Light Renewable Energy Infrastructure Fund</t>
  </si>
  <si>
    <t>512A</t>
  </si>
  <si>
    <t>グローバルＸ　ステーブルコイン＆トークンビジネス　ＥＴＦ（除く日本）　受益証券</t>
  </si>
  <si>
    <t>Global X Stablecoins &amp; Tokenization ETF (ex-Japan)</t>
  </si>
  <si>
    <t>513A</t>
  </si>
  <si>
    <t>グローバルＸ　防衛テック－日本株式　ＥＴＦ　受益証券</t>
  </si>
  <si>
    <t>Global X Japan Defense Tech ETF</t>
  </si>
  <si>
    <t>515A</t>
  </si>
  <si>
    <t>ｉシェアーズ　高格付け日本円社債　ＥＴＦ　受益証券</t>
  </si>
  <si>
    <t>iShares JPY Investment Grade Corporate Bond Active ETF</t>
  </si>
  <si>
    <t>516A</t>
  </si>
  <si>
    <t>ｉＦｒｅｅＥＴＦ　米ドル・ブル（１倍）　受益証券</t>
  </si>
  <si>
    <t>iFreeETF US Dollar Bull (1x)</t>
  </si>
  <si>
    <t>517A</t>
  </si>
  <si>
    <t>ｉＦｒｅｅＥＴＦ　米ドル・ベア（１倍）　受益証券</t>
  </si>
  <si>
    <t>iFreeETF US Dollar Bear (1x)</t>
  </si>
  <si>
    <t>518A</t>
  </si>
  <si>
    <t>ＮＥＸＴ　ＦＵＮＤＳ　ＦＴＳＥ日本株高配当キャッシュフロー５０指数連動型上場投信　受益証券</t>
  </si>
  <si>
    <t>NEXT FUNDS FTSE Japan ex-REITs High Income Cash Flow 50 Index Exchange Traded Fund</t>
  </si>
  <si>
    <t>521A</t>
  </si>
  <si>
    <t>ｉＦｒｅｅＥＴＦ　ＦＡＮＧ＋ゴールド　受益証券</t>
  </si>
  <si>
    <t>iFreeETF FANG+GOLD</t>
  </si>
  <si>
    <t>526A</t>
  </si>
  <si>
    <t>ＪＰＸスタートアップ急成長１００ＥＴＦ　受益証券</t>
  </si>
  <si>
    <t>JPX Startup100 ETF</t>
  </si>
  <si>
    <t>530A</t>
  </si>
  <si>
    <t>ＮＺＡＭ　上場投信　東証ＲＥＩＴ指数（２・５・８・１１月決算型）　受益証券</t>
  </si>
  <si>
    <t>NZAM ETF J-REIT Index(2 5 8 11)</t>
  </si>
  <si>
    <t>531A</t>
  </si>
  <si>
    <t>ＮＺＡＭ　上場投信　日経平均高配当株５０　受益証券</t>
  </si>
  <si>
    <t>NZAM ETF Nikkei High Dividend 50</t>
  </si>
  <si>
    <t>532A</t>
  </si>
  <si>
    <t>ＮＺＡＭ　上場投信　ＴＯＰＩＸ高配当４０　受益証券</t>
  </si>
  <si>
    <t>NZAM ETF TOPIX High Dividend 40</t>
  </si>
  <si>
    <t>533A</t>
  </si>
  <si>
    <t>ＮＺＡＭ　上場投信　Ｓ＆Ｐ５００（為替ヘッジなし）　受益証券</t>
  </si>
  <si>
    <t>NZAM ETF S&amp;P500(Unhedged)</t>
  </si>
  <si>
    <t>534A</t>
  </si>
  <si>
    <t>ＮＺＡＭ　上場投信　ＮＡＳＤＡＱ１００（為替ヘッジなし）　受益証券</t>
  </si>
  <si>
    <t>NZAM ETF NASDAQ100(Unhedged)</t>
  </si>
  <si>
    <t>535A</t>
  </si>
  <si>
    <t>ＮＺＡＭ　上場投信　ＤＡＸ（為替ヘッジなし）　受益証券</t>
  </si>
  <si>
    <t>NZAM ETF DAX(Unhedged)</t>
  </si>
  <si>
    <t>536A</t>
  </si>
  <si>
    <t>ＮＺＡＭ　上場投信　先進国株式（ＭＳＣＩ－ＫＯＫＵＳＡＩ）（為替ヘッジなし）　受益証券</t>
  </si>
  <si>
    <t>NZAM ETF MSCI-KOKUSAI(Unhedged)</t>
  </si>
  <si>
    <t>537A</t>
  </si>
  <si>
    <t>ＮＺＡＭ　上場投信　全世界株式（ＭＳＣＩ　ＡＣＷＩ）（為替ヘッジなし）　受益証券</t>
  </si>
  <si>
    <t>NZAM ETF MSCI ACWI(Unhedged)</t>
  </si>
  <si>
    <t>538A</t>
  </si>
  <si>
    <t>ＮＺＡＭ　上場投信　米国国債７－１０年（為替ヘッジなし）　受益証券</t>
  </si>
  <si>
    <t>NZAM ETF US Treasury 7-10Y(Unhedged)</t>
  </si>
  <si>
    <t>539A</t>
  </si>
  <si>
    <t>ＮＺＡＭ　上場投信　海外債券（ＦＴＳＥ　ＷＧＢＩ除く日本）（為替ヘッジなし）　受益証券</t>
  </si>
  <si>
    <t>NZAM ETF FTSE WGBI ex Japan(Unhedged)</t>
  </si>
  <si>
    <t>540A</t>
  </si>
  <si>
    <t>上場インデックスファンド日経銀行株トップ１０　受益証券</t>
  </si>
  <si>
    <t>Listed Index Fund Nikkei Bank Stock Top 10</t>
  </si>
  <si>
    <t>541A</t>
  </si>
  <si>
    <t>Ｏｎｅ　ＥＴＦ　ＴＯＰＩＸ高配当株グロース指数　受益証券</t>
  </si>
  <si>
    <t>One ETF TOPIX High Dividend Growth Index</t>
  </si>
  <si>
    <t>552A</t>
  </si>
  <si>
    <t>ＭＡＸＩＳ米国ＡＩインフラ株上場投信　受益証券</t>
  </si>
  <si>
    <t>MAXIS US AI Infrastructure Equity ETF</t>
  </si>
  <si>
    <t>563A</t>
  </si>
  <si>
    <t>グローバルＸ　ＮＡＳＤＡＱ１００・デイリー・カバード・コール　ＥＴＦ　受益証券</t>
  </si>
  <si>
    <t>Global X Nasdaq 100 Daily Covered Call ETF</t>
  </si>
  <si>
    <t>564A</t>
  </si>
  <si>
    <t>グローバルＸ　Ｓ＆Ｐ先進国キャッシュフロー・トップ１００　ＥＴＦ　受益証券</t>
  </si>
  <si>
    <t>Global X S&amp;P Developed Cash Flow Top 100 ETF</t>
  </si>
  <si>
    <t>566A</t>
  </si>
  <si>
    <t>ｉＦｒｅｅＥＴＦ　ブルームバーグ日本株（除く金融）高配当５０指数　受益証券</t>
  </si>
  <si>
    <t>iFreeETF Bloomberg Japan ex-Financials High Dividend 50 Index</t>
  </si>
  <si>
    <t>568A</t>
  </si>
  <si>
    <t>ｉシェアーズ　シルバー　ＥＴＦ　受益証券</t>
  </si>
  <si>
    <t>iShares Silver ETF</t>
  </si>
  <si>
    <t>569A</t>
  </si>
  <si>
    <t>ｉシェアーズ　プラチナ　ＥＴＦ　受益証券</t>
  </si>
  <si>
    <t>iShares Platinum ETF</t>
  </si>
  <si>
    <t>570A</t>
  </si>
  <si>
    <t>ｉシェアーズ　日本国債０－１年　ＥＴＦ　受益証券</t>
  </si>
  <si>
    <t>iShares 0-1 Year Japan Government Bond ETF</t>
  </si>
  <si>
    <t>571A</t>
  </si>
  <si>
    <t>ｉシェアーズ　日本国債１－３年　ＥＴＦ　受益証券</t>
  </si>
  <si>
    <t>iShares 1-3 Year Japan Government Bond ETF</t>
  </si>
  <si>
    <t>572A</t>
  </si>
  <si>
    <t>ｉシェアーズ　日本国債３－７年　ＥＴＦ　受益証券</t>
  </si>
  <si>
    <t>iShares 3-7 Year Japan Government Bond ETF</t>
  </si>
  <si>
    <t>573A</t>
  </si>
  <si>
    <t>ｉシェアーズ　日本国債２０年超　ＥＴＦ　受益証券</t>
  </si>
  <si>
    <t>iShares 20+ Year Japan Government Bond ETF</t>
  </si>
  <si>
    <t>576A</t>
  </si>
  <si>
    <t>グローバルＸ　チャイナテック・カバード・コール　ＥＴＦ　受益証券</t>
  </si>
  <si>
    <t>Global X China Tech Covered Call ETF</t>
  </si>
  <si>
    <t>577A</t>
  </si>
  <si>
    <t>グローバルＸ　シルバー　ＥＴＦ　受益証券</t>
  </si>
  <si>
    <t>Global X Silver ETF</t>
  </si>
  <si>
    <t>578A</t>
  </si>
  <si>
    <t>グローバルＸ　シルバー　ＥＴＦ（為替ヘッジあり）　受益証券</t>
  </si>
  <si>
    <t>Global X Silver ETF (JPY Hedged)</t>
  </si>
  <si>
    <t>579A</t>
  </si>
  <si>
    <t>グローバルＸ　銀ビジネス　ＥＴＦ　受益証券</t>
  </si>
  <si>
    <t>Global X Silver Miners ETF</t>
  </si>
  <si>
    <t>580A</t>
  </si>
  <si>
    <t>グローバルＸ　銅ビジネス　ＥＴＦ　受益証券</t>
  </si>
  <si>
    <t>Global X Copper Miners ETF</t>
  </si>
  <si>
    <t>585A</t>
  </si>
  <si>
    <t>日本バリュー・ボトムアップ株式投資戦略アクティブＥＴＦ　受益証券</t>
  </si>
  <si>
    <t>NV Bottom Up Equity Investment Strategy Active ETF</t>
  </si>
  <si>
    <t xml:space="preserve">新規上場  </t>
  </si>
  <si>
    <t xml:space="preserve">New Listing  </t>
  </si>
  <si>
    <t xml:space="preserve">2026/06/09  </t>
  </si>
  <si>
    <t>586A</t>
  </si>
  <si>
    <t>ＮＥＸＴ　ＦＵＮＤＳ　日経エンタメ・コンテンツ株指数連動型上場投信　受益証券</t>
  </si>
  <si>
    <t>NEXT FUNDS Nikkei Japan Entertainment Content Stock Index Exchange Traded Fund</t>
  </si>
  <si>
    <t>587A</t>
  </si>
  <si>
    <t>インベスコＱＱＱトラスト　シリーズ１　受益証券</t>
  </si>
  <si>
    <t>Invesco QQQ Trust, Series 1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</si>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</sst>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0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4236</f>
        <v>4236.0</v>
      </c>
      <c r="L7" s="34" t="s">
        <v>48</v>
      </c>
      <c r="M7" s="33" t="n">
        <f>4403</f>
        <v>4403.0</v>
      </c>
      <c r="N7" s="34" t="s">
        <v>49</v>
      </c>
      <c r="O7" s="33" t="n">
        <f>4037</f>
        <v>4037.0</v>
      </c>
      <c r="P7" s="34" t="s">
        <v>50</v>
      </c>
      <c r="Q7" s="33" t="n">
        <f>4294</f>
        <v>4294.0</v>
      </c>
      <c r="R7" s="34" t="s">
        <v>51</v>
      </c>
      <c r="S7" s="35" t="n">
        <f>4248.23</f>
        <v>4248.23</v>
      </c>
      <c r="T7" s="32" t="n">
        <f>9193260</f>
        <v>9193260.0</v>
      </c>
      <c r="U7" s="32" t="n">
        <f>2916550</f>
        <v>2916550.0</v>
      </c>
      <c r="V7" s="32" t="n">
        <f>39015377089</f>
        <v>3.9015377089E10</v>
      </c>
      <c r="W7" s="32" t="n">
        <f>12339413569</f>
        <v>1.2339413569E10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417.8</f>
        <v>417.8</v>
      </c>
      <c r="L8" s="34" t="s">
        <v>48</v>
      </c>
      <c r="M8" s="33" t="n">
        <f>435.6</f>
        <v>435.6</v>
      </c>
      <c r="N8" s="34" t="s">
        <v>49</v>
      </c>
      <c r="O8" s="33" t="n">
        <f>399.5</f>
        <v>399.5</v>
      </c>
      <c r="P8" s="34" t="s">
        <v>50</v>
      </c>
      <c r="Q8" s="33" t="n">
        <f>423.6</f>
        <v>423.6</v>
      </c>
      <c r="R8" s="34" t="s">
        <v>51</v>
      </c>
      <c r="S8" s="35" t="n">
        <f>420.3</f>
        <v>420.3</v>
      </c>
      <c r="T8" s="32" t="n">
        <f>747730090</f>
        <v>7.4773009E8</v>
      </c>
      <c r="U8" s="32" t="n">
        <f>222113980</f>
        <v>2.2211398E8</v>
      </c>
      <c r="V8" s="32" t="n">
        <f>313734498032</f>
        <v>3.13734498032E11</v>
      </c>
      <c r="W8" s="32" t="n">
        <f>92732731674</f>
        <v>9.2732731674E10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4132</f>
        <v>4132.0</v>
      </c>
      <c r="L9" s="34" t="s">
        <v>48</v>
      </c>
      <c r="M9" s="33" t="n">
        <f>4303</f>
        <v>4303.0</v>
      </c>
      <c r="N9" s="34" t="s">
        <v>49</v>
      </c>
      <c r="O9" s="33" t="n">
        <f>3946</f>
        <v>3946.0</v>
      </c>
      <c r="P9" s="34" t="s">
        <v>50</v>
      </c>
      <c r="Q9" s="33" t="n">
        <f>4179</f>
        <v>4179.0</v>
      </c>
      <c r="R9" s="34" t="s">
        <v>51</v>
      </c>
      <c r="S9" s="35" t="n">
        <f>4153.45</f>
        <v>4153.45</v>
      </c>
      <c r="T9" s="32" t="n">
        <f>40559532</f>
        <v>4.0559532E7</v>
      </c>
      <c r="U9" s="32" t="n">
        <f>31854030</f>
        <v>3.185403E7</v>
      </c>
      <c r="V9" s="32" t="n">
        <f>169636523119</f>
        <v>1.69636523119E11</v>
      </c>
      <c r="W9" s="32" t="n">
        <f>133435496703</f>
        <v>1.33435496703E11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54360</f>
        <v>54360.0</v>
      </c>
      <c r="L10" s="34" t="s">
        <v>48</v>
      </c>
      <c r="M10" s="33" t="n">
        <f>57740</f>
        <v>57740.0</v>
      </c>
      <c r="N10" s="34" t="s">
        <v>61</v>
      </c>
      <c r="O10" s="33" t="n">
        <f>52540</f>
        <v>52540.0</v>
      </c>
      <c r="P10" s="34" t="s">
        <v>62</v>
      </c>
      <c r="Q10" s="33" t="n">
        <f>56230</f>
        <v>56230.0</v>
      </c>
      <c r="R10" s="34" t="s">
        <v>51</v>
      </c>
      <c r="S10" s="35" t="n">
        <f>54878.18</f>
        <v>54878.18</v>
      </c>
      <c r="T10" s="32" t="n">
        <f>2206</f>
        <v>2206.0</v>
      </c>
      <c r="U10" s="32" t="str">
        <f>"－"</f>
        <v>－</v>
      </c>
      <c r="V10" s="32" t="n">
        <f>121501760</f>
        <v>1.2150176E8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2038</f>
        <v>2038.0</v>
      </c>
      <c r="L11" s="34" t="s">
        <v>48</v>
      </c>
      <c r="M11" s="33" t="n">
        <f>2143</f>
        <v>2143.0</v>
      </c>
      <c r="N11" s="34" t="s">
        <v>66</v>
      </c>
      <c r="O11" s="33" t="n">
        <f>1965</f>
        <v>1965.0</v>
      </c>
      <c r="P11" s="34" t="s">
        <v>50</v>
      </c>
      <c r="Q11" s="33" t="n">
        <f>2045</f>
        <v>2045.0</v>
      </c>
      <c r="R11" s="34" t="s">
        <v>51</v>
      </c>
      <c r="S11" s="35" t="n">
        <f>2058.55</f>
        <v>2058.55</v>
      </c>
      <c r="T11" s="32" t="n">
        <f>951380</f>
        <v>951380.0</v>
      </c>
      <c r="U11" s="32" t="n">
        <f>439592</f>
        <v>439592.0</v>
      </c>
      <c r="V11" s="32" t="n">
        <f>1969150871</f>
        <v>1.969150871E9</v>
      </c>
      <c r="W11" s="32" t="n">
        <f>912850361</f>
        <v>9.12850361E8</v>
      </c>
      <c r="X11" s="36" t="n">
        <f>22</f>
        <v>22.0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730</f>
        <v>730.0</v>
      </c>
      <c r="L12" s="34" t="s">
        <v>48</v>
      </c>
      <c r="M12" s="33" t="n">
        <f>776.7</f>
        <v>776.7</v>
      </c>
      <c r="N12" s="34" t="s">
        <v>70</v>
      </c>
      <c r="O12" s="33" t="n">
        <f>712.4</f>
        <v>712.4</v>
      </c>
      <c r="P12" s="34" t="s">
        <v>71</v>
      </c>
      <c r="Q12" s="33" t="n">
        <f>746.7</f>
        <v>746.7</v>
      </c>
      <c r="R12" s="34" t="s">
        <v>72</v>
      </c>
      <c r="S12" s="35" t="n">
        <f>752.71</f>
        <v>752.71</v>
      </c>
      <c r="T12" s="32" t="n">
        <f>97000</f>
        <v>97000.0</v>
      </c>
      <c r="U12" s="32" t="str">
        <f>"－"</f>
        <v>－</v>
      </c>
      <c r="V12" s="32" t="n">
        <f>72497900</f>
        <v>7.24979E7</v>
      </c>
      <c r="W12" s="32" t="str">
        <f>"－"</f>
        <v>－</v>
      </c>
      <c r="X12" s="36" t="n">
        <f>16</f>
        <v>16.0</v>
      </c>
    </row>
    <row r="13">
      <c r="A13" s="27" t="s">
        <v>42</v>
      </c>
      <c r="B13" s="27" t="s">
        <v>73</v>
      </c>
      <c r="C13" s="27" t="s">
        <v>74</v>
      </c>
      <c r="D13" s="27" t="s">
        <v>75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69170</f>
        <v>69170.0</v>
      </c>
      <c r="L13" s="34" t="s">
        <v>48</v>
      </c>
      <c r="M13" s="33" t="n">
        <f>76030</f>
        <v>76030.0</v>
      </c>
      <c r="N13" s="34" t="s">
        <v>49</v>
      </c>
      <c r="O13" s="33" t="n">
        <f>65010</f>
        <v>65010.0</v>
      </c>
      <c r="P13" s="34" t="s">
        <v>50</v>
      </c>
      <c r="Q13" s="33" t="n">
        <f>73220</f>
        <v>73220.0</v>
      </c>
      <c r="R13" s="34" t="s">
        <v>51</v>
      </c>
      <c r="S13" s="35" t="n">
        <f>71294.55</f>
        <v>71294.55</v>
      </c>
      <c r="T13" s="32" t="n">
        <f>2857550</f>
        <v>2857550.0</v>
      </c>
      <c r="U13" s="32" t="n">
        <f>1578636</f>
        <v>1578636.0</v>
      </c>
      <c r="V13" s="32" t="n">
        <f>202065733081</f>
        <v>2.02065733081E11</v>
      </c>
      <c r="W13" s="32" t="n">
        <f>110944573981</f>
        <v>1.10944573981E11</v>
      </c>
      <c r="X13" s="36" t="n">
        <f>22</f>
        <v>22.0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69420</f>
        <v>69420.0</v>
      </c>
      <c r="L14" s="34" t="s">
        <v>48</v>
      </c>
      <c r="M14" s="33" t="n">
        <f>76330</f>
        <v>76330.0</v>
      </c>
      <c r="N14" s="34" t="s">
        <v>49</v>
      </c>
      <c r="O14" s="33" t="n">
        <f>65270</f>
        <v>65270.0</v>
      </c>
      <c r="P14" s="34" t="s">
        <v>50</v>
      </c>
      <c r="Q14" s="33" t="n">
        <f>73510</f>
        <v>73510.0</v>
      </c>
      <c r="R14" s="34" t="s">
        <v>51</v>
      </c>
      <c r="S14" s="35" t="n">
        <f>71557.73</f>
        <v>71557.73</v>
      </c>
      <c r="T14" s="32" t="n">
        <f>11960750</f>
        <v>1.196075E7</v>
      </c>
      <c r="U14" s="32" t="n">
        <f>513310</f>
        <v>513310.0</v>
      </c>
      <c r="V14" s="32" t="n">
        <f>851238199870</f>
        <v>8.5123819987E11</v>
      </c>
      <c r="W14" s="32" t="n">
        <f>35947698840</f>
        <v>3.594769884E10</v>
      </c>
      <c r="X14" s="36" t="n">
        <f>22</f>
        <v>22.0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12300</f>
        <v>12300.0</v>
      </c>
      <c r="L15" s="34" t="s">
        <v>48</v>
      </c>
      <c r="M15" s="33" t="n">
        <f>12925</f>
        <v>12925.0</v>
      </c>
      <c r="N15" s="34" t="s">
        <v>61</v>
      </c>
      <c r="O15" s="33" t="n">
        <f>11750</f>
        <v>11750.0</v>
      </c>
      <c r="P15" s="34" t="s">
        <v>62</v>
      </c>
      <c r="Q15" s="33" t="n">
        <f>12520</f>
        <v>12520.0</v>
      </c>
      <c r="R15" s="34" t="s">
        <v>51</v>
      </c>
      <c r="S15" s="35" t="n">
        <f>12285.91</f>
        <v>12285.91</v>
      </c>
      <c r="T15" s="32" t="n">
        <f>12670</f>
        <v>12670.0</v>
      </c>
      <c r="U15" s="32" t="str">
        <f>"－"</f>
        <v>－</v>
      </c>
      <c r="V15" s="32" t="n">
        <f>156846935</f>
        <v>1.56846935E8</v>
      </c>
      <c r="W15" s="32" t="str">
        <f>"－"</f>
        <v>－</v>
      </c>
      <c r="X15" s="36" t="n">
        <f>22</f>
        <v>22.0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303.7</f>
        <v>303.7</v>
      </c>
      <c r="L16" s="34" t="s">
        <v>48</v>
      </c>
      <c r="M16" s="33" t="n">
        <f>305.1</f>
        <v>305.1</v>
      </c>
      <c r="N16" s="34" t="s">
        <v>85</v>
      </c>
      <c r="O16" s="33" t="n">
        <f>281.8</f>
        <v>281.8</v>
      </c>
      <c r="P16" s="34" t="s">
        <v>62</v>
      </c>
      <c r="Q16" s="33" t="n">
        <f>299.6</f>
        <v>299.6</v>
      </c>
      <c r="R16" s="34" t="s">
        <v>51</v>
      </c>
      <c r="S16" s="35" t="n">
        <f>292.83</f>
        <v>292.83</v>
      </c>
      <c r="T16" s="32" t="n">
        <f>663350</f>
        <v>663350.0</v>
      </c>
      <c r="U16" s="32" t="n">
        <f>18710</f>
        <v>18710.0</v>
      </c>
      <c r="V16" s="32" t="n">
        <f>194078581</f>
        <v>1.94078581E8</v>
      </c>
      <c r="W16" s="32" t="n">
        <f>5465584</f>
        <v>5465584.0</v>
      </c>
      <c r="X16" s="36" t="n">
        <f>22</f>
        <v>22.0</v>
      </c>
    </row>
    <row r="17">
      <c r="A17" s="27" t="s">
        <v>42</v>
      </c>
      <c r="B17" s="27" t="s">
        <v>86</v>
      </c>
      <c r="C17" s="27" t="s">
        <v>87</v>
      </c>
      <c r="D17" s="27" t="s">
        <v>88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66380</f>
        <v>66380.0</v>
      </c>
      <c r="L17" s="34" t="s">
        <v>48</v>
      </c>
      <c r="M17" s="33" t="n">
        <f>66490</f>
        <v>66490.0</v>
      </c>
      <c r="N17" s="34" t="s">
        <v>48</v>
      </c>
      <c r="O17" s="33" t="n">
        <f>58710</f>
        <v>58710.0</v>
      </c>
      <c r="P17" s="34" t="s">
        <v>51</v>
      </c>
      <c r="Q17" s="33" t="n">
        <f>59690</f>
        <v>59690.0</v>
      </c>
      <c r="R17" s="34" t="s">
        <v>51</v>
      </c>
      <c r="S17" s="35" t="n">
        <f>62591.82</f>
        <v>62591.82</v>
      </c>
      <c r="T17" s="32" t="n">
        <f>311482</f>
        <v>311482.0</v>
      </c>
      <c r="U17" s="32" t="n">
        <f>3300</f>
        <v>3300.0</v>
      </c>
      <c r="V17" s="32" t="n">
        <f>19322313494</f>
        <v>1.9322313494E10</v>
      </c>
      <c r="W17" s="32" t="n">
        <f>209279774</f>
        <v>2.09279774E8</v>
      </c>
      <c r="X17" s="36" t="n">
        <f>22</f>
        <v>22.0</v>
      </c>
    </row>
    <row r="18">
      <c r="A18" s="27" t="s">
        <v>42</v>
      </c>
      <c r="B18" s="27" t="s">
        <v>89</v>
      </c>
      <c r="C18" s="27" t="s">
        <v>90</v>
      </c>
      <c r="D18" s="27" t="s">
        <v>91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17110</f>
        <v>17110.0</v>
      </c>
      <c r="L18" s="34" t="s">
        <v>48</v>
      </c>
      <c r="M18" s="33" t="n">
        <f>17140</f>
        <v>17140.0</v>
      </c>
      <c r="N18" s="34" t="s">
        <v>48</v>
      </c>
      <c r="O18" s="33" t="n">
        <f>15130</f>
        <v>15130.0</v>
      </c>
      <c r="P18" s="34" t="s">
        <v>51</v>
      </c>
      <c r="Q18" s="33" t="n">
        <f>15380</f>
        <v>15380.0</v>
      </c>
      <c r="R18" s="34" t="s">
        <v>51</v>
      </c>
      <c r="S18" s="35" t="n">
        <f>16135.91</f>
        <v>16135.91</v>
      </c>
      <c r="T18" s="32" t="n">
        <f>1072727</f>
        <v>1072727.0</v>
      </c>
      <c r="U18" s="32" t="n">
        <f>48415</f>
        <v>48415.0</v>
      </c>
      <c r="V18" s="32" t="n">
        <f>17162052108</f>
        <v>1.7162052108E10</v>
      </c>
      <c r="W18" s="32" t="n">
        <f>793212878</f>
        <v>7.93212878E8</v>
      </c>
      <c r="X18" s="36" t="n">
        <f>22</f>
        <v>22.0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6908</f>
        <v>6908.0</v>
      </c>
      <c r="L19" s="34" t="s">
        <v>48</v>
      </c>
      <c r="M19" s="33" t="n">
        <f>7595</f>
        <v>7595.0</v>
      </c>
      <c r="N19" s="34" t="s">
        <v>49</v>
      </c>
      <c r="O19" s="33" t="n">
        <f>6492</f>
        <v>6492.0</v>
      </c>
      <c r="P19" s="34" t="s">
        <v>50</v>
      </c>
      <c r="Q19" s="33" t="n">
        <f>7311</f>
        <v>7311.0</v>
      </c>
      <c r="R19" s="34" t="s">
        <v>51</v>
      </c>
      <c r="S19" s="35" t="n">
        <f>7121.68</f>
        <v>7121.68</v>
      </c>
      <c r="T19" s="32" t="n">
        <f>27783498</f>
        <v>2.7783498E7</v>
      </c>
      <c r="U19" s="32" t="n">
        <f>8254122</f>
        <v>8254122.0</v>
      </c>
      <c r="V19" s="32" t="n">
        <f>197558253339</f>
        <v>1.97558253339E11</v>
      </c>
      <c r="W19" s="32" t="n">
        <f>59153668074</f>
        <v>5.9153668074E10</v>
      </c>
      <c r="X19" s="36" t="n">
        <f>22</f>
        <v>22.0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69440</f>
        <v>69440.0</v>
      </c>
      <c r="L20" s="34" t="s">
        <v>48</v>
      </c>
      <c r="M20" s="33" t="n">
        <f>76400</f>
        <v>76400.0</v>
      </c>
      <c r="N20" s="34" t="s">
        <v>49</v>
      </c>
      <c r="O20" s="33" t="n">
        <f>65340</f>
        <v>65340.0</v>
      </c>
      <c r="P20" s="34" t="s">
        <v>50</v>
      </c>
      <c r="Q20" s="33" t="n">
        <f>73390</f>
        <v>73390.0</v>
      </c>
      <c r="R20" s="34" t="s">
        <v>51</v>
      </c>
      <c r="S20" s="35" t="n">
        <f>71622.73</f>
        <v>71622.73</v>
      </c>
      <c r="T20" s="32" t="n">
        <f>1473833</f>
        <v>1473833.0</v>
      </c>
      <c r="U20" s="32" t="n">
        <f>225019</f>
        <v>225019.0</v>
      </c>
      <c r="V20" s="32" t="n">
        <f>105113078634</f>
        <v>1.05113078634E11</v>
      </c>
      <c r="W20" s="32" t="n">
        <f>16051859724</f>
        <v>1.6051859724E10</v>
      </c>
      <c r="X20" s="36" t="n">
        <f>22</f>
        <v>22.0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1078</f>
        <v>1078.0</v>
      </c>
      <c r="L21" s="34" t="s">
        <v>48</v>
      </c>
      <c r="M21" s="33" t="n">
        <f>1101</f>
        <v>1101.0</v>
      </c>
      <c r="N21" s="34" t="s">
        <v>51</v>
      </c>
      <c r="O21" s="33" t="n">
        <f>1078</f>
        <v>1078.0</v>
      </c>
      <c r="P21" s="34" t="s">
        <v>48</v>
      </c>
      <c r="Q21" s="33" t="n">
        <f>1099</f>
        <v>1099.0</v>
      </c>
      <c r="R21" s="34" t="s">
        <v>51</v>
      </c>
      <c r="S21" s="35" t="n">
        <f>1088.45</f>
        <v>1088.45</v>
      </c>
      <c r="T21" s="32" t="n">
        <f>8537312</f>
        <v>8537312.0</v>
      </c>
      <c r="U21" s="32" t="n">
        <f>4580000</f>
        <v>4580000.0</v>
      </c>
      <c r="V21" s="32" t="n">
        <f>9296811074</f>
        <v>9.296811074E9</v>
      </c>
      <c r="W21" s="32" t="n">
        <f>4986898600</f>
        <v>4.9868986E9</v>
      </c>
      <c r="X21" s="36" t="n">
        <f>22</f>
        <v>22.0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1950</f>
        <v>1950.0</v>
      </c>
      <c r="L22" s="34" t="s">
        <v>48</v>
      </c>
      <c r="M22" s="33" t="n">
        <f>1974.5</f>
        <v>1974.5</v>
      </c>
      <c r="N22" s="34" t="s">
        <v>51</v>
      </c>
      <c r="O22" s="33" t="n">
        <f>1880</f>
        <v>1880.0</v>
      </c>
      <c r="P22" s="34" t="s">
        <v>104</v>
      </c>
      <c r="Q22" s="33" t="n">
        <f>1961.5</f>
        <v>1961.5</v>
      </c>
      <c r="R22" s="34" t="s">
        <v>51</v>
      </c>
      <c r="S22" s="35" t="n">
        <f>1920.14</f>
        <v>1920.14</v>
      </c>
      <c r="T22" s="32" t="n">
        <f>27028000</f>
        <v>2.7028E7</v>
      </c>
      <c r="U22" s="32" t="n">
        <f>4860440</f>
        <v>4860440.0</v>
      </c>
      <c r="V22" s="32" t="n">
        <f>51778280938</f>
        <v>5.1778280938E10</v>
      </c>
      <c r="W22" s="32" t="n">
        <f>9278475743</f>
        <v>9.278475743E9</v>
      </c>
      <c r="X22" s="36" t="n">
        <f>22</f>
        <v>22.0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1839</f>
        <v>1839.0</v>
      </c>
      <c r="L23" s="34" t="s">
        <v>48</v>
      </c>
      <c r="M23" s="33" t="n">
        <f>1859</f>
        <v>1859.0</v>
      </c>
      <c r="N23" s="34" t="s">
        <v>72</v>
      </c>
      <c r="O23" s="33" t="n">
        <f>1770</f>
        <v>1770.0</v>
      </c>
      <c r="P23" s="34" t="s">
        <v>104</v>
      </c>
      <c r="Q23" s="33" t="n">
        <f>1848</f>
        <v>1848.0</v>
      </c>
      <c r="R23" s="34" t="s">
        <v>51</v>
      </c>
      <c r="S23" s="35" t="n">
        <f>1809.5</f>
        <v>1809.5</v>
      </c>
      <c r="T23" s="32" t="n">
        <f>4686980</f>
        <v>4686980.0</v>
      </c>
      <c r="U23" s="32" t="n">
        <f>3785159</f>
        <v>3785159.0</v>
      </c>
      <c r="V23" s="32" t="n">
        <f>8430896161</f>
        <v>8.430896161E9</v>
      </c>
      <c r="W23" s="32" t="n">
        <f>6796105194</f>
        <v>6.796105194E9</v>
      </c>
      <c r="X23" s="36" t="n">
        <f>22</f>
        <v>22.0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69030</f>
        <v>69030.0</v>
      </c>
      <c r="L24" s="34" t="s">
        <v>48</v>
      </c>
      <c r="M24" s="33" t="n">
        <f>75880</f>
        <v>75880.0</v>
      </c>
      <c r="N24" s="34" t="s">
        <v>49</v>
      </c>
      <c r="O24" s="33" t="n">
        <f>64900</f>
        <v>64900.0</v>
      </c>
      <c r="P24" s="34" t="s">
        <v>50</v>
      </c>
      <c r="Q24" s="33" t="n">
        <f>72890</f>
        <v>72890.0</v>
      </c>
      <c r="R24" s="34" t="s">
        <v>51</v>
      </c>
      <c r="S24" s="35" t="n">
        <f>71147.27</f>
        <v>71147.27</v>
      </c>
      <c r="T24" s="32" t="n">
        <f>785886</f>
        <v>785886.0</v>
      </c>
      <c r="U24" s="32" t="n">
        <f>194333</f>
        <v>194333.0</v>
      </c>
      <c r="V24" s="32" t="n">
        <f>55648396794</f>
        <v>5.5648396794E10</v>
      </c>
      <c r="W24" s="32" t="n">
        <f>13793813254</f>
        <v>1.3793813254E10</v>
      </c>
      <c r="X24" s="36" t="n">
        <f>22</f>
        <v>22.0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4136</f>
        <v>4136.0</v>
      </c>
      <c r="L25" s="34" t="s">
        <v>48</v>
      </c>
      <c r="M25" s="33" t="n">
        <f>4302</f>
        <v>4302.0</v>
      </c>
      <c r="N25" s="34" t="s">
        <v>49</v>
      </c>
      <c r="O25" s="33" t="n">
        <f>3945</f>
        <v>3945.0</v>
      </c>
      <c r="P25" s="34" t="s">
        <v>50</v>
      </c>
      <c r="Q25" s="33" t="n">
        <f>4210</f>
        <v>4210.0</v>
      </c>
      <c r="R25" s="34" t="s">
        <v>51</v>
      </c>
      <c r="S25" s="35" t="n">
        <f>4152.64</f>
        <v>4152.64</v>
      </c>
      <c r="T25" s="32" t="n">
        <f>9034646</f>
        <v>9034646.0</v>
      </c>
      <c r="U25" s="32" t="n">
        <f>6844837</f>
        <v>6844837.0</v>
      </c>
      <c r="V25" s="32" t="n">
        <f>37511704350</f>
        <v>3.751170435E10</v>
      </c>
      <c r="W25" s="32" t="n">
        <f>28432932581</f>
        <v>2.8432932581E10</v>
      </c>
      <c r="X25" s="36" t="n">
        <f>22</f>
        <v>22.0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17610</f>
        <v>17610.0</v>
      </c>
      <c r="L26" s="34" t="s">
        <v>48</v>
      </c>
      <c r="M26" s="33" t="n">
        <f>17910</f>
        <v>17910.0</v>
      </c>
      <c r="N26" s="34" t="s">
        <v>70</v>
      </c>
      <c r="O26" s="33" t="n">
        <f>17575</f>
        <v>17575.0</v>
      </c>
      <c r="P26" s="34" t="s">
        <v>104</v>
      </c>
      <c r="Q26" s="33" t="n">
        <f>17755</f>
        <v>17755.0</v>
      </c>
      <c r="R26" s="34" t="s">
        <v>51</v>
      </c>
      <c r="S26" s="35" t="n">
        <f>17756.32</f>
        <v>17756.32</v>
      </c>
      <c r="T26" s="32" t="n">
        <f>284</f>
        <v>284.0</v>
      </c>
      <c r="U26" s="32" t="str">
        <f>"－"</f>
        <v>－</v>
      </c>
      <c r="V26" s="32" t="n">
        <f>5024660</f>
        <v>5024660.0</v>
      </c>
      <c r="W26" s="32" t="str">
        <f>"－"</f>
        <v>－</v>
      </c>
      <c r="X26" s="36" t="n">
        <f>19</f>
        <v>19.0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117.3</f>
        <v>117.3</v>
      </c>
      <c r="L27" s="34" t="s">
        <v>48</v>
      </c>
      <c r="M27" s="33" t="n">
        <f>127.8</f>
        <v>127.8</v>
      </c>
      <c r="N27" s="34" t="s">
        <v>50</v>
      </c>
      <c r="O27" s="33" t="n">
        <f>107.1</f>
        <v>107.1</v>
      </c>
      <c r="P27" s="34" t="s">
        <v>49</v>
      </c>
      <c r="Q27" s="33" t="n">
        <f>112</f>
        <v>112.0</v>
      </c>
      <c r="R27" s="34" t="s">
        <v>51</v>
      </c>
      <c r="S27" s="35" t="n">
        <f>115.34</f>
        <v>115.34</v>
      </c>
      <c r="T27" s="32" t="n">
        <f>353142810</f>
        <v>3.5314281E8</v>
      </c>
      <c r="U27" s="32" t="n">
        <f>1233140</f>
        <v>1233140.0</v>
      </c>
      <c r="V27" s="32" t="n">
        <f>40328594590</f>
        <v>4.032859459E10</v>
      </c>
      <c r="W27" s="32" t="n">
        <f>141584661</f>
        <v>1.41584661E8</v>
      </c>
      <c r="X27" s="36" t="n">
        <f>22</f>
        <v>22.0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2961</f>
        <v>2961.0</v>
      </c>
      <c r="L28" s="34" t="s">
        <v>48</v>
      </c>
      <c r="M28" s="33" t="n">
        <f>3312</f>
        <v>3312.0</v>
      </c>
      <c r="N28" s="34" t="s">
        <v>50</v>
      </c>
      <c r="O28" s="33" t="n">
        <f>2397</f>
        <v>2397.0</v>
      </c>
      <c r="P28" s="34" t="s">
        <v>123</v>
      </c>
      <c r="Q28" s="33" t="n">
        <f>2552</f>
        <v>2552.0</v>
      </c>
      <c r="R28" s="34" t="s">
        <v>51</v>
      </c>
      <c r="S28" s="35" t="n">
        <f>2753.64</f>
        <v>2753.64</v>
      </c>
      <c r="T28" s="32" t="n">
        <f>295463536</f>
        <v>2.95463536E8</v>
      </c>
      <c r="U28" s="32" t="n">
        <f>1035472</f>
        <v>1035472.0</v>
      </c>
      <c r="V28" s="32" t="n">
        <f>805699336950</f>
        <v>8.0569933695E11</v>
      </c>
      <c r="W28" s="32" t="n">
        <f>2868636547</f>
        <v>2.868636547E9</v>
      </c>
      <c r="X28" s="36" t="n">
        <f>22</f>
        <v>22.0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137650</f>
        <v>137650.0</v>
      </c>
      <c r="L29" s="34" t="s">
        <v>48</v>
      </c>
      <c r="M29" s="33" t="n">
        <f>165250</f>
        <v>165250.0</v>
      </c>
      <c r="N29" s="34" t="s">
        <v>61</v>
      </c>
      <c r="O29" s="33" t="n">
        <f>121050</f>
        <v>121050.0</v>
      </c>
      <c r="P29" s="34" t="s">
        <v>50</v>
      </c>
      <c r="Q29" s="33" t="n">
        <f>152900</f>
        <v>152900.0</v>
      </c>
      <c r="R29" s="34" t="s">
        <v>51</v>
      </c>
      <c r="S29" s="35" t="n">
        <f>145718.18</f>
        <v>145718.18</v>
      </c>
      <c r="T29" s="32" t="n">
        <f>407955</f>
        <v>407955.0</v>
      </c>
      <c r="U29" s="32" t="n">
        <f>4088</f>
        <v>4088.0</v>
      </c>
      <c r="V29" s="32" t="n">
        <f>58963293750</f>
        <v>5.896329375E10</v>
      </c>
      <c r="W29" s="32" t="n">
        <f>608080750</f>
        <v>6.0808075E8</v>
      </c>
      <c r="X29" s="36" t="n">
        <f>22</f>
        <v>22.0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72.8</f>
        <v>72.8</v>
      </c>
      <c r="L30" s="34" t="s">
        <v>48</v>
      </c>
      <c r="M30" s="33" t="n">
        <f>81.3</f>
        <v>81.3</v>
      </c>
      <c r="N30" s="34" t="s">
        <v>50</v>
      </c>
      <c r="O30" s="33" t="n">
        <f>58.7</f>
        <v>58.7</v>
      </c>
      <c r="P30" s="34" t="s">
        <v>49</v>
      </c>
      <c r="Q30" s="33" t="n">
        <f>62.6</f>
        <v>62.6</v>
      </c>
      <c r="R30" s="34" t="s">
        <v>51</v>
      </c>
      <c r="S30" s="35" t="n">
        <f>67.55</f>
        <v>67.55</v>
      </c>
      <c r="T30" s="32" t="n">
        <f>5294163560</f>
        <v>5.29416356E9</v>
      </c>
      <c r="U30" s="32" t="n">
        <f>53388350</f>
        <v>5.338835E7</v>
      </c>
      <c r="V30" s="32" t="n">
        <f>358532095031</f>
        <v>3.58532095031E11</v>
      </c>
      <c r="W30" s="32" t="n">
        <f>3563162784</f>
        <v>3.563162784E9</v>
      </c>
      <c r="X30" s="36" t="n">
        <f>22</f>
        <v>22.0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3714</f>
        <v>3714.0</v>
      </c>
      <c r="L31" s="34" t="s">
        <v>48</v>
      </c>
      <c r="M31" s="33" t="n">
        <f>3859</f>
        <v>3859.0</v>
      </c>
      <c r="N31" s="34" t="s">
        <v>66</v>
      </c>
      <c r="O31" s="33" t="n">
        <f>3516</f>
        <v>3516.0</v>
      </c>
      <c r="P31" s="34" t="s">
        <v>50</v>
      </c>
      <c r="Q31" s="33" t="n">
        <f>3750</f>
        <v>3750.0</v>
      </c>
      <c r="R31" s="34" t="s">
        <v>51</v>
      </c>
      <c r="S31" s="35" t="n">
        <f>3713.82</f>
        <v>3713.82</v>
      </c>
      <c r="T31" s="32" t="n">
        <f>847757</f>
        <v>847757.0</v>
      </c>
      <c r="U31" s="32" t="n">
        <f>600294</f>
        <v>600294.0</v>
      </c>
      <c r="V31" s="32" t="n">
        <f>3148571143</f>
        <v>3.148571143E9</v>
      </c>
      <c r="W31" s="32" t="n">
        <f>2231357755</f>
        <v>2.231357755E9</v>
      </c>
      <c r="X31" s="36" t="n">
        <f>22</f>
        <v>22.0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4445</f>
        <v>4445.0</v>
      </c>
      <c r="L32" s="34" t="s">
        <v>48</v>
      </c>
      <c r="M32" s="33" t="n">
        <f>5323</f>
        <v>5323.0</v>
      </c>
      <c r="N32" s="34" t="s">
        <v>49</v>
      </c>
      <c r="O32" s="33" t="n">
        <f>3904</f>
        <v>3904.0</v>
      </c>
      <c r="P32" s="34" t="s">
        <v>50</v>
      </c>
      <c r="Q32" s="33" t="n">
        <f>4901</f>
        <v>4901.0</v>
      </c>
      <c r="R32" s="34" t="s">
        <v>51</v>
      </c>
      <c r="S32" s="35" t="n">
        <f>4692.36</f>
        <v>4692.36</v>
      </c>
      <c r="T32" s="32" t="n">
        <f>13743626</f>
        <v>1.3743626E7</v>
      </c>
      <c r="U32" s="32" t="n">
        <f>204681</f>
        <v>204681.0</v>
      </c>
      <c r="V32" s="32" t="n">
        <f>63939419809</f>
        <v>6.3939419809E10</v>
      </c>
      <c r="W32" s="32" t="n">
        <f>968110876</f>
        <v>9.68110876E8</v>
      </c>
      <c r="X32" s="36" t="n">
        <f>22</f>
        <v>22.0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75</f>
        <v>75.0</v>
      </c>
      <c r="L33" s="34" t="s">
        <v>48</v>
      </c>
      <c r="M33" s="33" t="n">
        <f>84</f>
        <v>84.0</v>
      </c>
      <c r="N33" s="34" t="s">
        <v>50</v>
      </c>
      <c r="O33" s="33" t="n">
        <f>60</f>
        <v>60.0</v>
      </c>
      <c r="P33" s="34" t="s">
        <v>49</v>
      </c>
      <c r="Q33" s="33" t="n">
        <f>64</f>
        <v>64.0</v>
      </c>
      <c r="R33" s="34" t="s">
        <v>51</v>
      </c>
      <c r="S33" s="35" t="n">
        <f>69.18</f>
        <v>69.18</v>
      </c>
      <c r="T33" s="32" t="n">
        <f>289354404</f>
        <v>2.89354404E8</v>
      </c>
      <c r="U33" s="32" t="n">
        <f>822019</f>
        <v>822019.0</v>
      </c>
      <c r="V33" s="32" t="n">
        <f>20163965159</f>
        <v>2.0163965159E10</v>
      </c>
      <c r="W33" s="32" t="n">
        <f>55715530</f>
        <v>5.571553E7</v>
      </c>
      <c r="X33" s="36" t="n">
        <f>22</f>
        <v>22.0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2915</f>
        <v>2915.0</v>
      </c>
      <c r="L34" s="34" t="s">
        <v>48</v>
      </c>
      <c r="M34" s="33" t="n">
        <f>3145</f>
        <v>3145.0</v>
      </c>
      <c r="N34" s="34" t="s">
        <v>66</v>
      </c>
      <c r="O34" s="33" t="n">
        <f>2642</f>
        <v>2642.0</v>
      </c>
      <c r="P34" s="34" t="s">
        <v>50</v>
      </c>
      <c r="Q34" s="33" t="n">
        <f>2970</f>
        <v>2970.0</v>
      </c>
      <c r="R34" s="34" t="s">
        <v>51</v>
      </c>
      <c r="S34" s="35" t="n">
        <f>2931.27</f>
        <v>2931.27</v>
      </c>
      <c r="T34" s="32" t="n">
        <f>2744014</f>
        <v>2744014.0</v>
      </c>
      <c r="U34" s="32" t="n">
        <f>23222</f>
        <v>23222.0</v>
      </c>
      <c r="V34" s="32" t="n">
        <f>8100307515</f>
        <v>8.100307515E9</v>
      </c>
      <c r="W34" s="32" t="n">
        <f>68725532</f>
        <v>6.8725532E7</v>
      </c>
      <c r="X34" s="36" t="n">
        <f>22</f>
        <v>22.0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171</f>
        <v>171.0</v>
      </c>
      <c r="L35" s="34" t="s">
        <v>48</v>
      </c>
      <c r="M35" s="33" t="n">
        <f>185</f>
        <v>185.0</v>
      </c>
      <c r="N35" s="34" t="s">
        <v>50</v>
      </c>
      <c r="O35" s="33" t="n">
        <f>155</f>
        <v>155.0</v>
      </c>
      <c r="P35" s="34" t="s">
        <v>49</v>
      </c>
      <c r="Q35" s="33" t="n">
        <f>163</f>
        <v>163.0</v>
      </c>
      <c r="R35" s="34" t="s">
        <v>51</v>
      </c>
      <c r="S35" s="35" t="n">
        <f>167.27</f>
        <v>167.27</v>
      </c>
      <c r="T35" s="32" t="n">
        <f>15122126</f>
        <v>1.5122126E7</v>
      </c>
      <c r="U35" s="32" t="str">
        <f>"－"</f>
        <v>－</v>
      </c>
      <c r="V35" s="32" t="n">
        <f>2487630371</f>
        <v>2.487630371E9</v>
      </c>
      <c r="W35" s="32" t="str">
        <f>"－"</f>
        <v>－</v>
      </c>
      <c r="X35" s="36" t="n">
        <f>22</f>
        <v>22.0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67130</f>
        <v>67130.0</v>
      </c>
      <c r="L36" s="34" t="s">
        <v>48</v>
      </c>
      <c r="M36" s="33" t="n">
        <f>73790</f>
        <v>73790.0</v>
      </c>
      <c r="N36" s="34" t="s">
        <v>49</v>
      </c>
      <c r="O36" s="33" t="n">
        <f>63120</f>
        <v>63120.0</v>
      </c>
      <c r="P36" s="34" t="s">
        <v>50</v>
      </c>
      <c r="Q36" s="33" t="n">
        <f>70980</f>
        <v>70980.0</v>
      </c>
      <c r="R36" s="34" t="s">
        <v>51</v>
      </c>
      <c r="S36" s="35" t="n">
        <f>69243.18</f>
        <v>69243.18</v>
      </c>
      <c r="T36" s="32" t="n">
        <f>201174</f>
        <v>201174.0</v>
      </c>
      <c r="U36" s="32" t="n">
        <f>37755</f>
        <v>37755.0</v>
      </c>
      <c r="V36" s="32" t="n">
        <f>13920281928</f>
        <v>1.3920281928E10</v>
      </c>
      <c r="W36" s="32" t="n">
        <f>2653912778</f>
        <v>2.653912778E9</v>
      </c>
      <c r="X36" s="36" t="n">
        <f>22</f>
        <v>22.0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67550</f>
        <v>67550.0</v>
      </c>
      <c r="L37" s="34" t="s">
        <v>48</v>
      </c>
      <c r="M37" s="33" t="n">
        <f>73790</f>
        <v>73790.0</v>
      </c>
      <c r="N37" s="34" t="s">
        <v>49</v>
      </c>
      <c r="O37" s="33" t="n">
        <f>63270</f>
        <v>63270.0</v>
      </c>
      <c r="P37" s="34" t="s">
        <v>50</v>
      </c>
      <c r="Q37" s="33" t="n">
        <f>71510</f>
        <v>71510.0</v>
      </c>
      <c r="R37" s="34" t="s">
        <v>51</v>
      </c>
      <c r="S37" s="35" t="n">
        <f>69190</f>
        <v>69190.0</v>
      </c>
      <c r="T37" s="32" t="n">
        <f>260362</f>
        <v>260362.0</v>
      </c>
      <c r="U37" s="32" t="n">
        <f>216820</f>
        <v>216820.0</v>
      </c>
      <c r="V37" s="32" t="n">
        <f>17586487028</f>
        <v>1.7586487028E10</v>
      </c>
      <c r="W37" s="32" t="n">
        <f>14589969588</f>
        <v>1.4589969588E10</v>
      </c>
      <c r="X37" s="36" t="n">
        <f>22</f>
        <v>22.0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1871</f>
        <v>1871.0</v>
      </c>
      <c r="L38" s="34" t="s">
        <v>48</v>
      </c>
      <c r="M38" s="33" t="n">
        <f>1916</f>
        <v>1916.0</v>
      </c>
      <c r="N38" s="34" t="s">
        <v>71</v>
      </c>
      <c r="O38" s="33" t="n">
        <f>1770</f>
        <v>1770.0</v>
      </c>
      <c r="P38" s="34" t="s">
        <v>154</v>
      </c>
      <c r="Q38" s="33" t="n">
        <f>1854</f>
        <v>1854.0</v>
      </c>
      <c r="R38" s="34" t="s">
        <v>51</v>
      </c>
      <c r="S38" s="35" t="n">
        <f>1825.25</f>
        <v>1825.25</v>
      </c>
      <c r="T38" s="32" t="n">
        <f>52930300</f>
        <v>5.29303E7</v>
      </c>
      <c r="U38" s="32" t="n">
        <f>2272450</f>
        <v>2272450.0</v>
      </c>
      <c r="V38" s="32" t="n">
        <f>96601190351</f>
        <v>9.6601190351E10</v>
      </c>
      <c r="W38" s="32" t="n">
        <f>4138570316</f>
        <v>4.138570316E9</v>
      </c>
      <c r="X38" s="36" t="n">
        <f>22</f>
        <v>22.0</v>
      </c>
    </row>
    <row r="39">
      <c r="A39" s="27" t="s">
        <v>42</v>
      </c>
      <c r="B39" s="27" t="s">
        <v>155</v>
      </c>
      <c r="C39" s="27" t="s">
        <v>156</v>
      </c>
      <c r="D39" s="27" t="s">
        <v>157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2981</f>
        <v>2981.0</v>
      </c>
      <c r="L39" s="34" t="s">
        <v>48</v>
      </c>
      <c r="M39" s="33" t="n">
        <f>3048</f>
        <v>3048.0</v>
      </c>
      <c r="N39" s="34" t="s">
        <v>51</v>
      </c>
      <c r="O39" s="33" t="n">
        <f>2858</f>
        <v>2858.0</v>
      </c>
      <c r="P39" s="34" t="s">
        <v>158</v>
      </c>
      <c r="Q39" s="33" t="n">
        <f>3006</f>
        <v>3006.0</v>
      </c>
      <c r="R39" s="34" t="s">
        <v>51</v>
      </c>
      <c r="S39" s="35" t="n">
        <f>2957.73</f>
        <v>2957.73</v>
      </c>
      <c r="T39" s="32" t="n">
        <f>63840</f>
        <v>63840.0</v>
      </c>
      <c r="U39" s="32" t="n">
        <f>34120</f>
        <v>34120.0</v>
      </c>
      <c r="V39" s="32" t="n">
        <f>188715835</f>
        <v>1.88715835E8</v>
      </c>
      <c r="W39" s="32" t="n">
        <f>100487412</f>
        <v>1.00487412E8</v>
      </c>
      <c r="X39" s="36" t="n">
        <f>22</f>
        <v>22.0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1992</f>
        <v>1992.0</v>
      </c>
      <c r="L40" s="34" t="s">
        <v>48</v>
      </c>
      <c r="M40" s="33" t="n">
        <f>2507</f>
        <v>2507.0</v>
      </c>
      <c r="N40" s="34" t="s">
        <v>154</v>
      </c>
      <c r="O40" s="33" t="n">
        <f>1981</f>
        <v>1981.0</v>
      </c>
      <c r="P40" s="34" t="s">
        <v>70</v>
      </c>
      <c r="Q40" s="33" t="n">
        <f>1985</f>
        <v>1985.0</v>
      </c>
      <c r="R40" s="34" t="s">
        <v>51</v>
      </c>
      <c r="S40" s="35" t="n">
        <f>1995.05</f>
        <v>1995.05</v>
      </c>
      <c r="T40" s="32" t="n">
        <f>150349</f>
        <v>150349.0</v>
      </c>
      <c r="U40" s="32" t="str">
        <f>"－"</f>
        <v>－</v>
      </c>
      <c r="V40" s="32" t="n">
        <f>299446076</f>
        <v>2.99446076E8</v>
      </c>
      <c r="W40" s="32" t="str">
        <f>"－"</f>
        <v>－</v>
      </c>
      <c r="X40" s="36" t="n">
        <f>21</f>
        <v>21.0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1289</f>
        <v>1289.0</v>
      </c>
      <c r="L41" s="34" t="s">
        <v>48</v>
      </c>
      <c r="M41" s="33" t="n">
        <f>1364</f>
        <v>1364.0</v>
      </c>
      <c r="N41" s="34" t="s">
        <v>50</v>
      </c>
      <c r="O41" s="33" t="n">
        <f>1164</f>
        <v>1164.0</v>
      </c>
      <c r="P41" s="34" t="s">
        <v>49</v>
      </c>
      <c r="Q41" s="33" t="n">
        <f>1204</f>
        <v>1204.0</v>
      </c>
      <c r="R41" s="34" t="s">
        <v>51</v>
      </c>
      <c r="S41" s="35" t="n">
        <f>1244.68</f>
        <v>1244.68</v>
      </c>
      <c r="T41" s="32" t="n">
        <f>8170612</f>
        <v>8170612.0</v>
      </c>
      <c r="U41" s="32" t="n">
        <f>5173180</f>
        <v>5173180.0</v>
      </c>
      <c r="V41" s="32" t="n">
        <f>10224176122</f>
        <v>1.0224176122E10</v>
      </c>
      <c r="W41" s="32" t="n">
        <f>6508269506</f>
        <v>6.508269506E9</v>
      </c>
      <c r="X41" s="36" t="n">
        <f>22</f>
        <v>22.0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1848</f>
        <v>1848.0</v>
      </c>
      <c r="L42" s="34" t="s">
        <v>48</v>
      </c>
      <c r="M42" s="33" t="n">
        <f>1930</f>
        <v>1930.0</v>
      </c>
      <c r="N42" s="34" t="s">
        <v>50</v>
      </c>
      <c r="O42" s="33" t="n">
        <f>1768</f>
        <v>1768.0</v>
      </c>
      <c r="P42" s="34" t="s">
        <v>49</v>
      </c>
      <c r="Q42" s="33" t="n">
        <f>1814</f>
        <v>1814.0</v>
      </c>
      <c r="R42" s="34" t="s">
        <v>51</v>
      </c>
      <c r="S42" s="35" t="n">
        <f>1834.32</f>
        <v>1834.32</v>
      </c>
      <c r="T42" s="32" t="n">
        <f>1117359</f>
        <v>1117359.0</v>
      </c>
      <c r="U42" s="32" t="n">
        <f>489660</f>
        <v>489660.0</v>
      </c>
      <c r="V42" s="32" t="n">
        <f>2058197275</f>
        <v>2.058197275E9</v>
      </c>
      <c r="W42" s="32" t="n">
        <f>910667224</f>
        <v>9.10667224E8</v>
      </c>
      <c r="X42" s="36" t="n">
        <f>22</f>
        <v>22.0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86060</f>
        <v>86060.0</v>
      </c>
      <c r="L43" s="34" t="s">
        <v>48</v>
      </c>
      <c r="M43" s="33" t="n">
        <f>103100</f>
        <v>103100.0</v>
      </c>
      <c r="N43" s="34" t="s">
        <v>49</v>
      </c>
      <c r="O43" s="33" t="n">
        <f>75530</f>
        <v>75530.0</v>
      </c>
      <c r="P43" s="34" t="s">
        <v>50</v>
      </c>
      <c r="Q43" s="33" t="n">
        <f>94780</f>
        <v>94780.0</v>
      </c>
      <c r="R43" s="34" t="s">
        <v>51</v>
      </c>
      <c r="S43" s="35" t="n">
        <f>90875.45</f>
        <v>90875.45</v>
      </c>
      <c r="T43" s="32" t="n">
        <f>5032971</f>
        <v>5032971.0</v>
      </c>
      <c r="U43" s="32" t="n">
        <f>31713</f>
        <v>31713.0</v>
      </c>
      <c r="V43" s="32" t="n">
        <f>453222276177</f>
        <v>4.53222276177E11</v>
      </c>
      <c r="W43" s="32" t="n">
        <f>2878775517</f>
        <v>2.878775517E9</v>
      </c>
      <c r="X43" s="36" t="n">
        <f>22</f>
        <v>22.0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119</f>
        <v>119.0</v>
      </c>
      <c r="L44" s="34" t="s">
        <v>48</v>
      </c>
      <c r="M44" s="33" t="n">
        <f>134</f>
        <v>134.0</v>
      </c>
      <c r="N44" s="34" t="s">
        <v>50</v>
      </c>
      <c r="O44" s="33" t="n">
        <f>96</f>
        <v>96.0</v>
      </c>
      <c r="P44" s="34" t="s">
        <v>49</v>
      </c>
      <c r="Q44" s="33" t="n">
        <f>103</f>
        <v>103.0</v>
      </c>
      <c r="R44" s="34" t="s">
        <v>51</v>
      </c>
      <c r="S44" s="35" t="n">
        <f>110.95</f>
        <v>110.95</v>
      </c>
      <c r="T44" s="32" t="n">
        <f>442720199</f>
        <v>4.42720199E8</v>
      </c>
      <c r="U44" s="32" t="n">
        <f>6457025</f>
        <v>6457025.0</v>
      </c>
      <c r="V44" s="32" t="n">
        <f>49891276370</f>
        <v>4.989127637E10</v>
      </c>
      <c r="W44" s="32" t="n">
        <f>706331471</f>
        <v>7.06331471E8</v>
      </c>
      <c r="X44" s="36" t="n">
        <f>22</f>
        <v>22.0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214</f>
        <v>214.0</v>
      </c>
      <c r="L45" s="34" t="s">
        <v>48</v>
      </c>
      <c r="M45" s="33" t="n">
        <f>235</f>
        <v>235.0</v>
      </c>
      <c r="N45" s="34" t="s">
        <v>50</v>
      </c>
      <c r="O45" s="33" t="n">
        <f>198</f>
        <v>198.0</v>
      </c>
      <c r="P45" s="34" t="s">
        <v>66</v>
      </c>
      <c r="Q45" s="33" t="n">
        <f>205</f>
        <v>205.0</v>
      </c>
      <c r="R45" s="34" t="s">
        <v>51</v>
      </c>
      <c r="S45" s="35" t="n">
        <f>212.68</f>
        <v>212.68</v>
      </c>
      <c r="T45" s="32" t="n">
        <f>341494</f>
        <v>341494.0</v>
      </c>
      <c r="U45" s="32" t="n">
        <f>85800</f>
        <v>85800.0</v>
      </c>
      <c r="V45" s="32" t="n">
        <f>70388836</f>
        <v>7.0388836E7</v>
      </c>
      <c r="W45" s="32" t="n">
        <f>17689386</f>
        <v>1.7689386E7</v>
      </c>
      <c r="X45" s="36" t="n">
        <f>22</f>
        <v>22.0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201.1</f>
        <v>201.1</v>
      </c>
      <c r="L46" s="34" t="s">
        <v>48</v>
      </c>
      <c r="M46" s="33" t="n">
        <f>224.4</f>
        <v>224.4</v>
      </c>
      <c r="N46" s="34" t="s">
        <v>50</v>
      </c>
      <c r="O46" s="33" t="n">
        <f>186</f>
        <v>186.0</v>
      </c>
      <c r="P46" s="34" t="s">
        <v>49</v>
      </c>
      <c r="Q46" s="33" t="n">
        <f>192.6</f>
        <v>192.6</v>
      </c>
      <c r="R46" s="34" t="s">
        <v>51</v>
      </c>
      <c r="S46" s="35" t="n">
        <f>200.52</f>
        <v>200.52</v>
      </c>
      <c r="T46" s="32" t="n">
        <f>528120</f>
        <v>528120.0</v>
      </c>
      <c r="U46" s="32" t="n">
        <f>8530</f>
        <v>8530.0</v>
      </c>
      <c r="V46" s="32" t="n">
        <f>105308814</f>
        <v>1.05308814E8</v>
      </c>
      <c r="W46" s="32" t="n">
        <f>1769950</f>
        <v>1769950.0</v>
      </c>
      <c r="X46" s="36" t="n">
        <f>22</f>
        <v>22.0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84</f>
        <v>84.0</v>
      </c>
      <c r="L47" s="34" t="s">
        <v>48</v>
      </c>
      <c r="M47" s="33" t="n">
        <f>92</f>
        <v>92.0</v>
      </c>
      <c r="N47" s="34" t="s">
        <v>50</v>
      </c>
      <c r="O47" s="33" t="n">
        <f>76</f>
        <v>76.0</v>
      </c>
      <c r="P47" s="34" t="s">
        <v>49</v>
      </c>
      <c r="Q47" s="33" t="n">
        <f>79</f>
        <v>79.0</v>
      </c>
      <c r="R47" s="34" t="s">
        <v>51</v>
      </c>
      <c r="S47" s="35" t="n">
        <f>82.64</f>
        <v>82.64</v>
      </c>
      <c r="T47" s="32" t="n">
        <f>168153</f>
        <v>168153.0</v>
      </c>
      <c r="U47" s="32" t="str">
        <f>"－"</f>
        <v>－</v>
      </c>
      <c r="V47" s="32" t="n">
        <f>13982537</f>
        <v>1.3982537E7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4049</f>
        <v>4049.0</v>
      </c>
      <c r="L48" s="34" t="s">
        <v>48</v>
      </c>
      <c r="M48" s="33" t="n">
        <f>4220</f>
        <v>4220.0</v>
      </c>
      <c r="N48" s="34" t="s">
        <v>49</v>
      </c>
      <c r="O48" s="33" t="n">
        <f>3886</f>
        <v>3886.0</v>
      </c>
      <c r="P48" s="34" t="s">
        <v>50</v>
      </c>
      <c r="Q48" s="33" t="n">
        <f>4123</f>
        <v>4123.0</v>
      </c>
      <c r="R48" s="34" t="s">
        <v>51</v>
      </c>
      <c r="S48" s="35" t="n">
        <f>4076.73</f>
        <v>4076.73</v>
      </c>
      <c r="T48" s="32" t="n">
        <f>1947460</f>
        <v>1947460.0</v>
      </c>
      <c r="U48" s="32" t="n">
        <f>1349820</f>
        <v>1349820.0</v>
      </c>
      <c r="V48" s="32" t="n">
        <f>7891626360</f>
        <v>7.89162636E9</v>
      </c>
      <c r="W48" s="32" t="n">
        <f>5460510240</f>
        <v>5.46051024E9</v>
      </c>
      <c r="X48" s="36" t="n">
        <f>22</f>
        <v>22.0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36540</f>
        <v>36540.0</v>
      </c>
      <c r="L49" s="34" t="s">
        <v>48</v>
      </c>
      <c r="M49" s="33" t="n">
        <f>38180</f>
        <v>38180.0</v>
      </c>
      <c r="N49" s="34" t="s">
        <v>123</v>
      </c>
      <c r="O49" s="33" t="n">
        <f>34890</f>
        <v>34890.0</v>
      </c>
      <c r="P49" s="34" t="s">
        <v>50</v>
      </c>
      <c r="Q49" s="33" t="n">
        <f>37230</f>
        <v>37230.0</v>
      </c>
      <c r="R49" s="34" t="s">
        <v>51</v>
      </c>
      <c r="S49" s="35" t="n">
        <f>36689.55</f>
        <v>36689.55</v>
      </c>
      <c r="T49" s="32" t="n">
        <f>22805</f>
        <v>22805.0</v>
      </c>
      <c r="U49" s="32" t="n">
        <f>12445</f>
        <v>12445.0</v>
      </c>
      <c r="V49" s="32" t="n">
        <f>837486446</f>
        <v>8.37486446E8</v>
      </c>
      <c r="W49" s="32" t="n">
        <f>455676216</f>
        <v>4.55676216E8</v>
      </c>
      <c r="X49" s="36" t="n">
        <f>22</f>
        <v>22.0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408.6</f>
        <v>408.6</v>
      </c>
      <c r="L50" s="34" t="s">
        <v>48</v>
      </c>
      <c r="M50" s="33" t="n">
        <f>425.4</f>
        <v>425.4</v>
      </c>
      <c r="N50" s="34" t="s">
        <v>49</v>
      </c>
      <c r="O50" s="33" t="n">
        <f>390.1</f>
        <v>390.1</v>
      </c>
      <c r="P50" s="34" t="s">
        <v>50</v>
      </c>
      <c r="Q50" s="33" t="n">
        <f>414.3</f>
        <v>414.3</v>
      </c>
      <c r="R50" s="34" t="s">
        <v>51</v>
      </c>
      <c r="S50" s="35" t="n">
        <f>410.71</f>
        <v>410.71</v>
      </c>
      <c r="T50" s="32" t="n">
        <f>196137440</f>
        <v>1.9613744E8</v>
      </c>
      <c r="U50" s="32" t="n">
        <f>65466890</f>
        <v>6.546689E7</v>
      </c>
      <c r="V50" s="32" t="n">
        <f>80156621157</f>
        <v>8.0156621157E10</v>
      </c>
      <c r="W50" s="32" t="n">
        <f>26715037963</f>
        <v>2.6715037963E10</v>
      </c>
      <c r="X50" s="36" t="n">
        <f>22</f>
        <v>22.0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1867</f>
        <v>1867.0</v>
      </c>
      <c r="L51" s="34" t="s">
        <v>48</v>
      </c>
      <c r="M51" s="33" t="n">
        <f>1904</f>
        <v>1904.0</v>
      </c>
      <c r="N51" s="34" t="s">
        <v>72</v>
      </c>
      <c r="O51" s="33" t="n">
        <f>1803</f>
        <v>1803.0</v>
      </c>
      <c r="P51" s="34" t="s">
        <v>195</v>
      </c>
      <c r="Q51" s="33" t="n">
        <f>1877</f>
        <v>1877.0</v>
      </c>
      <c r="R51" s="34" t="s">
        <v>51</v>
      </c>
      <c r="S51" s="35" t="n">
        <f>1838.64</f>
        <v>1838.64</v>
      </c>
      <c r="T51" s="32" t="n">
        <f>6604195</f>
        <v>6604195.0</v>
      </c>
      <c r="U51" s="32" t="n">
        <f>2054105</f>
        <v>2054105.0</v>
      </c>
      <c r="V51" s="32" t="n">
        <f>12122067141</f>
        <v>1.2122067141E10</v>
      </c>
      <c r="W51" s="32" t="n">
        <f>3769016688</f>
        <v>3.769016688E9</v>
      </c>
      <c r="X51" s="36" t="n">
        <f>22</f>
        <v>22.0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3208</f>
        <v>3208.0</v>
      </c>
      <c r="L52" s="34" t="s">
        <v>48</v>
      </c>
      <c r="M52" s="33" t="n">
        <f>3287</f>
        <v>3287.0</v>
      </c>
      <c r="N52" s="34" t="s">
        <v>199</v>
      </c>
      <c r="O52" s="33" t="n">
        <f>3102</f>
        <v>3102.0</v>
      </c>
      <c r="P52" s="34" t="s">
        <v>50</v>
      </c>
      <c r="Q52" s="33" t="n">
        <f>3226</f>
        <v>3226.0</v>
      </c>
      <c r="R52" s="34" t="s">
        <v>51</v>
      </c>
      <c r="S52" s="35" t="n">
        <f>3208.45</f>
        <v>3208.45</v>
      </c>
      <c r="T52" s="32" t="n">
        <f>39551</f>
        <v>39551.0</v>
      </c>
      <c r="U52" s="32" t="n">
        <f>1580</f>
        <v>1580.0</v>
      </c>
      <c r="V52" s="32" t="n">
        <f>126899088</f>
        <v>1.26899088E8</v>
      </c>
      <c r="W52" s="32" t="n">
        <f>5114752</f>
        <v>5114752.0</v>
      </c>
      <c r="X52" s="36" t="n">
        <f>22</f>
        <v>22.0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5025</f>
        <v>5025.0</v>
      </c>
      <c r="L53" s="34" t="s">
        <v>48</v>
      </c>
      <c r="M53" s="33" t="n">
        <f>5090</f>
        <v>5090.0</v>
      </c>
      <c r="N53" s="34" t="s">
        <v>203</v>
      </c>
      <c r="O53" s="33" t="n">
        <f>4848</f>
        <v>4848.0</v>
      </c>
      <c r="P53" s="34" t="s">
        <v>123</v>
      </c>
      <c r="Q53" s="33" t="n">
        <f>4937</f>
        <v>4937.0</v>
      </c>
      <c r="R53" s="34" t="s">
        <v>51</v>
      </c>
      <c r="S53" s="35" t="n">
        <f>4945.09</f>
        <v>4945.09</v>
      </c>
      <c r="T53" s="32" t="n">
        <f>1545108</f>
        <v>1545108.0</v>
      </c>
      <c r="U53" s="32" t="n">
        <f>477677</f>
        <v>477677.0</v>
      </c>
      <c r="V53" s="32" t="n">
        <f>7680690043</f>
        <v>7.680690043E9</v>
      </c>
      <c r="W53" s="32" t="n">
        <f>2393696074</f>
        <v>2.393696074E9</v>
      </c>
      <c r="X53" s="36" t="n">
        <f>22</f>
        <v>22.0</v>
      </c>
    </row>
    <row r="54">
      <c r="A54" s="27" t="s">
        <v>42</v>
      </c>
      <c r="B54" s="27" t="s">
        <v>204</v>
      </c>
      <c r="C54" s="27" t="s">
        <v>205</v>
      </c>
      <c r="D54" s="27" t="s">
        <v>206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53800</f>
        <v>53800.0</v>
      </c>
      <c r="L54" s="34" t="s">
        <v>48</v>
      </c>
      <c r="M54" s="33" t="n">
        <f>57870</f>
        <v>57870.0</v>
      </c>
      <c r="N54" s="34" t="s">
        <v>61</v>
      </c>
      <c r="O54" s="33" t="n">
        <f>50000</f>
        <v>50000.0</v>
      </c>
      <c r="P54" s="34" t="s">
        <v>104</v>
      </c>
      <c r="Q54" s="33" t="n">
        <f>54190</f>
        <v>54190.0</v>
      </c>
      <c r="R54" s="34" t="s">
        <v>72</v>
      </c>
      <c r="S54" s="35" t="n">
        <f>53569.38</f>
        <v>53569.38</v>
      </c>
      <c r="T54" s="32" t="n">
        <f>648</f>
        <v>648.0</v>
      </c>
      <c r="U54" s="32" t="n">
        <f>2</f>
        <v>2.0</v>
      </c>
      <c r="V54" s="32" t="n">
        <f>35309410</f>
        <v>3.530941E7</v>
      </c>
      <c r="W54" s="32" t="n">
        <f>106500</f>
        <v>106500.0</v>
      </c>
      <c r="X54" s="36" t="n">
        <f>16</f>
        <v>16.0</v>
      </c>
    </row>
    <row r="55">
      <c r="A55" s="27" t="s">
        <v>42</v>
      </c>
      <c r="B55" s="27" t="s">
        <v>207</v>
      </c>
      <c r="C55" s="27" t="s">
        <v>208</v>
      </c>
      <c r="D55" s="27" t="s">
        <v>209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39510</f>
        <v>39510.0</v>
      </c>
      <c r="L55" s="34" t="s">
        <v>158</v>
      </c>
      <c r="M55" s="33" t="n">
        <f>40680</f>
        <v>40680.0</v>
      </c>
      <c r="N55" s="34" t="s">
        <v>49</v>
      </c>
      <c r="O55" s="33" t="n">
        <f>38490</f>
        <v>38490.0</v>
      </c>
      <c r="P55" s="34" t="s">
        <v>210</v>
      </c>
      <c r="Q55" s="33" t="n">
        <f>39040</f>
        <v>39040.0</v>
      </c>
      <c r="R55" s="34" t="s">
        <v>70</v>
      </c>
      <c r="S55" s="35" t="n">
        <f>39329.09</f>
        <v>39329.09</v>
      </c>
      <c r="T55" s="32" t="n">
        <f>147</f>
        <v>147.0</v>
      </c>
      <c r="U55" s="32" t="n">
        <f>4</f>
        <v>4.0</v>
      </c>
      <c r="V55" s="32" t="n">
        <f>5732594</f>
        <v>5732594.0</v>
      </c>
      <c r="W55" s="32" t="n">
        <f>157104</f>
        <v>157104.0</v>
      </c>
      <c r="X55" s="36" t="n">
        <f>11</f>
        <v>11.0</v>
      </c>
    </row>
    <row r="56">
      <c r="A56" s="27" t="s">
        <v>42</v>
      </c>
      <c r="B56" s="27" t="s">
        <v>211</v>
      </c>
      <c r="C56" s="27" t="s">
        <v>212</v>
      </c>
      <c r="D56" s="27" t="s">
        <v>213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3525</f>
        <v>3525.0</v>
      </c>
      <c r="L56" s="34" t="s">
        <v>48</v>
      </c>
      <c r="M56" s="33" t="n">
        <f>3793</f>
        <v>3793.0</v>
      </c>
      <c r="N56" s="34" t="s">
        <v>154</v>
      </c>
      <c r="O56" s="33" t="n">
        <f>3447</f>
        <v>3447.0</v>
      </c>
      <c r="P56" s="34" t="s">
        <v>214</v>
      </c>
      <c r="Q56" s="33" t="n">
        <f>3581</f>
        <v>3581.0</v>
      </c>
      <c r="R56" s="34" t="s">
        <v>51</v>
      </c>
      <c r="S56" s="35" t="n">
        <f>3540.45</f>
        <v>3540.45</v>
      </c>
      <c r="T56" s="32" t="n">
        <f>2066</f>
        <v>2066.0</v>
      </c>
      <c r="U56" s="32" t="str">
        <f>"－"</f>
        <v>－</v>
      </c>
      <c r="V56" s="32" t="n">
        <f>7348177</f>
        <v>7348177.0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1574</f>
        <v>1574.0</v>
      </c>
      <c r="L57" s="34" t="s">
        <v>48</v>
      </c>
      <c r="M57" s="33" t="n">
        <f>1587</f>
        <v>1587.0</v>
      </c>
      <c r="N57" s="34" t="s">
        <v>51</v>
      </c>
      <c r="O57" s="33" t="n">
        <f>1561</f>
        <v>1561.0</v>
      </c>
      <c r="P57" s="34" t="s">
        <v>104</v>
      </c>
      <c r="Q57" s="33" t="n">
        <f>1586</f>
        <v>1586.0</v>
      </c>
      <c r="R57" s="34" t="s">
        <v>51</v>
      </c>
      <c r="S57" s="35" t="n">
        <f>1573.77</f>
        <v>1573.77</v>
      </c>
      <c r="T57" s="32" t="n">
        <f>5304469</f>
        <v>5304469.0</v>
      </c>
      <c r="U57" s="32" t="n">
        <f>3914427</f>
        <v>3914427.0</v>
      </c>
      <c r="V57" s="32" t="n">
        <f>8360579271</f>
        <v>8.360579271E9</v>
      </c>
      <c r="W57" s="32" t="n">
        <f>6170708954</f>
        <v>6.170708954E9</v>
      </c>
      <c r="X57" s="36" t="n">
        <f>22</f>
        <v>22.0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3496</f>
        <v>3496.0</v>
      </c>
      <c r="L58" s="34" t="s">
        <v>48</v>
      </c>
      <c r="M58" s="33" t="n">
        <f>3580</f>
        <v>3580.0</v>
      </c>
      <c r="N58" s="34" t="s">
        <v>66</v>
      </c>
      <c r="O58" s="33" t="n">
        <f>3444</f>
        <v>3444.0</v>
      </c>
      <c r="P58" s="34" t="s">
        <v>104</v>
      </c>
      <c r="Q58" s="33" t="n">
        <f>3523</f>
        <v>3523.0</v>
      </c>
      <c r="R58" s="34" t="s">
        <v>51</v>
      </c>
      <c r="S58" s="35" t="n">
        <f>3495.25</f>
        <v>3495.25</v>
      </c>
      <c r="T58" s="32" t="n">
        <f>1752</f>
        <v>1752.0</v>
      </c>
      <c r="U58" s="32" t="str">
        <f>"－"</f>
        <v>－</v>
      </c>
      <c r="V58" s="32" t="n">
        <f>6139323</f>
        <v>6139323.0</v>
      </c>
      <c r="W58" s="32" t="str">
        <f>"－"</f>
        <v>－</v>
      </c>
      <c r="X58" s="36" t="n">
        <f>16</f>
        <v>16.0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3485</f>
        <v>3485.0</v>
      </c>
      <c r="L59" s="34" t="s">
        <v>48</v>
      </c>
      <c r="M59" s="33" t="n">
        <f>3701</f>
        <v>3701.0</v>
      </c>
      <c r="N59" s="34" t="s">
        <v>49</v>
      </c>
      <c r="O59" s="33" t="n">
        <f>3354</f>
        <v>3354.0</v>
      </c>
      <c r="P59" s="34" t="s">
        <v>70</v>
      </c>
      <c r="Q59" s="33" t="n">
        <f>3586</f>
        <v>3586.0</v>
      </c>
      <c r="R59" s="34" t="s">
        <v>51</v>
      </c>
      <c r="S59" s="35" t="n">
        <f>3496.15</f>
        <v>3496.15</v>
      </c>
      <c r="T59" s="32" t="n">
        <f>287430</f>
        <v>287430.0</v>
      </c>
      <c r="U59" s="32" t="str">
        <f>"－"</f>
        <v>－</v>
      </c>
      <c r="V59" s="32" t="n">
        <f>1011641280</f>
        <v>1.01164128E9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50500</f>
        <v>50500.0</v>
      </c>
      <c r="L60" s="34" t="s">
        <v>85</v>
      </c>
      <c r="M60" s="33" t="n">
        <f>53950</f>
        <v>53950.0</v>
      </c>
      <c r="N60" s="34" t="s">
        <v>49</v>
      </c>
      <c r="O60" s="33" t="n">
        <f>49710</f>
        <v>49710.0</v>
      </c>
      <c r="P60" s="34" t="s">
        <v>210</v>
      </c>
      <c r="Q60" s="33" t="n">
        <f>52950</f>
        <v>52950.0</v>
      </c>
      <c r="R60" s="34" t="s">
        <v>70</v>
      </c>
      <c r="S60" s="35" t="n">
        <f>52022.5</f>
        <v>52022.5</v>
      </c>
      <c r="T60" s="32" t="n">
        <f>59</f>
        <v>59.0</v>
      </c>
      <c r="U60" s="32" t="str">
        <f>"－"</f>
        <v>－</v>
      </c>
      <c r="V60" s="32" t="n">
        <f>3020900</f>
        <v>3020900.0</v>
      </c>
      <c r="W60" s="32" t="str">
        <f>"－"</f>
        <v>－</v>
      </c>
      <c r="X60" s="36" t="n">
        <f>12</f>
        <v>12.0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24540</f>
        <v>24540.0</v>
      </c>
      <c r="L61" s="34" t="s">
        <v>48</v>
      </c>
      <c r="M61" s="33" t="n">
        <f>25215</f>
        <v>25215.0</v>
      </c>
      <c r="N61" s="34" t="s">
        <v>51</v>
      </c>
      <c r="O61" s="33" t="n">
        <f>24455</f>
        <v>24455.0</v>
      </c>
      <c r="P61" s="34" t="s">
        <v>104</v>
      </c>
      <c r="Q61" s="33" t="n">
        <f>25215</f>
        <v>25215.0</v>
      </c>
      <c r="R61" s="34" t="s">
        <v>51</v>
      </c>
      <c r="S61" s="35" t="n">
        <f>24756.36</f>
        <v>24756.36</v>
      </c>
      <c r="T61" s="32" t="n">
        <f>171388</f>
        <v>171388.0</v>
      </c>
      <c r="U61" s="32" t="n">
        <f>149146</f>
        <v>149146.0</v>
      </c>
      <c r="V61" s="32" t="n">
        <f>4223424909</f>
        <v>4.223424909E9</v>
      </c>
      <c r="W61" s="32" t="n">
        <f>3674554429</f>
        <v>3.674554429E9</v>
      </c>
      <c r="X61" s="36" t="n">
        <f>22</f>
        <v>22.0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12205</f>
        <v>12205.0</v>
      </c>
      <c r="L62" s="34" t="s">
        <v>48</v>
      </c>
      <c r="M62" s="33" t="n">
        <f>12285</f>
        <v>12285.0</v>
      </c>
      <c r="N62" s="34" t="s">
        <v>51</v>
      </c>
      <c r="O62" s="33" t="n">
        <f>12085</f>
        <v>12085.0</v>
      </c>
      <c r="P62" s="34" t="s">
        <v>104</v>
      </c>
      <c r="Q62" s="33" t="n">
        <f>12285</f>
        <v>12285.0</v>
      </c>
      <c r="R62" s="34" t="s">
        <v>51</v>
      </c>
      <c r="S62" s="35" t="n">
        <f>12187.73</f>
        <v>12187.73</v>
      </c>
      <c r="T62" s="32" t="n">
        <f>79508</f>
        <v>79508.0</v>
      </c>
      <c r="U62" s="32" t="n">
        <f>64071</f>
        <v>64071.0</v>
      </c>
      <c r="V62" s="32" t="n">
        <f>969857065</f>
        <v>9.69857065E8</v>
      </c>
      <c r="W62" s="32" t="n">
        <f>781767925</f>
        <v>7.81767925E8</v>
      </c>
      <c r="X62" s="36" t="n">
        <f>22</f>
        <v>22.0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1892</f>
        <v>1892.0</v>
      </c>
      <c r="L63" s="34" t="s">
        <v>48</v>
      </c>
      <c r="M63" s="33" t="n">
        <f>1892</f>
        <v>1892.0</v>
      </c>
      <c r="N63" s="34" t="s">
        <v>48</v>
      </c>
      <c r="O63" s="33" t="n">
        <f>1801</f>
        <v>1801.0</v>
      </c>
      <c r="P63" s="34" t="s">
        <v>195</v>
      </c>
      <c r="Q63" s="33" t="n">
        <f>1883</f>
        <v>1883.0</v>
      </c>
      <c r="R63" s="34" t="s">
        <v>51</v>
      </c>
      <c r="S63" s="35" t="n">
        <f>1837.73</f>
        <v>1837.73</v>
      </c>
      <c r="T63" s="32" t="n">
        <f>3661581</f>
        <v>3661581.0</v>
      </c>
      <c r="U63" s="32" t="n">
        <f>999148</f>
        <v>999148.0</v>
      </c>
      <c r="V63" s="32" t="n">
        <f>6721545564</f>
        <v>6.721545564E9</v>
      </c>
      <c r="W63" s="32" t="n">
        <f>1833732023</f>
        <v>1.833732023E9</v>
      </c>
      <c r="X63" s="36" t="n">
        <f>22</f>
        <v>22.0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3255</f>
        <v>3255.0</v>
      </c>
      <c r="L64" s="34" t="s">
        <v>48</v>
      </c>
      <c r="M64" s="33" t="n">
        <f>3306</f>
        <v>3306.0</v>
      </c>
      <c r="N64" s="34" t="s">
        <v>203</v>
      </c>
      <c r="O64" s="33" t="n">
        <f>3097</f>
        <v>3097.0</v>
      </c>
      <c r="P64" s="34" t="s">
        <v>50</v>
      </c>
      <c r="Q64" s="33" t="n">
        <f>3184</f>
        <v>3184.0</v>
      </c>
      <c r="R64" s="34" t="s">
        <v>51</v>
      </c>
      <c r="S64" s="35" t="n">
        <f>3215.32</f>
        <v>3215.32</v>
      </c>
      <c r="T64" s="32" t="n">
        <f>25348421</f>
        <v>2.5348421E7</v>
      </c>
      <c r="U64" s="32" t="n">
        <f>6848569</f>
        <v>6848569.0</v>
      </c>
      <c r="V64" s="32" t="n">
        <f>81348673408</f>
        <v>8.1348673408E10</v>
      </c>
      <c r="W64" s="32" t="n">
        <f>21904254895</f>
        <v>2.1904254895E10</v>
      </c>
      <c r="X64" s="36" t="n">
        <f>22</f>
        <v>22.0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7438</f>
        <v>7438.0</v>
      </c>
      <c r="L65" s="34" t="s">
        <v>48</v>
      </c>
      <c r="M65" s="33" t="n">
        <f>7900</f>
        <v>7900.0</v>
      </c>
      <c r="N65" s="34" t="s">
        <v>214</v>
      </c>
      <c r="O65" s="33" t="n">
        <f>7229</f>
        <v>7229.0</v>
      </c>
      <c r="P65" s="34" t="s">
        <v>214</v>
      </c>
      <c r="Q65" s="33" t="n">
        <f>7580</f>
        <v>7580.0</v>
      </c>
      <c r="R65" s="34" t="s">
        <v>51</v>
      </c>
      <c r="S65" s="35" t="n">
        <f>7544.11</f>
        <v>7544.11</v>
      </c>
      <c r="T65" s="32" t="n">
        <f>70</f>
        <v>70.0</v>
      </c>
      <c r="U65" s="32" t="str">
        <f>"－"</f>
        <v>－</v>
      </c>
      <c r="V65" s="32" t="n">
        <f>523067</f>
        <v>523067.0</v>
      </c>
      <c r="W65" s="32" t="str">
        <f>"－"</f>
        <v>－</v>
      </c>
      <c r="X65" s="36" t="n">
        <f>9</f>
        <v>9.0</v>
      </c>
    </row>
    <row r="66">
      <c r="A66" s="27" t="s">
        <v>42</v>
      </c>
      <c r="B66" s="27" t="s">
        <v>242</v>
      </c>
      <c r="C66" s="27" t="s">
        <v>243</v>
      </c>
      <c r="D66" s="27" t="s">
        <v>244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26185</f>
        <v>26185.0</v>
      </c>
      <c r="L66" s="34" t="s">
        <v>48</v>
      </c>
      <c r="M66" s="33" t="n">
        <f>26265</f>
        <v>26265.0</v>
      </c>
      <c r="N66" s="34" t="s">
        <v>49</v>
      </c>
      <c r="O66" s="33" t="n">
        <f>24335</f>
        <v>24335.0</v>
      </c>
      <c r="P66" s="34" t="s">
        <v>50</v>
      </c>
      <c r="Q66" s="33" t="n">
        <f>25660</f>
        <v>25660.0</v>
      </c>
      <c r="R66" s="34" t="s">
        <v>51</v>
      </c>
      <c r="S66" s="35" t="n">
        <f>25320</f>
        <v>25320.0</v>
      </c>
      <c r="T66" s="32" t="n">
        <f>25692</f>
        <v>25692.0</v>
      </c>
      <c r="U66" s="32" t="n">
        <f>32</f>
        <v>32.0</v>
      </c>
      <c r="V66" s="32" t="n">
        <f>651195414</f>
        <v>6.51195414E8</v>
      </c>
      <c r="W66" s="32" t="n">
        <f>814224</f>
        <v>814224.0</v>
      </c>
      <c r="X66" s="36" t="n">
        <f>22</f>
        <v>22.0</v>
      </c>
    </row>
    <row r="67">
      <c r="A67" s="27" t="s">
        <v>42</v>
      </c>
      <c r="B67" s="27" t="s">
        <v>245</v>
      </c>
      <c r="C67" s="27" t="s">
        <v>246</v>
      </c>
      <c r="D67" s="27" t="s">
        <v>247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42750</f>
        <v>42750.0</v>
      </c>
      <c r="L67" s="34" t="s">
        <v>48</v>
      </c>
      <c r="M67" s="33" t="n">
        <f>43680</f>
        <v>43680.0</v>
      </c>
      <c r="N67" s="34" t="s">
        <v>66</v>
      </c>
      <c r="O67" s="33" t="n">
        <f>40770</f>
        <v>40770.0</v>
      </c>
      <c r="P67" s="34" t="s">
        <v>158</v>
      </c>
      <c r="Q67" s="33" t="n">
        <f>43360</f>
        <v>43360.0</v>
      </c>
      <c r="R67" s="34" t="s">
        <v>51</v>
      </c>
      <c r="S67" s="35" t="n">
        <f>42555.91</f>
        <v>42555.91</v>
      </c>
      <c r="T67" s="32" t="n">
        <f>38011</f>
        <v>38011.0</v>
      </c>
      <c r="U67" s="32" t="n">
        <f>7873</f>
        <v>7873.0</v>
      </c>
      <c r="V67" s="32" t="n">
        <f>1615438882</f>
        <v>1.615438882E9</v>
      </c>
      <c r="W67" s="32" t="n">
        <f>339121272</f>
        <v>3.39121272E8</v>
      </c>
      <c r="X67" s="36" t="n">
        <f>22</f>
        <v>22.0</v>
      </c>
    </row>
    <row r="68">
      <c r="A68" s="27" t="s">
        <v>42</v>
      </c>
      <c r="B68" s="27" t="s">
        <v>248</v>
      </c>
      <c r="C68" s="27" t="s">
        <v>249</v>
      </c>
      <c r="D68" s="27" t="s">
        <v>250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11515</f>
        <v>11515.0</v>
      </c>
      <c r="L68" s="34" t="s">
        <v>48</v>
      </c>
      <c r="M68" s="33" t="n">
        <f>11750</f>
        <v>11750.0</v>
      </c>
      <c r="N68" s="34" t="s">
        <v>66</v>
      </c>
      <c r="O68" s="33" t="n">
        <f>11120</f>
        <v>11120.0</v>
      </c>
      <c r="P68" s="34" t="s">
        <v>195</v>
      </c>
      <c r="Q68" s="33" t="n">
        <f>11640</f>
        <v>11640.0</v>
      </c>
      <c r="R68" s="34" t="s">
        <v>51</v>
      </c>
      <c r="S68" s="35" t="n">
        <f>11513.18</f>
        <v>11513.18</v>
      </c>
      <c r="T68" s="32" t="n">
        <f>6184</f>
        <v>6184.0</v>
      </c>
      <c r="U68" s="32" t="n">
        <f>209</f>
        <v>209.0</v>
      </c>
      <c r="V68" s="32" t="n">
        <f>70926249</f>
        <v>7.0926249E7</v>
      </c>
      <c r="W68" s="32" t="n">
        <f>2414279</f>
        <v>2414279.0</v>
      </c>
      <c r="X68" s="36" t="n">
        <f>22</f>
        <v>22.0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1685</f>
        <v>1685.0</v>
      </c>
      <c r="L69" s="34" t="s">
        <v>48</v>
      </c>
      <c r="M69" s="33" t="n">
        <f>1698</f>
        <v>1698.0</v>
      </c>
      <c r="N69" s="34" t="s">
        <v>203</v>
      </c>
      <c r="O69" s="33" t="n">
        <f>1670</f>
        <v>1670.0</v>
      </c>
      <c r="P69" s="34" t="s">
        <v>62</v>
      </c>
      <c r="Q69" s="33" t="n">
        <f>1698</f>
        <v>1698.0</v>
      </c>
      <c r="R69" s="34" t="s">
        <v>51</v>
      </c>
      <c r="S69" s="35" t="n">
        <f>1688.14</f>
        <v>1688.14</v>
      </c>
      <c r="T69" s="32" t="n">
        <f>919453</f>
        <v>919453.0</v>
      </c>
      <c r="U69" s="32" t="n">
        <f>474000</f>
        <v>474000.0</v>
      </c>
      <c r="V69" s="32" t="n">
        <f>1549687514</f>
        <v>1.549687514E9</v>
      </c>
      <c r="W69" s="32" t="n">
        <f>798377160</f>
        <v>7.9837716E8</v>
      </c>
      <c r="X69" s="36" t="n">
        <f>22</f>
        <v>22.0</v>
      </c>
    </row>
    <row r="70">
      <c r="A70" s="27" t="s">
        <v>42</v>
      </c>
      <c r="B70" s="27" t="s">
        <v>254</v>
      </c>
      <c r="C70" s="27" t="s">
        <v>255</v>
      </c>
      <c r="D70" s="27" t="s">
        <v>256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1758</f>
        <v>1758.0</v>
      </c>
      <c r="L70" s="34" t="s">
        <v>48</v>
      </c>
      <c r="M70" s="33" t="n">
        <f>1766</f>
        <v>1766.0</v>
      </c>
      <c r="N70" s="34" t="s">
        <v>203</v>
      </c>
      <c r="O70" s="33" t="n">
        <f>1749</f>
        <v>1749.0</v>
      </c>
      <c r="P70" s="34" t="s">
        <v>104</v>
      </c>
      <c r="Q70" s="33" t="n">
        <f>1761</f>
        <v>1761.0</v>
      </c>
      <c r="R70" s="34" t="s">
        <v>51</v>
      </c>
      <c r="S70" s="35" t="n">
        <f>1759.32</f>
        <v>1759.32</v>
      </c>
      <c r="T70" s="32" t="n">
        <f>355397</f>
        <v>355397.0</v>
      </c>
      <c r="U70" s="32" t="str">
        <f>"－"</f>
        <v>－</v>
      </c>
      <c r="V70" s="32" t="n">
        <f>624391759</f>
        <v>6.24391759E8</v>
      </c>
      <c r="W70" s="32" t="str">
        <f>"－"</f>
        <v>－</v>
      </c>
      <c r="X70" s="36" t="n">
        <f>22</f>
        <v>22.0</v>
      </c>
    </row>
    <row r="71">
      <c r="A71" s="27" t="s">
        <v>42</v>
      </c>
      <c r="B71" s="27" t="s">
        <v>257</v>
      </c>
      <c r="C71" s="27" t="s">
        <v>258</v>
      </c>
      <c r="D71" s="27" t="s">
        <v>259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32110</f>
        <v>32110.0</v>
      </c>
      <c r="L71" s="34" t="s">
        <v>48</v>
      </c>
      <c r="M71" s="33" t="n">
        <f>33750</f>
        <v>33750.0</v>
      </c>
      <c r="N71" s="34" t="s">
        <v>66</v>
      </c>
      <c r="O71" s="33" t="n">
        <f>31370</f>
        <v>31370.0</v>
      </c>
      <c r="P71" s="34" t="s">
        <v>104</v>
      </c>
      <c r="Q71" s="33" t="n">
        <f>32830</f>
        <v>32830.0</v>
      </c>
      <c r="R71" s="34" t="s">
        <v>51</v>
      </c>
      <c r="S71" s="35" t="n">
        <f>32540.45</f>
        <v>32540.45</v>
      </c>
      <c r="T71" s="32" t="n">
        <f>9380</f>
        <v>9380.0</v>
      </c>
      <c r="U71" s="32" t="n">
        <f>6000</f>
        <v>6000.0</v>
      </c>
      <c r="V71" s="32" t="n">
        <f>304134970</f>
        <v>3.0413497E8</v>
      </c>
      <c r="W71" s="32" t="n">
        <f>194773710</f>
        <v>1.9477371E8</v>
      </c>
      <c r="X71" s="36" t="n">
        <f>22</f>
        <v>22.0</v>
      </c>
    </row>
    <row r="72">
      <c r="A72" s="27" t="s">
        <v>42</v>
      </c>
      <c r="B72" s="27" t="s">
        <v>260</v>
      </c>
      <c r="C72" s="27" t="s">
        <v>261</v>
      </c>
      <c r="D72" s="27" t="s">
        <v>262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8935</f>
        <v>8935.0</v>
      </c>
      <c r="L72" s="34" t="s">
        <v>48</v>
      </c>
      <c r="M72" s="33" t="n">
        <f>8955</f>
        <v>8955.0</v>
      </c>
      <c r="N72" s="34" t="s">
        <v>158</v>
      </c>
      <c r="O72" s="33" t="n">
        <f>8500</f>
        <v>8500.0</v>
      </c>
      <c r="P72" s="34" t="s">
        <v>70</v>
      </c>
      <c r="Q72" s="33" t="n">
        <f>8605</f>
        <v>8605.0</v>
      </c>
      <c r="R72" s="34" t="s">
        <v>51</v>
      </c>
      <c r="S72" s="35" t="n">
        <f>8745.41</f>
        <v>8745.41</v>
      </c>
      <c r="T72" s="32" t="n">
        <f>3987</f>
        <v>3987.0</v>
      </c>
      <c r="U72" s="32" t="n">
        <f>5</f>
        <v>5.0</v>
      </c>
      <c r="V72" s="32" t="n">
        <f>34819767</f>
        <v>3.4819767E7</v>
      </c>
      <c r="W72" s="32" t="n">
        <f>43605</f>
        <v>43605.0</v>
      </c>
      <c r="X72" s="36" t="n">
        <f>22</f>
        <v>22.0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21505</f>
        <v>21505.0</v>
      </c>
      <c r="L73" s="34" t="s">
        <v>48</v>
      </c>
      <c r="M73" s="33" t="n">
        <f>21620</f>
        <v>21620.0</v>
      </c>
      <c r="N73" s="34" t="s">
        <v>48</v>
      </c>
      <c r="O73" s="33" t="n">
        <f>19075</f>
        <v>19075.0</v>
      </c>
      <c r="P73" s="34" t="s">
        <v>123</v>
      </c>
      <c r="Q73" s="33" t="n">
        <f>19530</f>
        <v>19530.0</v>
      </c>
      <c r="R73" s="34" t="s">
        <v>51</v>
      </c>
      <c r="S73" s="35" t="n">
        <f>20391.59</f>
        <v>20391.59</v>
      </c>
      <c r="T73" s="32" t="n">
        <f>10214168</f>
        <v>1.0214168E7</v>
      </c>
      <c r="U73" s="32" t="n">
        <f>95659</f>
        <v>95659.0</v>
      </c>
      <c r="V73" s="32" t="n">
        <f>207580117749</f>
        <v>2.07580117749E11</v>
      </c>
      <c r="W73" s="32" t="n">
        <f>1919821784</f>
        <v>1.919821784E9</v>
      </c>
      <c r="X73" s="36" t="n">
        <f>22</f>
        <v>22.0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8905</f>
        <v>8905.0</v>
      </c>
      <c r="L74" s="34" t="s">
        <v>48</v>
      </c>
      <c r="M74" s="33" t="n">
        <f>9200</f>
        <v>9200.0</v>
      </c>
      <c r="N74" s="34" t="s">
        <v>158</v>
      </c>
      <c r="O74" s="33" t="n">
        <f>7215</f>
        <v>7215.0</v>
      </c>
      <c r="P74" s="34" t="s">
        <v>123</v>
      </c>
      <c r="Q74" s="33" t="n">
        <f>7376</f>
        <v>7376.0</v>
      </c>
      <c r="R74" s="34" t="s">
        <v>51</v>
      </c>
      <c r="S74" s="35" t="n">
        <f>8107.5</f>
        <v>8107.5</v>
      </c>
      <c r="T74" s="32" t="n">
        <f>1119460</f>
        <v>1119460.0</v>
      </c>
      <c r="U74" s="32" t="n">
        <f>1138</f>
        <v>1138.0</v>
      </c>
      <c r="V74" s="32" t="n">
        <f>9082560280</f>
        <v>9.08256028E9</v>
      </c>
      <c r="W74" s="32" t="n">
        <f>9082745</f>
        <v>9082745.0</v>
      </c>
      <c r="X74" s="36" t="n">
        <f>22</f>
        <v>22.0</v>
      </c>
    </row>
    <row r="75">
      <c r="A75" s="27" t="s">
        <v>42</v>
      </c>
      <c r="B75" s="27" t="s">
        <v>269</v>
      </c>
      <c r="C75" s="27" t="s">
        <v>270</v>
      </c>
      <c r="D75" s="27" t="s">
        <v>271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35450</f>
        <v>35450.0</v>
      </c>
      <c r="L75" s="34" t="s">
        <v>48</v>
      </c>
      <c r="M75" s="33" t="n">
        <f>36130</f>
        <v>36130.0</v>
      </c>
      <c r="N75" s="34" t="s">
        <v>158</v>
      </c>
      <c r="O75" s="33" t="n">
        <f>26465</f>
        <v>26465.0</v>
      </c>
      <c r="P75" s="34" t="s">
        <v>70</v>
      </c>
      <c r="Q75" s="33" t="n">
        <f>27840</f>
        <v>27840.0</v>
      </c>
      <c r="R75" s="34" t="s">
        <v>51</v>
      </c>
      <c r="S75" s="35" t="n">
        <f>31400.91</f>
        <v>31400.91</v>
      </c>
      <c r="T75" s="32" t="n">
        <f>2139169</f>
        <v>2139169.0</v>
      </c>
      <c r="U75" s="32" t="n">
        <f>32180</f>
        <v>32180.0</v>
      </c>
      <c r="V75" s="32" t="n">
        <f>66187061530</f>
        <v>6.618706153E10</v>
      </c>
      <c r="W75" s="32" t="n">
        <f>987013465</f>
        <v>9.87013465E8</v>
      </c>
      <c r="X75" s="36" t="n">
        <f>22</f>
        <v>22.0</v>
      </c>
    </row>
    <row r="76">
      <c r="A76" s="27" t="s">
        <v>42</v>
      </c>
      <c r="B76" s="27" t="s">
        <v>272</v>
      </c>
      <c r="C76" s="27" t="s">
        <v>273</v>
      </c>
      <c r="D76" s="27" t="s">
        <v>274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63500</f>
        <v>63500.0</v>
      </c>
      <c r="L76" s="34" t="s">
        <v>48</v>
      </c>
      <c r="M76" s="33" t="n">
        <f>63650</f>
        <v>63650.0</v>
      </c>
      <c r="N76" s="34" t="s">
        <v>158</v>
      </c>
      <c r="O76" s="33" t="n">
        <f>53500</f>
        <v>53500.0</v>
      </c>
      <c r="P76" s="34" t="s">
        <v>123</v>
      </c>
      <c r="Q76" s="33" t="n">
        <f>56700</f>
        <v>56700.0</v>
      </c>
      <c r="R76" s="34" t="s">
        <v>51</v>
      </c>
      <c r="S76" s="35" t="n">
        <f>58540</f>
        <v>58540.0</v>
      </c>
      <c r="T76" s="32" t="n">
        <f>14247</f>
        <v>14247.0</v>
      </c>
      <c r="U76" s="32" t="n">
        <f>384</f>
        <v>384.0</v>
      </c>
      <c r="V76" s="32" t="n">
        <f>824796816</f>
        <v>8.24796816E8</v>
      </c>
      <c r="W76" s="32" t="n">
        <f>22416146</f>
        <v>2.2416146E7</v>
      </c>
      <c r="X76" s="36" t="n">
        <f>22</f>
        <v>22.0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10.0</v>
      </c>
      <c r="K77" s="33" t="n">
        <f>244.8</f>
        <v>244.8</v>
      </c>
      <c r="L77" s="34" t="s">
        <v>48</v>
      </c>
      <c r="M77" s="33" t="n">
        <f>248.2</f>
        <v>248.2</v>
      </c>
      <c r="N77" s="34" t="s">
        <v>214</v>
      </c>
      <c r="O77" s="33" t="n">
        <f>229.6</f>
        <v>229.6</v>
      </c>
      <c r="P77" s="34" t="s">
        <v>50</v>
      </c>
      <c r="Q77" s="33" t="n">
        <f>243.2</f>
        <v>243.2</v>
      </c>
      <c r="R77" s="34" t="s">
        <v>51</v>
      </c>
      <c r="S77" s="35" t="n">
        <f>242.74</f>
        <v>242.74</v>
      </c>
      <c r="T77" s="32" t="n">
        <f>133395300</f>
        <v>1.333953E8</v>
      </c>
      <c r="U77" s="32" t="n">
        <f>6404060</f>
        <v>6404060.0</v>
      </c>
      <c r="V77" s="32" t="n">
        <f>32284725853</f>
        <v>3.2284725853E10</v>
      </c>
      <c r="W77" s="32" t="n">
        <f>1548410775</f>
        <v>1.548410775E9</v>
      </c>
      <c r="X77" s="36" t="n">
        <f>22</f>
        <v>22.0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79500</f>
        <v>79500.0</v>
      </c>
      <c r="L78" s="34" t="s">
        <v>48</v>
      </c>
      <c r="M78" s="33" t="n">
        <f>83240</f>
        <v>83240.0</v>
      </c>
      <c r="N78" s="34" t="s">
        <v>51</v>
      </c>
      <c r="O78" s="33" t="n">
        <f>78150</f>
        <v>78150.0</v>
      </c>
      <c r="P78" s="34" t="s">
        <v>50</v>
      </c>
      <c r="Q78" s="33" t="n">
        <f>83240</f>
        <v>83240.0</v>
      </c>
      <c r="R78" s="34" t="s">
        <v>51</v>
      </c>
      <c r="S78" s="35" t="n">
        <f>80844.55</f>
        <v>80844.55</v>
      </c>
      <c r="T78" s="32" t="n">
        <f>52133</f>
        <v>52133.0</v>
      </c>
      <c r="U78" s="32" t="n">
        <f>4486</f>
        <v>4486.0</v>
      </c>
      <c r="V78" s="32" t="n">
        <f>4216302370</f>
        <v>4.21630237E9</v>
      </c>
      <c r="W78" s="32" t="n">
        <f>356509620</f>
        <v>3.5650962E8</v>
      </c>
      <c r="X78" s="36" t="n">
        <f>22</f>
        <v>22.0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13130</f>
        <v>13130.0</v>
      </c>
      <c r="L79" s="34" t="s">
        <v>48</v>
      </c>
      <c r="M79" s="33" t="n">
        <f>13245</f>
        <v>13245.0</v>
      </c>
      <c r="N79" s="34" t="s">
        <v>214</v>
      </c>
      <c r="O79" s="33" t="n">
        <f>12610</f>
        <v>12610.0</v>
      </c>
      <c r="P79" s="34" t="s">
        <v>50</v>
      </c>
      <c r="Q79" s="33" t="n">
        <f>13115</f>
        <v>13115.0</v>
      </c>
      <c r="R79" s="34" t="s">
        <v>51</v>
      </c>
      <c r="S79" s="35" t="n">
        <f>13021.36</f>
        <v>13021.36</v>
      </c>
      <c r="T79" s="32" t="n">
        <f>470679</f>
        <v>470679.0</v>
      </c>
      <c r="U79" s="32" t="n">
        <f>530</f>
        <v>530.0</v>
      </c>
      <c r="V79" s="32" t="n">
        <f>6130340054</f>
        <v>6.130340054E9</v>
      </c>
      <c r="W79" s="32" t="n">
        <f>6864504</f>
        <v>6864504.0</v>
      </c>
      <c r="X79" s="36" t="n">
        <f>22</f>
        <v>22.0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8079</f>
        <v>8079.0</v>
      </c>
      <c r="L80" s="34" t="s">
        <v>48</v>
      </c>
      <c r="M80" s="33" t="n">
        <f>8163</f>
        <v>8163.0</v>
      </c>
      <c r="N80" s="34" t="s">
        <v>85</v>
      </c>
      <c r="O80" s="33" t="n">
        <f>7743</f>
        <v>7743.0</v>
      </c>
      <c r="P80" s="34" t="s">
        <v>50</v>
      </c>
      <c r="Q80" s="33" t="n">
        <f>8039</f>
        <v>8039.0</v>
      </c>
      <c r="R80" s="34" t="s">
        <v>51</v>
      </c>
      <c r="S80" s="35" t="n">
        <f>7991.73</f>
        <v>7991.73</v>
      </c>
      <c r="T80" s="32" t="n">
        <f>196452</f>
        <v>196452.0</v>
      </c>
      <c r="U80" s="32" t="n">
        <f>106305</f>
        <v>106305.0</v>
      </c>
      <c r="V80" s="32" t="n">
        <f>1569197959</f>
        <v>1.569197959E9</v>
      </c>
      <c r="W80" s="32" t="n">
        <f>847165796</f>
        <v>8.47165796E8</v>
      </c>
      <c r="X80" s="36" t="n">
        <f>22</f>
        <v>22.0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7089</f>
        <v>7089.0</v>
      </c>
      <c r="L81" s="34" t="s">
        <v>48</v>
      </c>
      <c r="M81" s="33" t="n">
        <f>7271</f>
        <v>7271.0</v>
      </c>
      <c r="N81" s="34" t="s">
        <v>49</v>
      </c>
      <c r="O81" s="33" t="n">
        <f>6800</f>
        <v>6800.0</v>
      </c>
      <c r="P81" s="34" t="s">
        <v>50</v>
      </c>
      <c r="Q81" s="33" t="n">
        <f>6994</f>
        <v>6994.0</v>
      </c>
      <c r="R81" s="34" t="s">
        <v>51</v>
      </c>
      <c r="S81" s="35" t="n">
        <f>6991.09</f>
        <v>6991.09</v>
      </c>
      <c r="T81" s="32" t="n">
        <f>3320</f>
        <v>3320.0</v>
      </c>
      <c r="U81" s="32" t="n">
        <f>250</f>
        <v>250.0</v>
      </c>
      <c r="V81" s="32" t="n">
        <f>23389854</f>
        <v>2.3389854E7</v>
      </c>
      <c r="W81" s="32" t="n">
        <f>1747274</f>
        <v>1747274.0</v>
      </c>
      <c r="X81" s="36" t="n">
        <f>22</f>
        <v>22.0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6770</f>
        <v>6770.0</v>
      </c>
      <c r="L82" s="34" t="s">
        <v>48</v>
      </c>
      <c r="M82" s="33" t="n">
        <f>6857</f>
        <v>6857.0</v>
      </c>
      <c r="N82" s="34" t="s">
        <v>85</v>
      </c>
      <c r="O82" s="33" t="n">
        <f>6510</f>
        <v>6510.0</v>
      </c>
      <c r="P82" s="34" t="s">
        <v>50</v>
      </c>
      <c r="Q82" s="33" t="n">
        <f>6808</f>
        <v>6808.0</v>
      </c>
      <c r="R82" s="34" t="s">
        <v>51</v>
      </c>
      <c r="S82" s="35" t="n">
        <f>6743.55</f>
        <v>6743.55</v>
      </c>
      <c r="T82" s="32" t="n">
        <f>55087</f>
        <v>55087.0</v>
      </c>
      <c r="U82" s="32" t="n">
        <f>1111</f>
        <v>1111.0</v>
      </c>
      <c r="V82" s="32" t="n">
        <f>370728687</f>
        <v>3.70728687E8</v>
      </c>
      <c r="W82" s="32" t="n">
        <f>7433403</f>
        <v>7433403.0</v>
      </c>
      <c r="X82" s="36" t="n">
        <f>22</f>
        <v>22.0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2525</f>
        <v>2525.0</v>
      </c>
      <c r="L83" s="34" t="s">
        <v>48</v>
      </c>
      <c r="M83" s="33" t="n">
        <f>2628</f>
        <v>2628.0</v>
      </c>
      <c r="N83" s="34" t="s">
        <v>296</v>
      </c>
      <c r="O83" s="33" t="n">
        <f>2408</f>
        <v>2408.0</v>
      </c>
      <c r="P83" s="34" t="s">
        <v>62</v>
      </c>
      <c r="Q83" s="33" t="n">
        <f>2538</f>
        <v>2538.0</v>
      </c>
      <c r="R83" s="34" t="s">
        <v>51</v>
      </c>
      <c r="S83" s="35" t="n">
        <f>2540.27</f>
        <v>2540.27</v>
      </c>
      <c r="T83" s="32" t="n">
        <f>83139</f>
        <v>83139.0</v>
      </c>
      <c r="U83" s="32" t="n">
        <f>2160</f>
        <v>2160.0</v>
      </c>
      <c r="V83" s="32" t="n">
        <f>210421396</f>
        <v>2.10421396E8</v>
      </c>
      <c r="W83" s="32" t="n">
        <f>5479793</f>
        <v>5479793.0</v>
      </c>
      <c r="X83" s="36" t="n">
        <f>22</f>
        <v>22.0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120700</f>
        <v>120700.0</v>
      </c>
      <c r="L84" s="34" t="s">
        <v>48</v>
      </c>
      <c r="M84" s="33" t="n">
        <f>121550</f>
        <v>121550.0</v>
      </c>
      <c r="N84" s="34" t="s">
        <v>85</v>
      </c>
      <c r="O84" s="33" t="n">
        <f>116000</f>
        <v>116000.0</v>
      </c>
      <c r="P84" s="34" t="s">
        <v>50</v>
      </c>
      <c r="Q84" s="33" t="n">
        <f>120450</f>
        <v>120450.0</v>
      </c>
      <c r="R84" s="34" t="s">
        <v>51</v>
      </c>
      <c r="S84" s="35" t="n">
        <f>119634.09</f>
        <v>119634.09</v>
      </c>
      <c r="T84" s="32" t="n">
        <f>41520</f>
        <v>41520.0</v>
      </c>
      <c r="U84" s="32" t="n">
        <f>75</f>
        <v>75.0</v>
      </c>
      <c r="V84" s="32" t="n">
        <f>4964116500</f>
        <v>4.9641165E9</v>
      </c>
      <c r="W84" s="32" t="n">
        <f>8935200</f>
        <v>8935200.0</v>
      </c>
      <c r="X84" s="36" t="n">
        <f>22</f>
        <v>22.0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4600</f>
        <v>4600.0</v>
      </c>
      <c r="L85" s="34" t="s">
        <v>48</v>
      </c>
      <c r="M85" s="33" t="n">
        <f>4850</f>
        <v>4850.0</v>
      </c>
      <c r="N85" s="34" t="s">
        <v>203</v>
      </c>
      <c r="O85" s="33" t="n">
        <f>4545</f>
        <v>4545.0</v>
      </c>
      <c r="P85" s="34" t="s">
        <v>104</v>
      </c>
      <c r="Q85" s="33" t="n">
        <f>4710</f>
        <v>4710.0</v>
      </c>
      <c r="R85" s="34" t="s">
        <v>51</v>
      </c>
      <c r="S85" s="35" t="n">
        <f>4688.77</f>
        <v>4688.77</v>
      </c>
      <c r="T85" s="32" t="n">
        <f>10559</f>
        <v>10559.0</v>
      </c>
      <c r="U85" s="32" t="str">
        <f>"－"</f>
        <v>－</v>
      </c>
      <c r="V85" s="32" t="n">
        <f>49569015</f>
        <v>4.9569015E7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6715</f>
        <v>6715.0</v>
      </c>
      <c r="L86" s="34" t="s">
        <v>48</v>
      </c>
      <c r="M86" s="33" t="n">
        <f>6800</f>
        <v>6800.0</v>
      </c>
      <c r="N86" s="34" t="s">
        <v>210</v>
      </c>
      <c r="O86" s="33" t="n">
        <f>6432</f>
        <v>6432.0</v>
      </c>
      <c r="P86" s="34" t="s">
        <v>154</v>
      </c>
      <c r="Q86" s="33" t="n">
        <f>6520</f>
        <v>6520.0</v>
      </c>
      <c r="R86" s="34" t="s">
        <v>51</v>
      </c>
      <c r="S86" s="35" t="n">
        <f>6611.5</f>
        <v>6611.5</v>
      </c>
      <c r="T86" s="32" t="n">
        <f>6462</f>
        <v>6462.0</v>
      </c>
      <c r="U86" s="32" t="str">
        <f>"－"</f>
        <v>－</v>
      </c>
      <c r="V86" s="32" t="n">
        <f>42705467</f>
        <v>4.2705467E7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2611</f>
        <v>2611.0</v>
      </c>
      <c r="L87" s="34" t="s">
        <v>48</v>
      </c>
      <c r="M87" s="33" t="n">
        <f>2659</f>
        <v>2659.0</v>
      </c>
      <c r="N87" s="34" t="s">
        <v>48</v>
      </c>
      <c r="O87" s="33" t="n">
        <f>2092</f>
        <v>2092.0</v>
      </c>
      <c r="P87" s="34" t="s">
        <v>70</v>
      </c>
      <c r="Q87" s="33" t="n">
        <f>2207</f>
        <v>2207.0</v>
      </c>
      <c r="R87" s="34" t="s">
        <v>51</v>
      </c>
      <c r="S87" s="35" t="n">
        <f>2287.32</f>
        <v>2287.32</v>
      </c>
      <c r="T87" s="32" t="n">
        <f>597998</f>
        <v>597998.0</v>
      </c>
      <c r="U87" s="32" t="n">
        <f>620</f>
        <v>620.0</v>
      </c>
      <c r="V87" s="32" t="n">
        <f>1378142435</f>
        <v>1.378142435E9</v>
      </c>
      <c r="W87" s="32" t="n">
        <f>1508430</f>
        <v>1508430.0</v>
      </c>
      <c r="X87" s="36" t="n">
        <f>22</f>
        <v>22.0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53480</f>
        <v>53480.0</v>
      </c>
      <c r="L88" s="34" t="s">
        <v>48</v>
      </c>
      <c r="M88" s="33" t="n">
        <f>55230</f>
        <v>55230.0</v>
      </c>
      <c r="N88" s="34" t="s">
        <v>50</v>
      </c>
      <c r="O88" s="33" t="n">
        <f>53120</f>
        <v>53120.0</v>
      </c>
      <c r="P88" s="34" t="s">
        <v>50</v>
      </c>
      <c r="Q88" s="33" t="n">
        <f>54640</f>
        <v>54640.0</v>
      </c>
      <c r="R88" s="34" t="s">
        <v>51</v>
      </c>
      <c r="S88" s="35" t="n">
        <f>53927.73</f>
        <v>53927.73</v>
      </c>
      <c r="T88" s="32" t="n">
        <f>14490</f>
        <v>14490.0</v>
      </c>
      <c r="U88" s="32" t="n">
        <f>3162</f>
        <v>3162.0</v>
      </c>
      <c r="V88" s="32" t="n">
        <f>782664536</f>
        <v>7.82664536E8</v>
      </c>
      <c r="W88" s="32" t="n">
        <f>171123106</f>
        <v>1.71123106E8</v>
      </c>
      <c r="X88" s="36" t="n">
        <f>22</f>
        <v>22.0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941.4</f>
        <v>941.4</v>
      </c>
      <c r="L89" s="34" t="s">
        <v>48</v>
      </c>
      <c r="M89" s="33" t="n">
        <f>1018</f>
        <v>1018.0</v>
      </c>
      <c r="N89" s="34" t="s">
        <v>49</v>
      </c>
      <c r="O89" s="33" t="n">
        <f>855.7</f>
        <v>855.7</v>
      </c>
      <c r="P89" s="34" t="s">
        <v>50</v>
      </c>
      <c r="Q89" s="33" t="n">
        <f>962.7</f>
        <v>962.7</v>
      </c>
      <c r="R89" s="34" t="s">
        <v>51</v>
      </c>
      <c r="S89" s="35" t="n">
        <f>949.23</f>
        <v>949.23</v>
      </c>
      <c r="T89" s="32" t="n">
        <f>127284640</f>
        <v>1.2728464E8</v>
      </c>
      <c r="U89" s="32" t="n">
        <f>189180</f>
        <v>189180.0</v>
      </c>
      <c r="V89" s="32" t="n">
        <f>120400482824</f>
        <v>1.20400482824E11</v>
      </c>
      <c r="W89" s="32" t="n">
        <f>179746865</f>
        <v>1.79746865E8</v>
      </c>
      <c r="X89" s="36" t="n">
        <f>22</f>
        <v>22.0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773</f>
        <v>773.0</v>
      </c>
      <c r="L90" s="34" t="s">
        <v>48</v>
      </c>
      <c r="M90" s="33" t="n">
        <f>807.3</f>
        <v>807.3</v>
      </c>
      <c r="N90" s="34" t="s">
        <v>50</v>
      </c>
      <c r="O90" s="33" t="n">
        <f>739.2</f>
        <v>739.2</v>
      </c>
      <c r="P90" s="34" t="s">
        <v>49</v>
      </c>
      <c r="Q90" s="33" t="n">
        <f>760</f>
        <v>760.0</v>
      </c>
      <c r="R90" s="34" t="s">
        <v>51</v>
      </c>
      <c r="S90" s="35" t="n">
        <f>766.76</f>
        <v>766.76</v>
      </c>
      <c r="T90" s="32" t="n">
        <f>4401970</f>
        <v>4401970.0</v>
      </c>
      <c r="U90" s="32" t="n">
        <f>15710</f>
        <v>15710.0</v>
      </c>
      <c r="V90" s="32" t="n">
        <f>3361355304</f>
        <v>3.361355304E9</v>
      </c>
      <c r="W90" s="32" t="n">
        <f>12252343</f>
        <v>1.2252343E7</v>
      </c>
      <c r="X90" s="36" t="n">
        <f>22</f>
        <v>22.0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72090</f>
        <v>72090.0</v>
      </c>
      <c r="L91" s="34" t="s">
        <v>48</v>
      </c>
      <c r="M91" s="33" t="n">
        <f>86380</f>
        <v>86380.0</v>
      </c>
      <c r="N91" s="34" t="s">
        <v>49</v>
      </c>
      <c r="O91" s="33" t="n">
        <f>63340</f>
        <v>63340.0</v>
      </c>
      <c r="P91" s="34" t="s">
        <v>50</v>
      </c>
      <c r="Q91" s="33" t="n">
        <f>79510</f>
        <v>79510.0</v>
      </c>
      <c r="R91" s="34" t="s">
        <v>51</v>
      </c>
      <c r="S91" s="35" t="n">
        <f>76177.27</f>
        <v>76177.27</v>
      </c>
      <c r="T91" s="32" t="n">
        <f>90050080</f>
        <v>9.005008E7</v>
      </c>
      <c r="U91" s="32" t="n">
        <f>829170</f>
        <v>829170.0</v>
      </c>
      <c r="V91" s="32" t="n">
        <f>6849761358783</f>
        <v>6.849761358783E12</v>
      </c>
      <c r="W91" s="32" t="n">
        <f>63051508083</f>
        <v>6.3051508083E10</v>
      </c>
      <c r="X91" s="36" t="n">
        <f>22</f>
        <v>22.0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302</f>
        <v>302.0</v>
      </c>
      <c r="L92" s="34" t="s">
        <v>48</v>
      </c>
      <c r="M92" s="33" t="n">
        <f>321</f>
        <v>321.0</v>
      </c>
      <c r="N92" s="34" t="s">
        <v>50</v>
      </c>
      <c r="O92" s="33" t="n">
        <f>273</f>
        <v>273.0</v>
      </c>
      <c r="P92" s="34" t="s">
        <v>49</v>
      </c>
      <c r="Q92" s="33" t="n">
        <f>282</f>
        <v>282.0</v>
      </c>
      <c r="R92" s="34" t="s">
        <v>51</v>
      </c>
      <c r="S92" s="35" t="n">
        <f>292.18</f>
        <v>292.18</v>
      </c>
      <c r="T92" s="32" t="n">
        <f>85158685</f>
        <v>8.5158685E7</v>
      </c>
      <c r="U92" s="32" t="n">
        <f>26282696</f>
        <v>2.6282696E7</v>
      </c>
      <c r="V92" s="32" t="n">
        <f>24887244287</f>
        <v>2.4887244287E10</v>
      </c>
      <c r="W92" s="32" t="n">
        <f>7830873631</f>
        <v>7.830873631E9</v>
      </c>
      <c r="X92" s="36" t="n">
        <f>22</f>
        <v>22.0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7000</f>
        <v>7000.0</v>
      </c>
      <c r="L93" s="34" t="s">
        <v>48</v>
      </c>
      <c r="M93" s="33" t="n">
        <f>7534</f>
        <v>7534.0</v>
      </c>
      <c r="N93" s="34" t="s">
        <v>85</v>
      </c>
      <c r="O93" s="33" t="n">
        <f>5510</f>
        <v>5510.0</v>
      </c>
      <c r="P93" s="34" t="s">
        <v>70</v>
      </c>
      <c r="Q93" s="33" t="n">
        <f>5747</f>
        <v>5747.0</v>
      </c>
      <c r="R93" s="34" t="s">
        <v>51</v>
      </c>
      <c r="S93" s="35" t="n">
        <f>6585.55</f>
        <v>6585.55</v>
      </c>
      <c r="T93" s="32" t="n">
        <f>110630</f>
        <v>110630.0</v>
      </c>
      <c r="U93" s="32" t="str">
        <f>"－"</f>
        <v>－</v>
      </c>
      <c r="V93" s="32" t="n">
        <f>715878090</f>
        <v>7.1587809E8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8400</f>
        <v>8400.0</v>
      </c>
      <c r="L94" s="34" t="s">
        <v>48</v>
      </c>
      <c r="M94" s="33" t="n">
        <f>9630</f>
        <v>9630.0</v>
      </c>
      <c r="N94" s="34" t="s">
        <v>70</v>
      </c>
      <c r="O94" s="33" t="n">
        <f>8162</f>
        <v>8162.0</v>
      </c>
      <c r="P94" s="34" t="s">
        <v>85</v>
      </c>
      <c r="Q94" s="33" t="n">
        <f>9489</f>
        <v>9489.0</v>
      </c>
      <c r="R94" s="34" t="s">
        <v>51</v>
      </c>
      <c r="S94" s="35" t="n">
        <f>8792.05</f>
        <v>8792.05</v>
      </c>
      <c r="T94" s="32" t="n">
        <f>16350</f>
        <v>16350.0</v>
      </c>
      <c r="U94" s="32" t="str">
        <f>"－"</f>
        <v>－</v>
      </c>
      <c r="V94" s="32" t="n">
        <f>144392860</f>
        <v>1.4439286E8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54510</f>
        <v>54510.0</v>
      </c>
      <c r="L95" s="34" t="s">
        <v>48</v>
      </c>
      <c r="M95" s="33" t="n">
        <f>56130</f>
        <v>56130.0</v>
      </c>
      <c r="N95" s="34" t="s">
        <v>203</v>
      </c>
      <c r="O95" s="33" t="n">
        <f>52940</f>
        <v>52940.0</v>
      </c>
      <c r="P95" s="34" t="s">
        <v>158</v>
      </c>
      <c r="Q95" s="33" t="n">
        <f>54730</f>
        <v>54730.0</v>
      </c>
      <c r="R95" s="34" t="s">
        <v>51</v>
      </c>
      <c r="S95" s="35" t="n">
        <f>54490.45</f>
        <v>54490.45</v>
      </c>
      <c r="T95" s="32" t="n">
        <f>106059</f>
        <v>106059.0</v>
      </c>
      <c r="U95" s="32" t="n">
        <f>13990</f>
        <v>13990.0</v>
      </c>
      <c r="V95" s="32" t="n">
        <f>5788861186</f>
        <v>5.788861186E9</v>
      </c>
      <c r="W95" s="32" t="n">
        <f>773169716</f>
        <v>7.73169716E8</v>
      </c>
      <c r="X95" s="36" t="n">
        <f>22</f>
        <v>22.0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5333</f>
        <v>5333.0</v>
      </c>
      <c r="L96" s="34" t="s">
        <v>48</v>
      </c>
      <c r="M96" s="33" t="n">
        <f>5855</f>
        <v>5855.0</v>
      </c>
      <c r="N96" s="34" t="s">
        <v>49</v>
      </c>
      <c r="O96" s="33" t="n">
        <f>5010</f>
        <v>5010.0</v>
      </c>
      <c r="P96" s="34" t="s">
        <v>50</v>
      </c>
      <c r="Q96" s="33" t="n">
        <f>5624</f>
        <v>5624.0</v>
      </c>
      <c r="R96" s="34" t="s">
        <v>51</v>
      </c>
      <c r="S96" s="35" t="n">
        <f>5493.23</f>
        <v>5493.23</v>
      </c>
      <c r="T96" s="32" t="n">
        <f>328631</f>
        <v>328631.0</v>
      </c>
      <c r="U96" s="32" t="n">
        <f>19275</f>
        <v>19275.0</v>
      </c>
      <c r="V96" s="32" t="n">
        <f>1799173632</f>
        <v>1.799173632E9</v>
      </c>
      <c r="W96" s="32" t="n">
        <f>102589491</f>
        <v>1.02589491E8</v>
      </c>
      <c r="X96" s="36" t="n">
        <f>22</f>
        <v>22.0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779.8</f>
        <v>779.8</v>
      </c>
      <c r="L97" s="34" t="s">
        <v>48</v>
      </c>
      <c r="M97" s="33" t="n">
        <f>933.7</f>
        <v>933.7</v>
      </c>
      <c r="N97" s="34" t="s">
        <v>49</v>
      </c>
      <c r="O97" s="33" t="n">
        <f>684.5</f>
        <v>684.5</v>
      </c>
      <c r="P97" s="34" t="s">
        <v>50</v>
      </c>
      <c r="Q97" s="33" t="n">
        <f>858.8</f>
        <v>858.8</v>
      </c>
      <c r="R97" s="34" t="s">
        <v>51</v>
      </c>
      <c r="S97" s="35" t="n">
        <f>823.2</f>
        <v>823.2</v>
      </c>
      <c r="T97" s="32" t="n">
        <f>477100420</f>
        <v>4.7710042E8</v>
      </c>
      <c r="U97" s="32" t="n">
        <f>8738060</f>
        <v>8738060.0</v>
      </c>
      <c r="V97" s="32" t="n">
        <f>389029070243</f>
        <v>3.89029070243E11</v>
      </c>
      <c r="W97" s="32" t="n">
        <f>7146448068</f>
        <v>7.146448068E9</v>
      </c>
      <c r="X97" s="36" t="n">
        <f>22</f>
        <v>22.0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804.4</f>
        <v>804.4</v>
      </c>
      <c r="L98" s="34" t="s">
        <v>48</v>
      </c>
      <c r="M98" s="33" t="n">
        <f>851.7</f>
        <v>851.7</v>
      </c>
      <c r="N98" s="34" t="s">
        <v>50</v>
      </c>
      <c r="O98" s="33" t="n">
        <f>725.7</f>
        <v>725.7</v>
      </c>
      <c r="P98" s="34" t="s">
        <v>49</v>
      </c>
      <c r="Q98" s="33" t="n">
        <f>750.2</f>
        <v>750.2</v>
      </c>
      <c r="R98" s="34" t="s">
        <v>51</v>
      </c>
      <c r="S98" s="35" t="n">
        <f>776.45</f>
        <v>776.45</v>
      </c>
      <c r="T98" s="32" t="n">
        <f>19319030</f>
        <v>1.931903E7</v>
      </c>
      <c r="U98" s="32" t="n">
        <f>4841770</f>
        <v>4841770.0</v>
      </c>
      <c r="V98" s="32" t="n">
        <f>15141906197</f>
        <v>1.5141906197E10</v>
      </c>
      <c r="W98" s="32" t="n">
        <f>3808546909</f>
        <v>3.808546909E9</v>
      </c>
      <c r="X98" s="36" t="n">
        <f>22</f>
        <v>22.0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2637</f>
        <v>2637.0</v>
      </c>
      <c r="L99" s="34" t="s">
        <v>158</v>
      </c>
      <c r="M99" s="33" t="n">
        <f>2731.5</f>
        <v>2731.5</v>
      </c>
      <c r="N99" s="34" t="s">
        <v>49</v>
      </c>
      <c r="O99" s="33" t="n">
        <f>2517.5</f>
        <v>2517.5</v>
      </c>
      <c r="P99" s="34" t="s">
        <v>50</v>
      </c>
      <c r="Q99" s="33" t="n">
        <f>2669</f>
        <v>2669.0</v>
      </c>
      <c r="R99" s="34" t="s">
        <v>70</v>
      </c>
      <c r="S99" s="35" t="n">
        <f>2646.57</f>
        <v>2646.57</v>
      </c>
      <c r="T99" s="32" t="n">
        <f>860</f>
        <v>860.0</v>
      </c>
      <c r="U99" s="32" t="str">
        <f>"－"</f>
        <v>－</v>
      </c>
      <c r="V99" s="32" t="n">
        <f>2256700</f>
        <v>2256700.0</v>
      </c>
      <c r="W99" s="32" t="str">
        <f>"－"</f>
        <v>－</v>
      </c>
      <c r="X99" s="36" t="n">
        <f>14</f>
        <v>14.0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3132</f>
        <v>3132.0</v>
      </c>
      <c r="L100" s="34" t="s">
        <v>48</v>
      </c>
      <c r="M100" s="33" t="n">
        <f>3201</f>
        <v>3201.0</v>
      </c>
      <c r="N100" s="34" t="s">
        <v>61</v>
      </c>
      <c r="O100" s="33" t="n">
        <f>2899</f>
        <v>2899.0</v>
      </c>
      <c r="P100" s="34" t="s">
        <v>50</v>
      </c>
      <c r="Q100" s="33" t="n">
        <f>3079</f>
        <v>3079.0</v>
      </c>
      <c r="R100" s="34" t="s">
        <v>51</v>
      </c>
      <c r="S100" s="35" t="n">
        <f>3054.64</f>
        <v>3054.64</v>
      </c>
      <c r="T100" s="32" t="n">
        <f>2186</f>
        <v>2186.0</v>
      </c>
      <c r="U100" s="32" t="str">
        <f>"－"</f>
        <v>－</v>
      </c>
      <c r="V100" s="32" t="n">
        <f>6712271</f>
        <v>6712271.0</v>
      </c>
      <c r="W100" s="32" t="str">
        <f>"－"</f>
        <v>－</v>
      </c>
      <c r="X100" s="36" t="n">
        <f>22</f>
        <v>22.0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36060</f>
        <v>36060.0</v>
      </c>
      <c r="L101" s="34" t="s">
        <v>48</v>
      </c>
      <c r="M101" s="33" t="n">
        <f>37930</f>
        <v>37930.0</v>
      </c>
      <c r="N101" s="34" t="s">
        <v>61</v>
      </c>
      <c r="O101" s="33" t="n">
        <f>34200</f>
        <v>34200.0</v>
      </c>
      <c r="P101" s="34" t="s">
        <v>50</v>
      </c>
      <c r="Q101" s="33" t="n">
        <f>36520</f>
        <v>36520.0</v>
      </c>
      <c r="R101" s="34" t="s">
        <v>51</v>
      </c>
      <c r="S101" s="35" t="n">
        <f>36066.82</f>
        <v>36066.82</v>
      </c>
      <c r="T101" s="32" t="n">
        <f>115921</f>
        <v>115921.0</v>
      </c>
      <c r="U101" s="32" t="n">
        <f>84463</f>
        <v>84463.0</v>
      </c>
      <c r="V101" s="32" t="n">
        <f>4121258278</f>
        <v>4.121258278E9</v>
      </c>
      <c r="W101" s="32" t="n">
        <f>2989275028</f>
        <v>2.989275028E9</v>
      </c>
      <c r="X101" s="36" t="n">
        <f>22</f>
        <v>22.0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3333</f>
        <v>3333.0</v>
      </c>
      <c r="L102" s="34" t="s">
        <v>48</v>
      </c>
      <c r="M102" s="33" t="n">
        <f>3465</f>
        <v>3465.0</v>
      </c>
      <c r="N102" s="34" t="s">
        <v>61</v>
      </c>
      <c r="O102" s="33" t="n">
        <f>3165</f>
        <v>3165.0</v>
      </c>
      <c r="P102" s="34" t="s">
        <v>50</v>
      </c>
      <c r="Q102" s="33" t="n">
        <f>3375</f>
        <v>3375.0</v>
      </c>
      <c r="R102" s="34" t="s">
        <v>51</v>
      </c>
      <c r="S102" s="35" t="n">
        <f>3334.32</f>
        <v>3334.32</v>
      </c>
      <c r="T102" s="32" t="n">
        <f>478834</f>
        <v>478834.0</v>
      </c>
      <c r="U102" s="32" t="n">
        <f>117659</f>
        <v>117659.0</v>
      </c>
      <c r="V102" s="32" t="n">
        <f>1594574005</f>
        <v>1.594574005E9</v>
      </c>
      <c r="W102" s="32" t="n">
        <f>397515918</f>
        <v>3.97515918E8</v>
      </c>
      <c r="X102" s="36" t="n">
        <f>22</f>
        <v>22.0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37290</f>
        <v>37290.0</v>
      </c>
      <c r="L103" s="34" t="s">
        <v>48</v>
      </c>
      <c r="M103" s="33" t="n">
        <f>38780</f>
        <v>38780.0</v>
      </c>
      <c r="N103" s="34" t="s">
        <v>49</v>
      </c>
      <c r="O103" s="33" t="n">
        <f>35380</f>
        <v>35380.0</v>
      </c>
      <c r="P103" s="34" t="s">
        <v>50</v>
      </c>
      <c r="Q103" s="33" t="n">
        <f>37820</f>
        <v>37820.0</v>
      </c>
      <c r="R103" s="34" t="s">
        <v>51</v>
      </c>
      <c r="S103" s="35" t="n">
        <f>37321.36</f>
        <v>37321.36</v>
      </c>
      <c r="T103" s="32" t="n">
        <f>104136</f>
        <v>104136.0</v>
      </c>
      <c r="U103" s="32" t="n">
        <f>46933</f>
        <v>46933.0</v>
      </c>
      <c r="V103" s="32" t="n">
        <f>3906034774</f>
        <v>3.906034774E9</v>
      </c>
      <c r="W103" s="32" t="n">
        <f>1770370854</f>
        <v>1.770370854E9</v>
      </c>
      <c r="X103" s="36" t="n">
        <f>22</f>
        <v>22.0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1858</f>
        <v>1858.0</v>
      </c>
      <c r="L104" s="34" t="s">
        <v>48</v>
      </c>
      <c r="M104" s="33" t="n">
        <f>1886</f>
        <v>1886.0</v>
      </c>
      <c r="N104" s="34" t="s">
        <v>51</v>
      </c>
      <c r="O104" s="33" t="n">
        <f>1790</f>
        <v>1790.0</v>
      </c>
      <c r="P104" s="34" t="s">
        <v>195</v>
      </c>
      <c r="Q104" s="33" t="n">
        <f>1861</f>
        <v>1861.0</v>
      </c>
      <c r="R104" s="34" t="s">
        <v>51</v>
      </c>
      <c r="S104" s="35" t="n">
        <f>1825.55</f>
        <v>1825.55</v>
      </c>
      <c r="T104" s="32" t="n">
        <f>1481390</f>
        <v>1481390.0</v>
      </c>
      <c r="U104" s="32" t="n">
        <f>582935</f>
        <v>582935.0</v>
      </c>
      <c r="V104" s="32" t="n">
        <f>2693997936</f>
        <v>2.693997936E9</v>
      </c>
      <c r="W104" s="32" t="n">
        <f>1055822021</f>
        <v>1.055822021E9</v>
      </c>
      <c r="X104" s="36" t="n">
        <f>22</f>
        <v>22.0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2897</f>
        <v>2897.0</v>
      </c>
      <c r="L105" s="34" t="s">
        <v>48</v>
      </c>
      <c r="M105" s="33" t="n">
        <f>3144</f>
        <v>3144.0</v>
      </c>
      <c r="N105" s="34" t="s">
        <v>49</v>
      </c>
      <c r="O105" s="33" t="n">
        <f>2897</f>
        <v>2897.0</v>
      </c>
      <c r="P105" s="34" t="s">
        <v>48</v>
      </c>
      <c r="Q105" s="33" t="n">
        <f>3035</f>
        <v>3035.0</v>
      </c>
      <c r="R105" s="34" t="s">
        <v>72</v>
      </c>
      <c r="S105" s="35" t="n">
        <f>3029</f>
        <v>3029.0</v>
      </c>
      <c r="T105" s="32" t="n">
        <f>204</f>
        <v>204.0</v>
      </c>
      <c r="U105" s="32" t="str">
        <f>"－"</f>
        <v>－</v>
      </c>
      <c r="V105" s="32" t="n">
        <f>606362</f>
        <v>606362.0</v>
      </c>
      <c r="W105" s="32" t="str">
        <f>"－"</f>
        <v>－</v>
      </c>
      <c r="X105" s="36" t="n">
        <f>13</f>
        <v>13.0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1873</f>
        <v>1873.0</v>
      </c>
      <c r="L106" s="34" t="s">
        <v>48</v>
      </c>
      <c r="M106" s="33" t="n">
        <f>1881</f>
        <v>1881.0</v>
      </c>
      <c r="N106" s="34" t="s">
        <v>51</v>
      </c>
      <c r="O106" s="33" t="n">
        <f>1794</f>
        <v>1794.0</v>
      </c>
      <c r="P106" s="34" t="s">
        <v>195</v>
      </c>
      <c r="Q106" s="33" t="n">
        <f>1865</f>
        <v>1865.0</v>
      </c>
      <c r="R106" s="34" t="s">
        <v>51</v>
      </c>
      <c r="S106" s="35" t="n">
        <f>1831.36</f>
        <v>1831.36</v>
      </c>
      <c r="T106" s="32" t="n">
        <f>5785565</f>
        <v>5785565.0</v>
      </c>
      <c r="U106" s="32" t="n">
        <f>1265997</f>
        <v>1265997.0</v>
      </c>
      <c r="V106" s="32" t="n">
        <f>10586773903</f>
        <v>1.0586773903E10</v>
      </c>
      <c r="W106" s="32" t="n">
        <f>2320721555</f>
        <v>2.320721555E9</v>
      </c>
      <c r="X106" s="36" t="n">
        <f>22</f>
        <v>22.0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37050</f>
        <v>37050.0</v>
      </c>
      <c r="L107" s="34" t="s">
        <v>48</v>
      </c>
      <c r="M107" s="33" t="n">
        <f>39040</f>
        <v>39040.0</v>
      </c>
      <c r="N107" s="34" t="s">
        <v>61</v>
      </c>
      <c r="O107" s="33" t="n">
        <f>34900</f>
        <v>34900.0</v>
      </c>
      <c r="P107" s="34" t="s">
        <v>50</v>
      </c>
      <c r="Q107" s="33" t="n">
        <f>37630</f>
        <v>37630.0</v>
      </c>
      <c r="R107" s="34" t="s">
        <v>51</v>
      </c>
      <c r="S107" s="35" t="n">
        <f>36972.73</f>
        <v>36972.73</v>
      </c>
      <c r="T107" s="32" t="n">
        <f>27329</f>
        <v>27329.0</v>
      </c>
      <c r="U107" s="32" t="n">
        <f>24718</f>
        <v>24718.0</v>
      </c>
      <c r="V107" s="32" t="n">
        <f>1005420486</f>
        <v>1.005420486E9</v>
      </c>
      <c r="W107" s="32" t="n">
        <f>907944486</f>
        <v>9.07944486E8</v>
      </c>
      <c r="X107" s="36" t="n">
        <f>22</f>
        <v>22.0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719.8</f>
        <v>719.8</v>
      </c>
      <c r="L108" s="34" t="s">
        <v>48</v>
      </c>
      <c r="M108" s="33" t="n">
        <f>744.5</f>
        <v>744.5</v>
      </c>
      <c r="N108" s="34" t="s">
        <v>61</v>
      </c>
      <c r="O108" s="33" t="n">
        <f>678.2</f>
        <v>678.2</v>
      </c>
      <c r="P108" s="34" t="s">
        <v>50</v>
      </c>
      <c r="Q108" s="33" t="n">
        <f>715.8</f>
        <v>715.8</v>
      </c>
      <c r="R108" s="34" t="s">
        <v>51</v>
      </c>
      <c r="S108" s="35" t="n">
        <f>711.88</f>
        <v>711.88</v>
      </c>
      <c r="T108" s="32" t="n">
        <f>1188670</f>
        <v>1188670.0</v>
      </c>
      <c r="U108" s="32" t="n">
        <f>140000</f>
        <v>140000.0</v>
      </c>
      <c r="V108" s="32" t="n">
        <f>847626671</f>
        <v>8.47626671E8</v>
      </c>
      <c r="W108" s="32" t="n">
        <f>100302000</f>
        <v>1.00302E8</v>
      </c>
      <c r="X108" s="36" t="n">
        <f>22</f>
        <v>22.0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653.1</f>
        <v>653.1</v>
      </c>
      <c r="L109" s="34" t="s">
        <v>48</v>
      </c>
      <c r="M109" s="33" t="n">
        <f>736.2</f>
        <v>736.2</v>
      </c>
      <c r="N109" s="34" t="s">
        <v>375</v>
      </c>
      <c r="O109" s="33" t="n">
        <f>642.2</f>
        <v>642.2</v>
      </c>
      <c r="P109" s="34" t="s">
        <v>158</v>
      </c>
      <c r="Q109" s="33" t="n">
        <f>701</f>
        <v>701.0</v>
      </c>
      <c r="R109" s="34" t="s">
        <v>51</v>
      </c>
      <c r="S109" s="35" t="n">
        <f>697.88</f>
        <v>697.88</v>
      </c>
      <c r="T109" s="32" t="n">
        <f>138621320</f>
        <v>1.3862132E8</v>
      </c>
      <c r="U109" s="32" t="n">
        <f>9340410</f>
        <v>9340410.0</v>
      </c>
      <c r="V109" s="32" t="n">
        <f>96754379449</f>
        <v>9.6754379449E10</v>
      </c>
      <c r="W109" s="32" t="n">
        <f>6522955317</f>
        <v>6.522955317E9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45520</f>
        <v>45520.0</v>
      </c>
      <c r="L110" s="34" t="s">
        <v>48</v>
      </c>
      <c r="M110" s="33" t="n">
        <f>48160</f>
        <v>48160.0</v>
      </c>
      <c r="N110" s="34" t="s">
        <v>72</v>
      </c>
      <c r="O110" s="33" t="n">
        <f>44010</f>
        <v>44010.0</v>
      </c>
      <c r="P110" s="34" t="s">
        <v>104</v>
      </c>
      <c r="Q110" s="33" t="n">
        <f>47980</f>
        <v>47980.0</v>
      </c>
      <c r="R110" s="34" t="s">
        <v>51</v>
      </c>
      <c r="S110" s="35" t="n">
        <f>45855.91</f>
        <v>45855.91</v>
      </c>
      <c r="T110" s="32" t="n">
        <f>7844</f>
        <v>7844.0</v>
      </c>
      <c r="U110" s="32" t="n">
        <f>198</f>
        <v>198.0</v>
      </c>
      <c r="V110" s="32" t="n">
        <f>360988759</f>
        <v>3.60988759E8</v>
      </c>
      <c r="W110" s="32" t="n">
        <f>9002249</f>
        <v>9002249.0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33760</f>
        <v>33760.0</v>
      </c>
      <c r="L111" s="34" t="s">
        <v>48</v>
      </c>
      <c r="M111" s="33" t="n">
        <f>34950</f>
        <v>34950.0</v>
      </c>
      <c r="N111" s="34" t="s">
        <v>85</v>
      </c>
      <c r="O111" s="33" t="n">
        <f>30630</f>
        <v>30630.0</v>
      </c>
      <c r="P111" s="34" t="s">
        <v>72</v>
      </c>
      <c r="Q111" s="33" t="n">
        <f>31070</f>
        <v>31070.0</v>
      </c>
      <c r="R111" s="34" t="s">
        <v>51</v>
      </c>
      <c r="S111" s="35" t="n">
        <f>32643.18</f>
        <v>32643.18</v>
      </c>
      <c r="T111" s="32" t="n">
        <f>27548</f>
        <v>27548.0</v>
      </c>
      <c r="U111" s="32" t="n">
        <f>1440</f>
        <v>1440.0</v>
      </c>
      <c r="V111" s="32" t="n">
        <f>900076207</f>
        <v>9.00076207E8</v>
      </c>
      <c r="W111" s="32" t="n">
        <f>47284787</f>
        <v>4.7284787E7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49200</f>
        <v>49200.0</v>
      </c>
      <c r="L112" s="34" t="s">
        <v>48</v>
      </c>
      <c r="M112" s="33" t="n">
        <f>51700</f>
        <v>51700.0</v>
      </c>
      <c r="N112" s="34" t="s">
        <v>61</v>
      </c>
      <c r="O112" s="33" t="n">
        <f>45930</f>
        <v>45930.0</v>
      </c>
      <c r="P112" s="34" t="s">
        <v>50</v>
      </c>
      <c r="Q112" s="33" t="n">
        <f>50460</f>
        <v>50460.0</v>
      </c>
      <c r="R112" s="34" t="s">
        <v>51</v>
      </c>
      <c r="S112" s="35" t="n">
        <f>49095.45</f>
        <v>49095.45</v>
      </c>
      <c r="T112" s="32" t="n">
        <f>21092</f>
        <v>21092.0</v>
      </c>
      <c r="U112" s="32" t="n">
        <f>5399</f>
        <v>5399.0</v>
      </c>
      <c r="V112" s="32" t="n">
        <f>1028460117</f>
        <v>1.028460117E9</v>
      </c>
      <c r="W112" s="32" t="n">
        <f>257748667</f>
        <v>2.57748667E8</v>
      </c>
      <c r="X112" s="36" t="n">
        <f>22</f>
        <v>22.0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39350</f>
        <v>39350.0</v>
      </c>
      <c r="L113" s="34" t="s">
        <v>48</v>
      </c>
      <c r="M113" s="33" t="n">
        <f>39850</f>
        <v>39850.0</v>
      </c>
      <c r="N113" s="34" t="s">
        <v>375</v>
      </c>
      <c r="O113" s="33" t="n">
        <f>35870</f>
        <v>35870.0</v>
      </c>
      <c r="P113" s="34" t="s">
        <v>50</v>
      </c>
      <c r="Q113" s="33" t="n">
        <f>38760</f>
        <v>38760.0</v>
      </c>
      <c r="R113" s="34" t="s">
        <v>51</v>
      </c>
      <c r="S113" s="35" t="n">
        <f>38461.36</f>
        <v>38461.36</v>
      </c>
      <c r="T113" s="32" t="n">
        <f>13227</f>
        <v>13227.0</v>
      </c>
      <c r="U113" s="32" t="n">
        <f>303</f>
        <v>303.0</v>
      </c>
      <c r="V113" s="32" t="n">
        <f>509062146</f>
        <v>5.09062146E8</v>
      </c>
      <c r="W113" s="32" t="n">
        <f>11696156</f>
        <v>1.1696156E7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29800</f>
        <v>29800.0</v>
      </c>
      <c r="L114" s="34" t="s">
        <v>48</v>
      </c>
      <c r="M114" s="33" t="n">
        <f>30160</f>
        <v>30160.0</v>
      </c>
      <c r="N114" s="34" t="s">
        <v>48</v>
      </c>
      <c r="O114" s="33" t="n">
        <f>28100</f>
        <v>28100.0</v>
      </c>
      <c r="P114" s="34" t="s">
        <v>154</v>
      </c>
      <c r="Q114" s="33" t="n">
        <f>29485</f>
        <v>29485.0</v>
      </c>
      <c r="R114" s="34" t="s">
        <v>51</v>
      </c>
      <c r="S114" s="35" t="n">
        <f>28802.95</f>
        <v>28802.95</v>
      </c>
      <c r="T114" s="32" t="n">
        <f>24030</f>
        <v>24030.0</v>
      </c>
      <c r="U114" s="32" t="n">
        <f>272</f>
        <v>272.0</v>
      </c>
      <c r="V114" s="32" t="n">
        <f>692659475</f>
        <v>6.92659475E8</v>
      </c>
      <c r="W114" s="32" t="n">
        <f>7808825</f>
        <v>7808825.0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34460</f>
        <v>34460.0</v>
      </c>
      <c r="L115" s="34" t="s">
        <v>48</v>
      </c>
      <c r="M115" s="33" t="n">
        <f>34820</f>
        <v>34820.0</v>
      </c>
      <c r="N115" s="34" t="s">
        <v>48</v>
      </c>
      <c r="O115" s="33" t="n">
        <f>31480</f>
        <v>31480.0</v>
      </c>
      <c r="P115" s="34" t="s">
        <v>50</v>
      </c>
      <c r="Q115" s="33" t="n">
        <f>32210</f>
        <v>32210.0</v>
      </c>
      <c r="R115" s="34" t="s">
        <v>51</v>
      </c>
      <c r="S115" s="35" t="n">
        <f>32593.18</f>
        <v>32593.18</v>
      </c>
      <c r="T115" s="32" t="n">
        <f>16587</f>
        <v>16587.0</v>
      </c>
      <c r="U115" s="32" t="n">
        <f>188</f>
        <v>188.0</v>
      </c>
      <c r="V115" s="32" t="n">
        <f>542412786</f>
        <v>5.42412786E8</v>
      </c>
      <c r="W115" s="32" t="n">
        <f>6038936</f>
        <v>6038936.0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70070</f>
        <v>70070.0</v>
      </c>
      <c r="L116" s="34" t="s">
        <v>48</v>
      </c>
      <c r="M116" s="33" t="n">
        <f>92000</f>
        <v>92000.0</v>
      </c>
      <c r="N116" s="34" t="s">
        <v>61</v>
      </c>
      <c r="O116" s="33" t="n">
        <f>56600</f>
        <v>56600.0</v>
      </c>
      <c r="P116" s="34" t="s">
        <v>50</v>
      </c>
      <c r="Q116" s="33" t="n">
        <f>72020</f>
        <v>72020.0</v>
      </c>
      <c r="R116" s="34" t="s">
        <v>51</v>
      </c>
      <c r="S116" s="35" t="n">
        <f>70932.73</f>
        <v>70932.73</v>
      </c>
      <c r="T116" s="32" t="n">
        <f>199812</f>
        <v>199812.0</v>
      </c>
      <c r="U116" s="32" t="n">
        <f>11390</f>
        <v>11390.0</v>
      </c>
      <c r="V116" s="32" t="n">
        <f>14825401610</f>
        <v>1.482540161E10</v>
      </c>
      <c r="W116" s="32" t="n">
        <f>800711300</f>
        <v>8.007113E8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87520</f>
        <v>87520.0</v>
      </c>
      <c r="L117" s="34" t="s">
        <v>48</v>
      </c>
      <c r="M117" s="33" t="n">
        <f>93830</f>
        <v>93830.0</v>
      </c>
      <c r="N117" s="34" t="s">
        <v>66</v>
      </c>
      <c r="O117" s="33" t="n">
        <f>79000</f>
        <v>79000.0</v>
      </c>
      <c r="P117" s="34" t="s">
        <v>50</v>
      </c>
      <c r="Q117" s="33" t="n">
        <f>89230</f>
        <v>89230.0</v>
      </c>
      <c r="R117" s="34" t="s">
        <v>51</v>
      </c>
      <c r="S117" s="35" t="n">
        <f>87943.64</f>
        <v>87943.64</v>
      </c>
      <c r="T117" s="32" t="n">
        <f>26662</f>
        <v>26662.0</v>
      </c>
      <c r="U117" s="32" t="n">
        <f>6522</f>
        <v>6522.0</v>
      </c>
      <c r="V117" s="32" t="n">
        <f>2376157151</f>
        <v>2.376157151E9</v>
      </c>
      <c r="W117" s="32" t="n">
        <f>584882081</f>
        <v>5.84882081E8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65880</f>
        <v>65880.0</v>
      </c>
      <c r="L118" s="34" t="s">
        <v>48</v>
      </c>
      <c r="M118" s="33" t="n">
        <f>74220</f>
        <v>74220.0</v>
      </c>
      <c r="N118" s="34" t="s">
        <v>61</v>
      </c>
      <c r="O118" s="33" t="n">
        <f>61140</f>
        <v>61140.0</v>
      </c>
      <c r="P118" s="34" t="s">
        <v>50</v>
      </c>
      <c r="Q118" s="33" t="n">
        <f>70550</f>
        <v>70550.0</v>
      </c>
      <c r="R118" s="34" t="s">
        <v>51</v>
      </c>
      <c r="S118" s="35" t="n">
        <f>68074.09</f>
        <v>68074.09</v>
      </c>
      <c r="T118" s="32" t="n">
        <f>47530</f>
        <v>47530.0</v>
      </c>
      <c r="U118" s="32" t="n">
        <f>6180</f>
        <v>6180.0</v>
      </c>
      <c r="V118" s="32" t="n">
        <f>3238207282</f>
        <v>3.238207282E9</v>
      </c>
      <c r="W118" s="32" t="n">
        <f>412349602</f>
        <v>4.12349602E8</v>
      </c>
      <c r="X118" s="36" t="n">
        <f>22</f>
        <v>22.0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44460</f>
        <v>44460.0</v>
      </c>
      <c r="L119" s="34" t="s">
        <v>48</v>
      </c>
      <c r="M119" s="33" t="n">
        <f>47300</f>
        <v>47300.0</v>
      </c>
      <c r="N119" s="34" t="s">
        <v>158</v>
      </c>
      <c r="O119" s="33" t="n">
        <f>41910</f>
        <v>41910.0</v>
      </c>
      <c r="P119" s="34" t="s">
        <v>70</v>
      </c>
      <c r="Q119" s="33" t="n">
        <f>42770</f>
        <v>42770.0</v>
      </c>
      <c r="R119" s="34" t="s">
        <v>51</v>
      </c>
      <c r="S119" s="35" t="n">
        <f>43642.73</f>
        <v>43642.73</v>
      </c>
      <c r="T119" s="32" t="n">
        <f>27594</f>
        <v>27594.0</v>
      </c>
      <c r="U119" s="32" t="n">
        <f>10701</f>
        <v>10701.0</v>
      </c>
      <c r="V119" s="32" t="n">
        <f>1215013708</f>
        <v>1.215013708E9</v>
      </c>
      <c r="W119" s="32" t="n">
        <f>468994738</f>
        <v>4.68994738E8</v>
      </c>
      <c r="X119" s="36" t="n">
        <f>22</f>
        <v>22.0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11500</f>
        <v>11500.0</v>
      </c>
      <c r="L120" s="34" t="s">
        <v>48</v>
      </c>
      <c r="M120" s="33" t="n">
        <f>11725</f>
        <v>11725.0</v>
      </c>
      <c r="N120" s="34" t="s">
        <v>203</v>
      </c>
      <c r="O120" s="33" t="n">
        <f>11080</f>
        <v>11080.0</v>
      </c>
      <c r="P120" s="34" t="s">
        <v>158</v>
      </c>
      <c r="Q120" s="33" t="n">
        <f>11415</f>
        <v>11415.0</v>
      </c>
      <c r="R120" s="34" t="s">
        <v>51</v>
      </c>
      <c r="S120" s="35" t="n">
        <f>11385.45</f>
        <v>11385.45</v>
      </c>
      <c r="T120" s="32" t="n">
        <f>55932</f>
        <v>55932.0</v>
      </c>
      <c r="U120" s="32" t="n">
        <f>2295</f>
        <v>2295.0</v>
      </c>
      <c r="V120" s="32" t="n">
        <f>637619745</f>
        <v>6.37619745E8</v>
      </c>
      <c r="W120" s="32" t="n">
        <f>26046405</f>
        <v>2.6046405E7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20600</f>
        <v>20600.0</v>
      </c>
      <c r="L121" s="34" t="s">
        <v>48</v>
      </c>
      <c r="M121" s="33" t="n">
        <f>21200</f>
        <v>21200.0</v>
      </c>
      <c r="N121" s="34" t="s">
        <v>71</v>
      </c>
      <c r="O121" s="33" t="n">
        <f>20025</f>
        <v>20025.0</v>
      </c>
      <c r="P121" s="34" t="s">
        <v>158</v>
      </c>
      <c r="Q121" s="33" t="n">
        <f>20550</f>
        <v>20550.0</v>
      </c>
      <c r="R121" s="34" t="s">
        <v>51</v>
      </c>
      <c r="S121" s="35" t="n">
        <f>20423.86</f>
        <v>20423.86</v>
      </c>
      <c r="T121" s="32" t="n">
        <f>18065</f>
        <v>18065.0</v>
      </c>
      <c r="U121" s="32" t="n">
        <f>101</f>
        <v>101.0</v>
      </c>
      <c r="V121" s="32" t="n">
        <f>369361676</f>
        <v>3.69361676E8</v>
      </c>
      <c r="W121" s="32" t="n">
        <f>2075286</f>
        <v>2075286.0</v>
      </c>
      <c r="X121" s="36" t="n">
        <f>22</f>
        <v>22.0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268.1</f>
        <v>268.1</v>
      </c>
      <c r="L122" s="34" t="s">
        <v>48</v>
      </c>
      <c r="M122" s="33" t="n">
        <f>269.9</f>
        <v>269.9</v>
      </c>
      <c r="N122" s="34" t="s">
        <v>48</v>
      </c>
      <c r="O122" s="33" t="n">
        <f>242</f>
        <v>242.0</v>
      </c>
      <c r="P122" s="34" t="s">
        <v>199</v>
      </c>
      <c r="Q122" s="33" t="n">
        <f>245</f>
        <v>245.0</v>
      </c>
      <c r="R122" s="34" t="s">
        <v>51</v>
      </c>
      <c r="S122" s="35" t="n">
        <f>253.17</f>
        <v>253.17</v>
      </c>
      <c r="T122" s="32" t="n">
        <f>41733410</f>
        <v>4.173341E7</v>
      </c>
      <c r="U122" s="32" t="n">
        <f>6007610</f>
        <v>6007610.0</v>
      </c>
      <c r="V122" s="32" t="n">
        <f>10570562742</f>
        <v>1.0570562742E10</v>
      </c>
      <c r="W122" s="32" t="n">
        <f>1517134528</f>
        <v>1.517134528E9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418</v>
      </c>
      <c r="J123" s="32" t="n">
        <v>1.0</v>
      </c>
      <c r="K123" s="33" t="n">
        <f>17915</f>
        <v>17915.0</v>
      </c>
      <c r="L123" s="34" t="s">
        <v>48</v>
      </c>
      <c r="M123" s="33" t="n">
        <f>18880</f>
        <v>18880.0</v>
      </c>
      <c r="N123" s="34" t="s">
        <v>66</v>
      </c>
      <c r="O123" s="33" t="n">
        <f>15950</f>
        <v>15950.0</v>
      </c>
      <c r="P123" s="34" t="s">
        <v>50</v>
      </c>
      <c r="Q123" s="33" t="n">
        <f>18095</f>
        <v>18095.0</v>
      </c>
      <c r="R123" s="34" t="s">
        <v>51</v>
      </c>
      <c r="S123" s="35" t="n">
        <f>17680</f>
        <v>17680.0</v>
      </c>
      <c r="T123" s="32" t="n">
        <f>26825</f>
        <v>26825.0</v>
      </c>
      <c r="U123" s="32" t="str">
        <f>"－"</f>
        <v>－</v>
      </c>
      <c r="V123" s="32" t="n">
        <f>478704600</f>
        <v>4.787046E8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419</v>
      </c>
      <c r="C124" s="27" t="s">
        <v>420</v>
      </c>
      <c r="D124" s="27" t="s">
        <v>421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37440</f>
        <v>37440.0</v>
      </c>
      <c r="L124" s="34" t="s">
        <v>48</v>
      </c>
      <c r="M124" s="33" t="n">
        <f>38820</f>
        <v>38820.0</v>
      </c>
      <c r="N124" s="34" t="s">
        <v>51</v>
      </c>
      <c r="O124" s="33" t="n">
        <f>35900</f>
        <v>35900.0</v>
      </c>
      <c r="P124" s="34" t="s">
        <v>158</v>
      </c>
      <c r="Q124" s="33" t="n">
        <f>37880</f>
        <v>37880.0</v>
      </c>
      <c r="R124" s="34" t="s">
        <v>51</v>
      </c>
      <c r="S124" s="35" t="n">
        <f>37063.18</f>
        <v>37063.18</v>
      </c>
      <c r="T124" s="32" t="n">
        <f>8298</f>
        <v>8298.0</v>
      </c>
      <c r="U124" s="32" t="n">
        <f>115</f>
        <v>115.0</v>
      </c>
      <c r="V124" s="32" t="n">
        <f>308253368</f>
        <v>3.08253368E8</v>
      </c>
      <c r="W124" s="32" t="n">
        <f>4274058</f>
        <v>4274058.0</v>
      </c>
      <c r="X124" s="36" t="n">
        <f>22</f>
        <v>22.0</v>
      </c>
    </row>
    <row r="125">
      <c r="A125" s="27" t="s">
        <v>42</v>
      </c>
      <c r="B125" s="27" t="s">
        <v>422</v>
      </c>
      <c r="C125" s="27" t="s">
        <v>423</v>
      </c>
      <c r="D125" s="27" t="s">
        <v>424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35110</f>
        <v>35110.0</v>
      </c>
      <c r="L125" s="34" t="s">
        <v>48</v>
      </c>
      <c r="M125" s="33" t="n">
        <f>39430</f>
        <v>39430.0</v>
      </c>
      <c r="N125" s="34" t="s">
        <v>375</v>
      </c>
      <c r="O125" s="33" t="n">
        <f>34400</f>
        <v>34400.0</v>
      </c>
      <c r="P125" s="34" t="s">
        <v>158</v>
      </c>
      <c r="Q125" s="33" t="n">
        <f>37550</f>
        <v>37550.0</v>
      </c>
      <c r="R125" s="34" t="s">
        <v>51</v>
      </c>
      <c r="S125" s="35" t="n">
        <f>37403.18</f>
        <v>37403.18</v>
      </c>
      <c r="T125" s="32" t="n">
        <f>254911</f>
        <v>254911.0</v>
      </c>
      <c r="U125" s="32" t="n">
        <f>70816</f>
        <v>70816.0</v>
      </c>
      <c r="V125" s="32" t="n">
        <f>9542187072</f>
        <v>9.542187072E9</v>
      </c>
      <c r="W125" s="32" t="n">
        <f>2626823502</f>
        <v>2.626823502E9</v>
      </c>
      <c r="X125" s="36" t="n">
        <f>22</f>
        <v>22.0</v>
      </c>
    </row>
    <row r="126">
      <c r="A126" s="27" t="s">
        <v>42</v>
      </c>
      <c r="B126" s="27" t="s">
        <v>425</v>
      </c>
      <c r="C126" s="27" t="s">
        <v>426</v>
      </c>
      <c r="D126" s="27" t="s">
        <v>427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39420</f>
        <v>39420.0</v>
      </c>
      <c r="L126" s="34" t="s">
        <v>48</v>
      </c>
      <c r="M126" s="33" t="n">
        <f>42140</f>
        <v>42140.0</v>
      </c>
      <c r="N126" s="34" t="s">
        <v>296</v>
      </c>
      <c r="O126" s="33" t="n">
        <f>38690</f>
        <v>38690.0</v>
      </c>
      <c r="P126" s="34" t="s">
        <v>158</v>
      </c>
      <c r="Q126" s="33" t="n">
        <f>40870</f>
        <v>40870.0</v>
      </c>
      <c r="R126" s="34" t="s">
        <v>51</v>
      </c>
      <c r="S126" s="35" t="n">
        <f>40435.91</f>
        <v>40435.91</v>
      </c>
      <c r="T126" s="32" t="n">
        <f>29010</f>
        <v>29010.0</v>
      </c>
      <c r="U126" s="32" t="n">
        <f>2925</f>
        <v>2925.0</v>
      </c>
      <c r="V126" s="32" t="n">
        <f>1180206763</f>
        <v>1.180206763E9</v>
      </c>
      <c r="W126" s="32" t="n">
        <f>120463803</f>
        <v>1.20463803E8</v>
      </c>
      <c r="X126" s="36" t="n">
        <f>22</f>
        <v>22.0</v>
      </c>
    </row>
    <row r="127">
      <c r="A127" s="27" t="s">
        <v>42</v>
      </c>
      <c r="B127" s="27" t="s">
        <v>428</v>
      </c>
      <c r="C127" s="27" t="s">
        <v>429</v>
      </c>
      <c r="D127" s="27" t="s">
        <v>430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51060</f>
        <v>51060.0</v>
      </c>
      <c r="L127" s="34" t="s">
        <v>48</v>
      </c>
      <c r="M127" s="33" t="n">
        <f>52620</f>
        <v>52620.0</v>
      </c>
      <c r="N127" s="34" t="s">
        <v>203</v>
      </c>
      <c r="O127" s="33" t="n">
        <f>48310</f>
        <v>48310.0</v>
      </c>
      <c r="P127" s="34" t="s">
        <v>158</v>
      </c>
      <c r="Q127" s="33" t="n">
        <f>51460</f>
        <v>51460.0</v>
      </c>
      <c r="R127" s="34" t="s">
        <v>51</v>
      </c>
      <c r="S127" s="35" t="n">
        <f>50315</f>
        <v>50315.0</v>
      </c>
      <c r="T127" s="32" t="n">
        <f>16889</f>
        <v>16889.0</v>
      </c>
      <c r="U127" s="32" t="n">
        <f>2016</f>
        <v>2016.0</v>
      </c>
      <c r="V127" s="32" t="n">
        <f>851191204</f>
        <v>8.51191204E8</v>
      </c>
      <c r="W127" s="32" t="n">
        <f>99707124</f>
        <v>9.9707124E7</v>
      </c>
      <c r="X127" s="36" t="n">
        <f>22</f>
        <v>22.0</v>
      </c>
    </row>
    <row r="128">
      <c r="A128" s="27" t="s">
        <v>42</v>
      </c>
      <c r="B128" s="27" t="s">
        <v>431</v>
      </c>
      <c r="C128" s="27" t="s">
        <v>432</v>
      </c>
      <c r="D128" s="27" t="s">
        <v>433</v>
      </c>
      <c r="E128" s="28" t="s">
        <v>46</v>
      </c>
      <c r="F128" s="29" t="s">
        <v>46</v>
      </c>
      <c r="G128" s="30" t="s">
        <v>46</v>
      </c>
      <c r="H128" s="31"/>
      <c r="I128" s="31" t="s">
        <v>418</v>
      </c>
      <c r="J128" s="32" t="n">
        <v>1.0</v>
      </c>
      <c r="K128" s="33" t="n">
        <f>19945</f>
        <v>19945.0</v>
      </c>
      <c r="L128" s="34" t="s">
        <v>48</v>
      </c>
      <c r="M128" s="33" t="n">
        <f>25020</f>
        <v>25020.0</v>
      </c>
      <c r="N128" s="34" t="s">
        <v>66</v>
      </c>
      <c r="O128" s="33" t="n">
        <f>18780</f>
        <v>18780.0</v>
      </c>
      <c r="P128" s="34" t="s">
        <v>50</v>
      </c>
      <c r="Q128" s="33" t="n">
        <f>23250</f>
        <v>23250.0</v>
      </c>
      <c r="R128" s="34" t="s">
        <v>51</v>
      </c>
      <c r="S128" s="35" t="n">
        <f>22047.73</f>
        <v>22047.73</v>
      </c>
      <c r="T128" s="32" t="n">
        <f>526404</f>
        <v>526404.0</v>
      </c>
      <c r="U128" s="32" t="n">
        <f>50901</f>
        <v>50901.0</v>
      </c>
      <c r="V128" s="32" t="n">
        <f>11836396485</f>
        <v>1.1836396485E10</v>
      </c>
      <c r="W128" s="32" t="n">
        <f>1174116165</f>
        <v>1.174116165E9</v>
      </c>
      <c r="X128" s="36" t="n">
        <f>22</f>
        <v>22.0</v>
      </c>
    </row>
    <row r="129">
      <c r="A129" s="27" t="s">
        <v>42</v>
      </c>
      <c r="B129" s="27" t="s">
        <v>434</v>
      </c>
      <c r="C129" s="27" t="s">
        <v>435</v>
      </c>
      <c r="D129" s="27" t="s">
        <v>436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3020</f>
        <v>3020.0</v>
      </c>
      <c r="L129" s="34" t="s">
        <v>48</v>
      </c>
      <c r="M129" s="33" t="n">
        <f>3085</f>
        <v>3085.0</v>
      </c>
      <c r="N129" s="34" t="s">
        <v>66</v>
      </c>
      <c r="O129" s="33" t="n">
        <f>2920</f>
        <v>2920.0</v>
      </c>
      <c r="P129" s="34" t="s">
        <v>158</v>
      </c>
      <c r="Q129" s="33" t="n">
        <f>2964</f>
        <v>2964.0</v>
      </c>
      <c r="R129" s="34" t="s">
        <v>51</v>
      </c>
      <c r="S129" s="35" t="n">
        <f>2993.68</f>
        <v>2993.68</v>
      </c>
      <c r="T129" s="32" t="n">
        <f>7938356</f>
        <v>7938356.0</v>
      </c>
      <c r="U129" s="32" t="n">
        <f>7250745</f>
        <v>7250745.0</v>
      </c>
      <c r="V129" s="32" t="n">
        <f>24134528630</f>
        <v>2.413452863E10</v>
      </c>
      <c r="W129" s="32" t="n">
        <f>22075899382</f>
        <v>2.2075899382E10</v>
      </c>
      <c r="X129" s="36" t="n">
        <f>22</f>
        <v>22.0</v>
      </c>
    </row>
    <row r="130">
      <c r="A130" s="27" t="s">
        <v>42</v>
      </c>
      <c r="B130" s="27" t="s">
        <v>437</v>
      </c>
      <c r="C130" s="27" t="s">
        <v>438</v>
      </c>
      <c r="D130" s="27" t="s">
        <v>439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4900</f>
        <v>4900.0</v>
      </c>
      <c r="L130" s="34" t="s">
        <v>85</v>
      </c>
      <c r="M130" s="33" t="n">
        <f>5200</f>
        <v>5200.0</v>
      </c>
      <c r="N130" s="34" t="s">
        <v>49</v>
      </c>
      <c r="O130" s="33" t="n">
        <f>4711</f>
        <v>4711.0</v>
      </c>
      <c r="P130" s="34" t="s">
        <v>50</v>
      </c>
      <c r="Q130" s="33" t="n">
        <f>4870</f>
        <v>4870.0</v>
      </c>
      <c r="R130" s="34" t="s">
        <v>72</v>
      </c>
      <c r="S130" s="35" t="n">
        <f>4892</f>
        <v>4892.0</v>
      </c>
      <c r="T130" s="32" t="n">
        <f>4660</f>
        <v>4660.0</v>
      </c>
      <c r="U130" s="32" t="str">
        <f>"－"</f>
        <v>－</v>
      </c>
      <c r="V130" s="32" t="n">
        <f>22365630</f>
        <v>2.236563E7</v>
      </c>
      <c r="W130" s="32" t="str">
        <f>"－"</f>
        <v>－</v>
      </c>
      <c r="X130" s="36" t="n">
        <f>14</f>
        <v>14.0</v>
      </c>
    </row>
    <row r="131">
      <c r="A131" s="27" t="s">
        <v>42</v>
      </c>
      <c r="B131" s="27" t="s">
        <v>440</v>
      </c>
      <c r="C131" s="27" t="s">
        <v>441</v>
      </c>
      <c r="D131" s="27" t="s">
        <v>442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5350</f>
        <v>5350.0</v>
      </c>
      <c r="L131" s="34" t="s">
        <v>48</v>
      </c>
      <c r="M131" s="33" t="n">
        <f>5420</f>
        <v>5420.0</v>
      </c>
      <c r="N131" s="34" t="s">
        <v>203</v>
      </c>
      <c r="O131" s="33" t="n">
        <f>4958</f>
        <v>4958.0</v>
      </c>
      <c r="P131" s="34" t="s">
        <v>62</v>
      </c>
      <c r="Q131" s="33" t="n">
        <f>5182</f>
        <v>5182.0</v>
      </c>
      <c r="R131" s="34" t="s">
        <v>51</v>
      </c>
      <c r="S131" s="35" t="n">
        <f>5136.07</f>
        <v>5136.07</v>
      </c>
      <c r="T131" s="32" t="n">
        <f>19190</f>
        <v>19190.0</v>
      </c>
      <c r="U131" s="32" t="n">
        <f>9000</f>
        <v>9000.0</v>
      </c>
      <c r="V131" s="32" t="n">
        <f>99659790</f>
        <v>9.965979E7</v>
      </c>
      <c r="W131" s="32" t="n">
        <f>47495970</f>
        <v>4.749597E7</v>
      </c>
      <c r="X131" s="36" t="n">
        <f>15</f>
        <v>15.0</v>
      </c>
    </row>
    <row r="132">
      <c r="A132" s="27" t="s">
        <v>42</v>
      </c>
      <c r="B132" s="27" t="s">
        <v>443</v>
      </c>
      <c r="C132" s="27" t="s">
        <v>444</v>
      </c>
      <c r="D132" s="27" t="s">
        <v>445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3280</f>
        <v>3280.0</v>
      </c>
      <c r="L132" s="34" t="s">
        <v>48</v>
      </c>
      <c r="M132" s="33" t="n">
        <f>3413</f>
        <v>3413.0</v>
      </c>
      <c r="N132" s="34" t="s">
        <v>49</v>
      </c>
      <c r="O132" s="33" t="n">
        <f>3009</f>
        <v>3009.0</v>
      </c>
      <c r="P132" s="34" t="s">
        <v>50</v>
      </c>
      <c r="Q132" s="33" t="n">
        <f>3300</f>
        <v>3300.0</v>
      </c>
      <c r="R132" s="34" t="s">
        <v>51</v>
      </c>
      <c r="S132" s="35" t="n">
        <f>3303.21</f>
        <v>3303.21</v>
      </c>
      <c r="T132" s="32" t="n">
        <f>106350</f>
        <v>106350.0</v>
      </c>
      <c r="U132" s="32" t="n">
        <f>73000</f>
        <v>73000.0</v>
      </c>
      <c r="V132" s="32" t="n">
        <f>348789290</f>
        <v>3.4878929E8</v>
      </c>
      <c r="W132" s="32" t="n">
        <f>238464110</f>
        <v>2.3846411E8</v>
      </c>
      <c r="X132" s="36" t="n">
        <f>14</f>
        <v>14.0</v>
      </c>
    </row>
    <row r="133">
      <c r="A133" s="27" t="s">
        <v>42</v>
      </c>
      <c r="B133" s="27" t="s">
        <v>446</v>
      </c>
      <c r="C133" s="27" t="s">
        <v>447</v>
      </c>
      <c r="D133" s="27" t="s">
        <v>448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872.6</f>
        <v>872.6</v>
      </c>
      <c r="L133" s="34" t="s">
        <v>48</v>
      </c>
      <c r="M133" s="33" t="n">
        <f>879</f>
        <v>879.0</v>
      </c>
      <c r="N133" s="34" t="s">
        <v>85</v>
      </c>
      <c r="O133" s="33" t="n">
        <f>838.8</f>
        <v>838.8</v>
      </c>
      <c r="P133" s="34" t="s">
        <v>50</v>
      </c>
      <c r="Q133" s="33" t="n">
        <f>871.9</f>
        <v>871.9</v>
      </c>
      <c r="R133" s="34" t="s">
        <v>51</v>
      </c>
      <c r="S133" s="35" t="n">
        <f>865.58</f>
        <v>865.58</v>
      </c>
      <c r="T133" s="32" t="n">
        <f>31688640</f>
        <v>3.168864E7</v>
      </c>
      <c r="U133" s="32" t="n">
        <f>3250260</f>
        <v>3250260.0</v>
      </c>
      <c r="V133" s="32" t="n">
        <f>27416972523</f>
        <v>2.7416972523E10</v>
      </c>
      <c r="W133" s="32" t="n">
        <f>2824480680</f>
        <v>2.82448068E9</v>
      </c>
      <c r="X133" s="36" t="n">
        <f>22</f>
        <v>22.0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316</f>
        <v>316.0</v>
      </c>
      <c r="L134" s="34" t="s">
        <v>48</v>
      </c>
      <c r="M134" s="33" t="n">
        <f>324.1</f>
        <v>324.1</v>
      </c>
      <c r="N134" s="34" t="s">
        <v>51</v>
      </c>
      <c r="O134" s="33" t="n">
        <f>314.3</f>
        <v>314.3</v>
      </c>
      <c r="P134" s="34" t="s">
        <v>104</v>
      </c>
      <c r="Q134" s="33" t="n">
        <f>324</f>
        <v>324.0</v>
      </c>
      <c r="R134" s="34" t="s">
        <v>51</v>
      </c>
      <c r="S134" s="35" t="n">
        <f>318.28</f>
        <v>318.28</v>
      </c>
      <c r="T134" s="32" t="n">
        <f>3815590</f>
        <v>3815590.0</v>
      </c>
      <c r="U134" s="32" t="n">
        <f>757320</f>
        <v>757320.0</v>
      </c>
      <c r="V134" s="32" t="n">
        <f>1215979679</f>
        <v>1.215979679E9</v>
      </c>
      <c r="W134" s="32" t="n">
        <f>242599563</f>
        <v>2.42599563E8</v>
      </c>
      <c r="X134" s="36" t="n">
        <f>22</f>
        <v>22.0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7230</f>
        <v>7230.0</v>
      </c>
      <c r="L135" s="34" t="s">
        <v>48</v>
      </c>
      <c r="M135" s="33" t="n">
        <f>7288</f>
        <v>7288.0</v>
      </c>
      <c r="N135" s="34" t="s">
        <v>85</v>
      </c>
      <c r="O135" s="33" t="n">
        <f>6973</f>
        <v>6973.0</v>
      </c>
      <c r="P135" s="34" t="s">
        <v>50</v>
      </c>
      <c r="Q135" s="33" t="n">
        <f>7250</f>
        <v>7250.0</v>
      </c>
      <c r="R135" s="34" t="s">
        <v>51</v>
      </c>
      <c r="S135" s="35" t="n">
        <f>7192.14</f>
        <v>7192.14</v>
      </c>
      <c r="T135" s="32" t="n">
        <f>39673</f>
        <v>39673.0</v>
      </c>
      <c r="U135" s="32" t="n">
        <f>8500</f>
        <v>8500.0</v>
      </c>
      <c r="V135" s="32" t="n">
        <f>284845523</f>
        <v>2.84845523E8</v>
      </c>
      <c r="W135" s="32" t="n">
        <f>60946951</f>
        <v>6.0946951E7</v>
      </c>
      <c r="X135" s="36" t="n">
        <f>22</f>
        <v>22.0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4529</f>
        <v>4529.0</v>
      </c>
      <c r="L136" s="34" t="s">
        <v>48</v>
      </c>
      <c r="M136" s="33" t="n">
        <f>4799</f>
        <v>4799.0</v>
      </c>
      <c r="N136" s="34" t="s">
        <v>66</v>
      </c>
      <c r="O136" s="33" t="n">
        <f>4210</f>
        <v>4210.0</v>
      </c>
      <c r="P136" s="34" t="s">
        <v>50</v>
      </c>
      <c r="Q136" s="33" t="n">
        <f>4514</f>
        <v>4514.0</v>
      </c>
      <c r="R136" s="34" t="s">
        <v>51</v>
      </c>
      <c r="S136" s="35" t="n">
        <f>4508.82</f>
        <v>4508.82</v>
      </c>
      <c r="T136" s="32" t="n">
        <f>409555</f>
        <v>409555.0</v>
      </c>
      <c r="U136" s="32" t="n">
        <f>113417</f>
        <v>113417.0</v>
      </c>
      <c r="V136" s="32" t="n">
        <f>1838605772</f>
        <v>1.838605772E9</v>
      </c>
      <c r="W136" s="32" t="n">
        <f>505430384</f>
        <v>5.05430384E8</v>
      </c>
      <c r="X136" s="36" t="n">
        <f>22</f>
        <v>22.0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3828</f>
        <v>3828.0</v>
      </c>
      <c r="L137" s="34" t="s">
        <v>48</v>
      </c>
      <c r="M137" s="33" t="n">
        <f>4081</f>
        <v>4081.0</v>
      </c>
      <c r="N137" s="34" t="s">
        <v>51</v>
      </c>
      <c r="O137" s="33" t="n">
        <f>3755</f>
        <v>3755.0</v>
      </c>
      <c r="P137" s="34" t="s">
        <v>158</v>
      </c>
      <c r="Q137" s="33" t="n">
        <f>4081</f>
        <v>4081.0</v>
      </c>
      <c r="R137" s="34" t="s">
        <v>51</v>
      </c>
      <c r="S137" s="35" t="n">
        <f>3913.95</f>
        <v>3913.95</v>
      </c>
      <c r="T137" s="32" t="n">
        <f>329729</f>
        <v>329729.0</v>
      </c>
      <c r="U137" s="32" t="n">
        <f>76852</f>
        <v>76852.0</v>
      </c>
      <c r="V137" s="32" t="n">
        <f>1281182109</f>
        <v>1.281182109E9</v>
      </c>
      <c r="W137" s="32" t="n">
        <f>299997161</f>
        <v>2.99997161E8</v>
      </c>
      <c r="X137" s="36" t="n">
        <f>22</f>
        <v>22.0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10630</f>
        <v>10630.0</v>
      </c>
      <c r="L138" s="34" t="s">
        <v>48</v>
      </c>
      <c r="M138" s="33" t="n">
        <f>10800</f>
        <v>10800.0</v>
      </c>
      <c r="N138" s="34" t="s">
        <v>51</v>
      </c>
      <c r="O138" s="33" t="n">
        <f>10260</f>
        <v>10260.0</v>
      </c>
      <c r="P138" s="34" t="s">
        <v>104</v>
      </c>
      <c r="Q138" s="33" t="n">
        <f>10710</f>
        <v>10710.0</v>
      </c>
      <c r="R138" s="34" t="s">
        <v>51</v>
      </c>
      <c r="S138" s="35" t="n">
        <f>10493.64</f>
        <v>10493.64</v>
      </c>
      <c r="T138" s="32" t="n">
        <f>162878</f>
        <v>162878.0</v>
      </c>
      <c r="U138" s="32" t="n">
        <f>82112</f>
        <v>82112.0</v>
      </c>
      <c r="V138" s="32" t="n">
        <f>1706293464</f>
        <v>1.706293464E9</v>
      </c>
      <c r="W138" s="32" t="n">
        <f>855093959</f>
        <v>8.55093959E8</v>
      </c>
      <c r="X138" s="36" t="n">
        <f>22</f>
        <v>22.0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5281</f>
        <v>5281.0</v>
      </c>
      <c r="L139" s="34" t="s">
        <v>48</v>
      </c>
      <c r="M139" s="33" t="n">
        <f>5634</f>
        <v>5634.0</v>
      </c>
      <c r="N139" s="34" t="s">
        <v>104</v>
      </c>
      <c r="O139" s="33" t="n">
        <f>4288</f>
        <v>4288.0</v>
      </c>
      <c r="P139" s="34" t="s">
        <v>123</v>
      </c>
      <c r="Q139" s="33" t="n">
        <f>4355</f>
        <v>4355.0</v>
      </c>
      <c r="R139" s="34" t="s">
        <v>51</v>
      </c>
      <c r="S139" s="35" t="n">
        <f>4942.68</f>
        <v>4942.68</v>
      </c>
      <c r="T139" s="32" t="n">
        <f>7348385</f>
        <v>7348385.0</v>
      </c>
      <c r="U139" s="32" t="n">
        <f>3299</f>
        <v>3299.0</v>
      </c>
      <c r="V139" s="32" t="n">
        <f>36556524962</f>
        <v>3.6556524962E10</v>
      </c>
      <c r="W139" s="32" t="n">
        <f>15688890</f>
        <v>1.568889E7</v>
      </c>
      <c r="X139" s="36" t="n">
        <f>22</f>
        <v>22.0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67090</f>
        <v>67090.0</v>
      </c>
      <c r="L140" s="34" t="s">
        <v>48</v>
      </c>
      <c r="M140" s="33" t="n">
        <f>67320</f>
        <v>67320.0</v>
      </c>
      <c r="N140" s="34" t="s">
        <v>48</v>
      </c>
      <c r="O140" s="33" t="n">
        <f>59000</f>
        <v>59000.0</v>
      </c>
      <c r="P140" s="34" t="s">
        <v>123</v>
      </c>
      <c r="Q140" s="33" t="n">
        <f>60070</f>
        <v>60070.0</v>
      </c>
      <c r="R140" s="34" t="s">
        <v>51</v>
      </c>
      <c r="S140" s="35" t="n">
        <f>63209.55</f>
        <v>63209.55</v>
      </c>
      <c r="T140" s="32" t="n">
        <f>14079</f>
        <v>14079.0</v>
      </c>
      <c r="U140" s="32" t="str">
        <f>"－"</f>
        <v>－</v>
      </c>
      <c r="V140" s="32" t="n">
        <f>882886560</f>
        <v>8.8288656E8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10940</f>
        <v>10940.0</v>
      </c>
      <c r="L141" s="34" t="s">
        <v>48</v>
      </c>
      <c r="M141" s="33" t="n">
        <f>11145</f>
        <v>11145.0</v>
      </c>
      <c r="N141" s="34" t="s">
        <v>158</v>
      </c>
      <c r="O141" s="33" t="n">
        <f>8267</f>
        <v>8267.0</v>
      </c>
      <c r="P141" s="34" t="s">
        <v>70</v>
      </c>
      <c r="Q141" s="33" t="n">
        <f>8501</f>
        <v>8501.0</v>
      </c>
      <c r="R141" s="34" t="s">
        <v>51</v>
      </c>
      <c r="S141" s="35" t="n">
        <f>9745.18</f>
        <v>9745.18</v>
      </c>
      <c r="T141" s="32" t="n">
        <f>258180</f>
        <v>258180.0</v>
      </c>
      <c r="U141" s="32" t="str">
        <f>"－"</f>
        <v>－</v>
      </c>
      <c r="V141" s="32" t="n">
        <f>2486739510</f>
        <v>2.48673951E9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28060</f>
        <v>28060.0</v>
      </c>
      <c r="L142" s="34" t="s">
        <v>48</v>
      </c>
      <c r="M142" s="33" t="n">
        <f>28505</f>
        <v>28505.0</v>
      </c>
      <c r="N142" s="34" t="s">
        <v>158</v>
      </c>
      <c r="O142" s="33" t="n">
        <f>22855</f>
        <v>22855.0</v>
      </c>
      <c r="P142" s="34" t="s">
        <v>123</v>
      </c>
      <c r="Q142" s="33" t="n">
        <f>23110</f>
        <v>23110.0</v>
      </c>
      <c r="R142" s="34" t="s">
        <v>51</v>
      </c>
      <c r="S142" s="35" t="n">
        <f>25385.68</f>
        <v>25385.68</v>
      </c>
      <c r="T142" s="32" t="n">
        <f>20314</f>
        <v>20314.0</v>
      </c>
      <c r="U142" s="32" t="str">
        <f>"－"</f>
        <v>－</v>
      </c>
      <c r="V142" s="32" t="n">
        <f>512084030</f>
        <v>5.1208403E8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19880</f>
        <v>19880.0</v>
      </c>
      <c r="L143" s="34" t="s">
        <v>48</v>
      </c>
      <c r="M143" s="33" t="n">
        <f>20200</f>
        <v>20200.0</v>
      </c>
      <c r="N143" s="34" t="s">
        <v>158</v>
      </c>
      <c r="O143" s="33" t="n">
        <f>17200</f>
        <v>17200.0</v>
      </c>
      <c r="P143" s="34" t="s">
        <v>123</v>
      </c>
      <c r="Q143" s="33" t="n">
        <f>18125</f>
        <v>18125.0</v>
      </c>
      <c r="R143" s="34" t="s">
        <v>51</v>
      </c>
      <c r="S143" s="35" t="n">
        <f>18657.05</f>
        <v>18657.05</v>
      </c>
      <c r="T143" s="32" t="n">
        <f>6274</f>
        <v>6274.0</v>
      </c>
      <c r="U143" s="32" t="str">
        <f>"－"</f>
        <v>－</v>
      </c>
      <c r="V143" s="32" t="n">
        <f>117426895</f>
        <v>1.17426895E8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45990</f>
        <v>45990.0</v>
      </c>
      <c r="L144" s="34" t="s">
        <v>48</v>
      </c>
      <c r="M144" s="33" t="n">
        <f>46390</f>
        <v>46390.0</v>
      </c>
      <c r="N144" s="34" t="s">
        <v>158</v>
      </c>
      <c r="O144" s="33" t="n">
        <f>37370</f>
        <v>37370.0</v>
      </c>
      <c r="P144" s="34" t="s">
        <v>123</v>
      </c>
      <c r="Q144" s="33" t="n">
        <f>40000</f>
        <v>40000.0</v>
      </c>
      <c r="R144" s="34" t="s">
        <v>51</v>
      </c>
      <c r="S144" s="35" t="n">
        <f>42492.73</f>
        <v>42492.73</v>
      </c>
      <c r="T144" s="32" t="n">
        <f>2723</f>
        <v>2723.0</v>
      </c>
      <c r="U144" s="32" t="str">
        <f>"－"</f>
        <v>－</v>
      </c>
      <c r="V144" s="32" t="n">
        <f>114837400</f>
        <v>1.148374E8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60800</f>
        <v>60800.0</v>
      </c>
      <c r="L145" s="34" t="s">
        <v>48</v>
      </c>
      <c r="M145" s="33" t="n">
        <f>61630</f>
        <v>61630.0</v>
      </c>
      <c r="N145" s="34" t="s">
        <v>51</v>
      </c>
      <c r="O145" s="33" t="n">
        <f>60270</f>
        <v>60270.0</v>
      </c>
      <c r="P145" s="34" t="s">
        <v>62</v>
      </c>
      <c r="Q145" s="33" t="n">
        <f>61630</f>
        <v>61630.0</v>
      </c>
      <c r="R145" s="34" t="s">
        <v>51</v>
      </c>
      <c r="S145" s="35" t="n">
        <f>60931.9</f>
        <v>60931.9</v>
      </c>
      <c r="T145" s="32" t="n">
        <f>40360</f>
        <v>40360.0</v>
      </c>
      <c r="U145" s="32" t="n">
        <f>37130</f>
        <v>37130.0</v>
      </c>
      <c r="V145" s="32" t="n">
        <f>2445365479</f>
        <v>2.445365479E9</v>
      </c>
      <c r="W145" s="32" t="n">
        <f>2248700879</f>
        <v>2.248700879E9</v>
      </c>
      <c r="X145" s="36" t="n">
        <f>21</f>
        <v>21.0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310.9</f>
        <v>310.9</v>
      </c>
      <c r="L146" s="34" t="s">
        <v>48</v>
      </c>
      <c r="M146" s="33" t="n">
        <f>326.3</f>
        <v>326.3</v>
      </c>
      <c r="N146" s="34" t="s">
        <v>123</v>
      </c>
      <c r="O146" s="33" t="n">
        <f>302.5</f>
        <v>302.5</v>
      </c>
      <c r="P146" s="34" t="s">
        <v>104</v>
      </c>
      <c r="Q146" s="33" t="n">
        <f>323.2</f>
        <v>323.2</v>
      </c>
      <c r="R146" s="34" t="s">
        <v>51</v>
      </c>
      <c r="S146" s="35" t="n">
        <f>315.37</f>
        <v>315.37</v>
      </c>
      <c r="T146" s="32" t="n">
        <f>14101000</f>
        <v>1.4101E7</v>
      </c>
      <c r="U146" s="32" t="n">
        <f>638990</f>
        <v>638990.0</v>
      </c>
      <c r="V146" s="32" t="n">
        <f>4442857029</f>
        <v>4.442857029E9</v>
      </c>
      <c r="W146" s="32" t="n">
        <f>200983803</f>
        <v>2.00983803E8</v>
      </c>
      <c r="X146" s="36" t="n">
        <f>22</f>
        <v>22.0</v>
      </c>
    </row>
    <row r="147">
      <c r="A147" s="27" t="s">
        <v>42</v>
      </c>
      <c r="B147" s="27" t="s">
        <v>488</v>
      </c>
      <c r="C147" s="27" t="s">
        <v>489</v>
      </c>
      <c r="D147" s="27" t="s">
        <v>490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65070</f>
        <v>65070.0</v>
      </c>
      <c r="L147" s="34" t="s">
        <v>210</v>
      </c>
      <c r="M147" s="33" t="n">
        <f>67680</f>
        <v>67680.0</v>
      </c>
      <c r="N147" s="34" t="s">
        <v>72</v>
      </c>
      <c r="O147" s="33" t="n">
        <f>64720</f>
        <v>64720.0</v>
      </c>
      <c r="P147" s="34" t="s">
        <v>50</v>
      </c>
      <c r="Q147" s="33" t="n">
        <f>67680</f>
        <v>67680.0</v>
      </c>
      <c r="R147" s="34" t="s">
        <v>72</v>
      </c>
      <c r="S147" s="35" t="n">
        <f>66446.67</f>
        <v>66446.67</v>
      </c>
      <c r="T147" s="32" t="n">
        <f>700</f>
        <v>700.0</v>
      </c>
      <c r="U147" s="32" t="n">
        <f>10</f>
        <v>10.0</v>
      </c>
      <c r="V147" s="32" t="n">
        <f>46570401</f>
        <v>4.6570401E7</v>
      </c>
      <c r="W147" s="32" t="n">
        <f>665201</f>
        <v>665201.0</v>
      </c>
      <c r="X147" s="36" t="n">
        <f>15</f>
        <v>15.0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8234</f>
        <v>8234.0</v>
      </c>
      <c r="L148" s="34" t="s">
        <v>48</v>
      </c>
      <c r="M148" s="33" t="n">
        <f>8295</f>
        <v>8295.0</v>
      </c>
      <c r="N148" s="34" t="s">
        <v>85</v>
      </c>
      <c r="O148" s="33" t="n">
        <f>7955</f>
        <v>7955.0</v>
      </c>
      <c r="P148" s="34" t="s">
        <v>50</v>
      </c>
      <c r="Q148" s="33" t="n">
        <f>8270</f>
        <v>8270.0</v>
      </c>
      <c r="R148" s="34" t="s">
        <v>51</v>
      </c>
      <c r="S148" s="35" t="n">
        <f>8194.41</f>
        <v>8194.41</v>
      </c>
      <c r="T148" s="32" t="n">
        <f>52622</f>
        <v>52622.0</v>
      </c>
      <c r="U148" s="32" t="n">
        <f>207</f>
        <v>207.0</v>
      </c>
      <c r="V148" s="32" t="n">
        <f>432056982</f>
        <v>4.32056982E8</v>
      </c>
      <c r="W148" s="32" t="n">
        <f>1703448</f>
        <v>1703448.0</v>
      </c>
      <c r="X148" s="36" t="n">
        <f>22</f>
        <v>22.0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3489</f>
        <v>3489.0</v>
      </c>
      <c r="L149" s="34" t="s">
        <v>48</v>
      </c>
      <c r="M149" s="33" t="n">
        <f>3649</f>
        <v>3649.0</v>
      </c>
      <c r="N149" s="34" t="s">
        <v>61</v>
      </c>
      <c r="O149" s="33" t="n">
        <f>3270</f>
        <v>3270.0</v>
      </c>
      <c r="P149" s="34" t="s">
        <v>104</v>
      </c>
      <c r="Q149" s="33" t="n">
        <f>3480</f>
        <v>3480.0</v>
      </c>
      <c r="R149" s="34" t="s">
        <v>51</v>
      </c>
      <c r="S149" s="35" t="n">
        <f>3486.86</f>
        <v>3486.86</v>
      </c>
      <c r="T149" s="32" t="n">
        <f>158608</f>
        <v>158608.0</v>
      </c>
      <c r="U149" s="32" t="n">
        <f>1380</f>
        <v>1380.0</v>
      </c>
      <c r="V149" s="32" t="n">
        <f>551517251</f>
        <v>5.51517251E8</v>
      </c>
      <c r="W149" s="32" t="n">
        <f>4852884</f>
        <v>4852884.0</v>
      </c>
      <c r="X149" s="36" t="n">
        <f>22</f>
        <v>22.0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2729.5</f>
        <v>2729.5</v>
      </c>
      <c r="L150" s="34" t="s">
        <v>48</v>
      </c>
      <c r="M150" s="33" t="n">
        <f>2729.5</f>
        <v>2729.5</v>
      </c>
      <c r="N150" s="34" t="s">
        <v>48</v>
      </c>
      <c r="O150" s="33" t="n">
        <f>2201</f>
        <v>2201.0</v>
      </c>
      <c r="P150" s="34" t="s">
        <v>66</v>
      </c>
      <c r="Q150" s="33" t="n">
        <f>2323</f>
        <v>2323.0</v>
      </c>
      <c r="R150" s="34" t="s">
        <v>72</v>
      </c>
      <c r="S150" s="35" t="n">
        <f>2444.29</f>
        <v>2444.29</v>
      </c>
      <c r="T150" s="32" t="n">
        <f>7530</f>
        <v>7530.0</v>
      </c>
      <c r="U150" s="32" t="str">
        <f>"－"</f>
        <v>－</v>
      </c>
      <c r="V150" s="32" t="n">
        <f>18595295</f>
        <v>1.8595295E7</v>
      </c>
      <c r="W150" s="32" t="str">
        <f>"－"</f>
        <v>－</v>
      </c>
      <c r="X150" s="36" t="n">
        <f>21</f>
        <v>21.0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802.1</f>
        <v>802.1</v>
      </c>
      <c r="L151" s="34" t="s">
        <v>48</v>
      </c>
      <c r="M151" s="33" t="n">
        <f>954.9</f>
        <v>954.9</v>
      </c>
      <c r="N151" s="34" t="s">
        <v>71</v>
      </c>
      <c r="O151" s="33" t="n">
        <f>684.3</f>
        <v>684.3</v>
      </c>
      <c r="P151" s="34" t="s">
        <v>123</v>
      </c>
      <c r="Q151" s="33" t="n">
        <f>739.5</f>
        <v>739.5</v>
      </c>
      <c r="R151" s="34" t="s">
        <v>51</v>
      </c>
      <c r="S151" s="35" t="n">
        <f>771.61</f>
        <v>771.61</v>
      </c>
      <c r="T151" s="32" t="n">
        <f>46390</f>
        <v>46390.0</v>
      </c>
      <c r="U151" s="32" t="str">
        <f>"－"</f>
        <v>－</v>
      </c>
      <c r="V151" s="32" t="n">
        <f>35862658</f>
        <v>3.5862658E7</v>
      </c>
      <c r="W151" s="32" t="str">
        <f>"－"</f>
        <v>－</v>
      </c>
      <c r="X151" s="36" t="n">
        <f>22</f>
        <v>22.0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3195</f>
        <v>3195.0</v>
      </c>
      <c r="L152" s="34" t="s">
        <v>48</v>
      </c>
      <c r="M152" s="33" t="n">
        <f>3906</f>
        <v>3906.0</v>
      </c>
      <c r="N152" s="34" t="s">
        <v>104</v>
      </c>
      <c r="O152" s="33" t="n">
        <f>3021</f>
        <v>3021.0</v>
      </c>
      <c r="P152" s="34" t="s">
        <v>72</v>
      </c>
      <c r="Q152" s="33" t="n">
        <f>3157</f>
        <v>3157.0</v>
      </c>
      <c r="R152" s="34" t="s">
        <v>51</v>
      </c>
      <c r="S152" s="35" t="n">
        <f>3162.36</f>
        <v>3162.36</v>
      </c>
      <c r="T152" s="32" t="n">
        <f>4510</f>
        <v>4510.0</v>
      </c>
      <c r="U152" s="32" t="str">
        <f>"－"</f>
        <v>－</v>
      </c>
      <c r="V152" s="32" t="n">
        <f>15267270</f>
        <v>1.526727E7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1010.5</f>
        <v>1010.5</v>
      </c>
      <c r="L153" s="34" t="s">
        <v>48</v>
      </c>
      <c r="M153" s="33" t="n">
        <f>1018</f>
        <v>1018.0</v>
      </c>
      <c r="N153" s="34" t="s">
        <v>158</v>
      </c>
      <c r="O153" s="33" t="n">
        <f>911.5</f>
        <v>911.5</v>
      </c>
      <c r="P153" s="34" t="s">
        <v>49</v>
      </c>
      <c r="Q153" s="33" t="n">
        <f>984</f>
        <v>984.0</v>
      </c>
      <c r="R153" s="34" t="s">
        <v>51</v>
      </c>
      <c r="S153" s="35" t="n">
        <f>970.76</f>
        <v>970.76</v>
      </c>
      <c r="T153" s="32" t="n">
        <f>215520</f>
        <v>215520.0</v>
      </c>
      <c r="U153" s="32" t="str">
        <f>"－"</f>
        <v>－</v>
      </c>
      <c r="V153" s="32" t="n">
        <f>208162254</f>
        <v>2.08162254E8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571</f>
        <v>571.0</v>
      </c>
      <c r="L154" s="34" t="s">
        <v>48</v>
      </c>
      <c r="M154" s="33" t="n">
        <f>575.4</f>
        <v>575.4</v>
      </c>
      <c r="N154" s="34" t="s">
        <v>48</v>
      </c>
      <c r="O154" s="33" t="n">
        <f>500</f>
        <v>500.0</v>
      </c>
      <c r="P154" s="34" t="s">
        <v>203</v>
      </c>
      <c r="Q154" s="33" t="n">
        <f>528.1</f>
        <v>528.1</v>
      </c>
      <c r="R154" s="34" t="s">
        <v>51</v>
      </c>
      <c r="S154" s="35" t="n">
        <f>537.11</f>
        <v>537.11</v>
      </c>
      <c r="T154" s="32" t="n">
        <f>463600</f>
        <v>463600.0</v>
      </c>
      <c r="U154" s="32" t="str">
        <f>"－"</f>
        <v>－</v>
      </c>
      <c r="V154" s="32" t="n">
        <f>249095136</f>
        <v>2.49095136E8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898</f>
        <v>898.0</v>
      </c>
      <c r="L155" s="34" t="s">
        <v>48</v>
      </c>
      <c r="M155" s="33" t="n">
        <f>912</f>
        <v>912.0</v>
      </c>
      <c r="N155" s="34" t="s">
        <v>48</v>
      </c>
      <c r="O155" s="33" t="n">
        <f>822</f>
        <v>822.0</v>
      </c>
      <c r="P155" s="34" t="s">
        <v>203</v>
      </c>
      <c r="Q155" s="33" t="n">
        <f>852</f>
        <v>852.0</v>
      </c>
      <c r="R155" s="34" t="s">
        <v>51</v>
      </c>
      <c r="S155" s="35" t="n">
        <f>865.05</f>
        <v>865.05</v>
      </c>
      <c r="T155" s="32" t="n">
        <f>1062694</f>
        <v>1062694.0</v>
      </c>
      <c r="U155" s="32" t="str">
        <f>"－"</f>
        <v>－</v>
      </c>
      <c r="V155" s="32" t="n">
        <f>928893981</f>
        <v>9.28893981E8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2394.5</f>
        <v>2394.5</v>
      </c>
      <c r="L156" s="34" t="s">
        <v>48</v>
      </c>
      <c r="M156" s="33" t="n">
        <f>2550</f>
        <v>2550.0</v>
      </c>
      <c r="N156" s="34" t="s">
        <v>62</v>
      </c>
      <c r="O156" s="33" t="n">
        <f>1998.5</f>
        <v>1998.5</v>
      </c>
      <c r="P156" s="34" t="s">
        <v>51</v>
      </c>
      <c r="Q156" s="33" t="n">
        <f>1998.5</f>
        <v>1998.5</v>
      </c>
      <c r="R156" s="34" t="s">
        <v>51</v>
      </c>
      <c r="S156" s="35" t="n">
        <f>2263.11</f>
        <v>2263.11</v>
      </c>
      <c r="T156" s="32" t="n">
        <f>62750</f>
        <v>62750.0</v>
      </c>
      <c r="U156" s="32" t="str">
        <f>"－"</f>
        <v>－</v>
      </c>
      <c r="V156" s="32" t="n">
        <f>143607810</f>
        <v>1.4360781E8</v>
      </c>
      <c r="W156" s="32" t="str">
        <f>"－"</f>
        <v>－</v>
      </c>
      <c r="X156" s="36" t="n">
        <f>22</f>
        <v>22.0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13415</f>
        <v>13415.0</v>
      </c>
      <c r="L157" s="34" t="s">
        <v>48</v>
      </c>
      <c r="M157" s="33" t="n">
        <f>13975</f>
        <v>13975.0</v>
      </c>
      <c r="N157" s="34" t="s">
        <v>85</v>
      </c>
      <c r="O157" s="33" t="n">
        <f>12100</f>
        <v>12100.0</v>
      </c>
      <c r="P157" s="34" t="s">
        <v>61</v>
      </c>
      <c r="Q157" s="33" t="n">
        <f>12100</f>
        <v>12100.0</v>
      </c>
      <c r="R157" s="34" t="s">
        <v>51</v>
      </c>
      <c r="S157" s="35" t="n">
        <f>12886.36</f>
        <v>12886.36</v>
      </c>
      <c r="T157" s="32" t="n">
        <f>2341</f>
        <v>2341.0</v>
      </c>
      <c r="U157" s="32" t="str">
        <f>"－"</f>
        <v>－</v>
      </c>
      <c r="V157" s="32" t="n">
        <f>30061135</f>
        <v>3.0061135E7</v>
      </c>
      <c r="W157" s="32" t="str">
        <f>"－"</f>
        <v>－</v>
      </c>
      <c r="X157" s="36" t="n">
        <f>22</f>
        <v>22.0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777</f>
        <v>777.0</v>
      </c>
      <c r="L158" s="34" t="s">
        <v>48</v>
      </c>
      <c r="M158" s="33" t="n">
        <f>840</f>
        <v>840.0</v>
      </c>
      <c r="N158" s="34" t="s">
        <v>85</v>
      </c>
      <c r="O158" s="33" t="n">
        <f>651.6</f>
        <v>651.6</v>
      </c>
      <c r="P158" s="34" t="s">
        <v>123</v>
      </c>
      <c r="Q158" s="33" t="n">
        <f>663.5</f>
        <v>663.5</v>
      </c>
      <c r="R158" s="34" t="s">
        <v>51</v>
      </c>
      <c r="S158" s="35" t="n">
        <f>729.32</f>
        <v>729.32</v>
      </c>
      <c r="T158" s="32" t="n">
        <f>212200</f>
        <v>212200.0</v>
      </c>
      <c r="U158" s="32" t="str">
        <f>"－"</f>
        <v>－</v>
      </c>
      <c r="V158" s="32" t="n">
        <f>158877910</f>
        <v>1.5887791E8</v>
      </c>
      <c r="W158" s="32" t="str">
        <f>"－"</f>
        <v>－</v>
      </c>
      <c r="X158" s="36" t="n">
        <f>22</f>
        <v>22.0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8822</f>
        <v>8822.0</v>
      </c>
      <c r="L159" s="34" t="s">
        <v>48</v>
      </c>
      <c r="M159" s="33" t="n">
        <f>9238</f>
        <v>9238.0</v>
      </c>
      <c r="N159" s="34" t="s">
        <v>85</v>
      </c>
      <c r="O159" s="33" t="n">
        <f>8325</f>
        <v>8325.0</v>
      </c>
      <c r="P159" s="34" t="s">
        <v>123</v>
      </c>
      <c r="Q159" s="33" t="n">
        <f>8599</f>
        <v>8599.0</v>
      </c>
      <c r="R159" s="34" t="s">
        <v>51</v>
      </c>
      <c r="S159" s="35" t="n">
        <f>8786.95</f>
        <v>8786.95</v>
      </c>
      <c r="T159" s="32" t="n">
        <f>291360</f>
        <v>291360.0</v>
      </c>
      <c r="U159" s="32" t="str">
        <f>"－"</f>
        <v>－</v>
      </c>
      <c r="V159" s="32" t="n">
        <f>2568694060</f>
        <v>2.56869406E9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2610</f>
        <v>2610.0</v>
      </c>
      <c r="L160" s="34" t="s">
        <v>48</v>
      </c>
      <c r="M160" s="33" t="n">
        <f>2700</f>
        <v>2700.0</v>
      </c>
      <c r="N160" s="34" t="s">
        <v>158</v>
      </c>
      <c r="O160" s="33" t="n">
        <f>2250</f>
        <v>2250.0</v>
      </c>
      <c r="P160" s="34" t="s">
        <v>123</v>
      </c>
      <c r="Q160" s="33" t="n">
        <f>2261</f>
        <v>2261.0</v>
      </c>
      <c r="R160" s="34" t="s">
        <v>51</v>
      </c>
      <c r="S160" s="35" t="n">
        <f>2451.93</f>
        <v>2451.93</v>
      </c>
      <c r="T160" s="32" t="n">
        <f>9660</f>
        <v>9660.0</v>
      </c>
      <c r="U160" s="32" t="str">
        <f>"－"</f>
        <v>－</v>
      </c>
      <c r="V160" s="32" t="n">
        <f>24086895</f>
        <v>2.4086895E7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3245</f>
        <v>3245.0</v>
      </c>
      <c r="L161" s="34" t="s">
        <v>48</v>
      </c>
      <c r="M161" s="33" t="n">
        <f>3260</f>
        <v>3260.0</v>
      </c>
      <c r="N161" s="34" t="s">
        <v>48</v>
      </c>
      <c r="O161" s="33" t="n">
        <f>3000</f>
        <v>3000.0</v>
      </c>
      <c r="P161" s="34" t="s">
        <v>195</v>
      </c>
      <c r="Q161" s="33" t="n">
        <f>3030</f>
        <v>3030.0</v>
      </c>
      <c r="R161" s="34" t="s">
        <v>51</v>
      </c>
      <c r="S161" s="35" t="n">
        <f>3099.32</f>
        <v>3099.32</v>
      </c>
      <c r="T161" s="32" t="n">
        <f>307738</f>
        <v>307738.0</v>
      </c>
      <c r="U161" s="32" t="str">
        <f>"－"</f>
        <v>－</v>
      </c>
      <c r="V161" s="32" t="n">
        <f>958218614</f>
        <v>9.58218614E8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2953</f>
        <v>2953.0</v>
      </c>
      <c r="L162" s="34" t="s">
        <v>48</v>
      </c>
      <c r="M162" s="33" t="n">
        <f>2968</f>
        <v>2968.0</v>
      </c>
      <c r="N162" s="34" t="s">
        <v>48</v>
      </c>
      <c r="O162" s="33" t="n">
        <f>2670</f>
        <v>2670.0</v>
      </c>
      <c r="P162" s="34" t="s">
        <v>203</v>
      </c>
      <c r="Q162" s="33" t="n">
        <f>2719</f>
        <v>2719.0</v>
      </c>
      <c r="R162" s="34" t="s">
        <v>51</v>
      </c>
      <c r="S162" s="35" t="n">
        <f>2778.64</f>
        <v>2778.64</v>
      </c>
      <c r="T162" s="32" t="n">
        <f>135474</f>
        <v>135474.0</v>
      </c>
      <c r="U162" s="32" t="str">
        <f>"－"</f>
        <v>－</v>
      </c>
      <c r="V162" s="32" t="n">
        <f>379093051</f>
        <v>3.79093051E8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4531</f>
        <v>4531.0</v>
      </c>
      <c r="L163" s="34" t="s">
        <v>48</v>
      </c>
      <c r="M163" s="33" t="n">
        <f>4573</f>
        <v>4573.0</v>
      </c>
      <c r="N163" s="34" t="s">
        <v>48</v>
      </c>
      <c r="O163" s="33" t="n">
        <f>4000</f>
        <v>4000.0</v>
      </c>
      <c r="P163" s="34" t="s">
        <v>214</v>
      </c>
      <c r="Q163" s="33" t="n">
        <f>4393</f>
        <v>4393.0</v>
      </c>
      <c r="R163" s="34" t="s">
        <v>51</v>
      </c>
      <c r="S163" s="35" t="n">
        <f>4357.36</f>
        <v>4357.36</v>
      </c>
      <c r="T163" s="32" t="n">
        <f>12160</f>
        <v>12160.0</v>
      </c>
      <c r="U163" s="32" t="str">
        <f>"－"</f>
        <v>－</v>
      </c>
      <c r="V163" s="32" t="n">
        <f>53022930</f>
        <v>5.302293E7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4020</f>
        <v>4020.0</v>
      </c>
      <c r="L164" s="34" t="s">
        <v>48</v>
      </c>
      <c r="M164" s="33" t="n">
        <f>4128</f>
        <v>4128.0</v>
      </c>
      <c r="N164" s="34" t="s">
        <v>203</v>
      </c>
      <c r="O164" s="33" t="n">
        <f>3918</f>
        <v>3918.0</v>
      </c>
      <c r="P164" s="34" t="s">
        <v>158</v>
      </c>
      <c r="Q164" s="33" t="n">
        <f>4038</f>
        <v>4038.0</v>
      </c>
      <c r="R164" s="34" t="s">
        <v>51</v>
      </c>
      <c r="S164" s="35" t="n">
        <f>4036</f>
        <v>4036.0</v>
      </c>
      <c r="T164" s="32" t="n">
        <f>658130</f>
        <v>658130.0</v>
      </c>
      <c r="U164" s="32" t="n">
        <f>142160</f>
        <v>142160.0</v>
      </c>
      <c r="V164" s="32" t="n">
        <f>2652925227</f>
        <v>2.652925227E9</v>
      </c>
      <c r="W164" s="32" t="n">
        <f>569438971</f>
        <v>5.69438971E8</v>
      </c>
      <c r="X164" s="36" t="n">
        <f>22</f>
        <v>22.0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637.1</f>
        <v>637.1</v>
      </c>
      <c r="L165" s="34" t="s">
        <v>48</v>
      </c>
      <c r="M165" s="33" t="n">
        <f>673.6</f>
        <v>673.6</v>
      </c>
      <c r="N165" s="34" t="s">
        <v>104</v>
      </c>
      <c r="O165" s="33" t="n">
        <f>535</f>
        <v>535.0</v>
      </c>
      <c r="P165" s="34" t="s">
        <v>123</v>
      </c>
      <c r="Q165" s="33" t="n">
        <f>544.7</f>
        <v>544.7</v>
      </c>
      <c r="R165" s="34" t="s">
        <v>51</v>
      </c>
      <c r="S165" s="35" t="n">
        <f>604.45</f>
        <v>604.45</v>
      </c>
      <c r="T165" s="32" t="n">
        <f>9979480</f>
        <v>9979480.0</v>
      </c>
      <c r="U165" s="32" t="n">
        <f>178950</f>
        <v>178950.0</v>
      </c>
      <c r="V165" s="32" t="n">
        <f>5982881059</f>
        <v>5.982881059E9</v>
      </c>
      <c r="W165" s="32" t="n">
        <f>108377153</f>
        <v>1.08377153E8</v>
      </c>
      <c r="X165" s="36" t="n">
        <f>22</f>
        <v>22.0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3090</f>
        <v>3090.0</v>
      </c>
      <c r="L166" s="34" t="s">
        <v>48</v>
      </c>
      <c r="M166" s="33" t="n">
        <f>3360</f>
        <v>3360.0</v>
      </c>
      <c r="N166" s="34" t="s">
        <v>49</v>
      </c>
      <c r="O166" s="33" t="n">
        <f>2917</f>
        <v>2917.0</v>
      </c>
      <c r="P166" s="34" t="s">
        <v>50</v>
      </c>
      <c r="Q166" s="33" t="n">
        <f>3119</f>
        <v>3119.0</v>
      </c>
      <c r="R166" s="34" t="s">
        <v>51</v>
      </c>
      <c r="S166" s="35" t="n">
        <f>3078.41</f>
        <v>3078.41</v>
      </c>
      <c r="T166" s="32" t="n">
        <f>65665</f>
        <v>65665.0</v>
      </c>
      <c r="U166" s="32" t="str">
        <f>"－"</f>
        <v>－</v>
      </c>
      <c r="V166" s="32" t="n">
        <f>204490401</f>
        <v>2.04490401E8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1721</f>
        <v>1721.0</v>
      </c>
      <c r="L167" s="34" t="s">
        <v>48</v>
      </c>
      <c r="M167" s="33" t="n">
        <f>1742</f>
        <v>1742.0</v>
      </c>
      <c r="N167" s="34" t="s">
        <v>85</v>
      </c>
      <c r="O167" s="33" t="n">
        <f>1518</f>
        <v>1518.0</v>
      </c>
      <c r="P167" s="34" t="s">
        <v>70</v>
      </c>
      <c r="Q167" s="33" t="n">
        <f>1589</f>
        <v>1589.0</v>
      </c>
      <c r="R167" s="34" t="s">
        <v>51</v>
      </c>
      <c r="S167" s="35" t="n">
        <f>1636.32</f>
        <v>1636.32</v>
      </c>
      <c r="T167" s="32" t="n">
        <f>1039186</f>
        <v>1039186.0</v>
      </c>
      <c r="U167" s="32" t="str">
        <f>"－"</f>
        <v>－</v>
      </c>
      <c r="V167" s="32" t="n">
        <f>1679563287</f>
        <v>1.679563287E9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551</v>
      </c>
      <c r="C168" s="27" t="s">
        <v>552</v>
      </c>
      <c r="D168" s="27" t="s">
        <v>553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253.4</f>
        <v>253.4</v>
      </c>
      <c r="L168" s="34" t="s">
        <v>48</v>
      </c>
      <c r="M168" s="33" t="n">
        <f>257.9</f>
        <v>257.9</v>
      </c>
      <c r="N168" s="34" t="s">
        <v>70</v>
      </c>
      <c r="O168" s="33" t="n">
        <f>245.8</f>
        <v>245.8</v>
      </c>
      <c r="P168" s="34" t="s">
        <v>210</v>
      </c>
      <c r="Q168" s="33" t="n">
        <f>257.2</f>
        <v>257.2</v>
      </c>
      <c r="R168" s="34" t="s">
        <v>51</v>
      </c>
      <c r="S168" s="35" t="n">
        <f>253.06</f>
        <v>253.06</v>
      </c>
      <c r="T168" s="32" t="n">
        <f>2906760</f>
        <v>2906760.0</v>
      </c>
      <c r="U168" s="32" t="n">
        <f>1973000</f>
        <v>1973000.0</v>
      </c>
      <c r="V168" s="32" t="n">
        <f>736384217</f>
        <v>7.36384217E8</v>
      </c>
      <c r="W168" s="32" t="n">
        <f>500204825</f>
        <v>5.00204825E8</v>
      </c>
      <c r="X168" s="36" t="n">
        <f>22</f>
        <v>22.0</v>
      </c>
    </row>
    <row r="169">
      <c r="A169" s="27" t="s">
        <v>42</v>
      </c>
      <c r="B169" s="27" t="s">
        <v>554</v>
      </c>
      <c r="C169" s="27" t="s">
        <v>555</v>
      </c>
      <c r="D169" s="27" t="s">
        <v>556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294.7</f>
        <v>294.7</v>
      </c>
      <c r="L169" s="34" t="s">
        <v>48</v>
      </c>
      <c r="M169" s="33" t="n">
        <f>305.9</f>
        <v>305.9</v>
      </c>
      <c r="N169" s="34" t="s">
        <v>51</v>
      </c>
      <c r="O169" s="33" t="n">
        <f>290.3</f>
        <v>290.3</v>
      </c>
      <c r="P169" s="34" t="s">
        <v>123</v>
      </c>
      <c r="Q169" s="33" t="n">
        <f>305.9</f>
        <v>305.9</v>
      </c>
      <c r="R169" s="34" t="s">
        <v>51</v>
      </c>
      <c r="S169" s="35" t="n">
        <f>298</f>
        <v>298.0</v>
      </c>
      <c r="T169" s="32" t="n">
        <f>1581810</f>
        <v>1581810.0</v>
      </c>
      <c r="U169" s="32" t="str">
        <f>"－"</f>
        <v>－</v>
      </c>
      <c r="V169" s="32" t="n">
        <f>476183021</f>
        <v>4.76183021E8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557</v>
      </c>
      <c r="C170" s="27" t="s">
        <v>558</v>
      </c>
      <c r="D170" s="27" t="s">
        <v>559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573.9</f>
        <v>573.9</v>
      </c>
      <c r="L170" s="34" t="s">
        <v>48</v>
      </c>
      <c r="M170" s="33" t="n">
        <f>573.9</f>
        <v>573.9</v>
      </c>
      <c r="N170" s="34" t="s">
        <v>48</v>
      </c>
      <c r="O170" s="33" t="n">
        <f>531.5</f>
        <v>531.5</v>
      </c>
      <c r="P170" s="34" t="s">
        <v>104</v>
      </c>
      <c r="Q170" s="33" t="n">
        <f>544.7</f>
        <v>544.7</v>
      </c>
      <c r="R170" s="34" t="s">
        <v>51</v>
      </c>
      <c r="S170" s="35" t="n">
        <f>538.72</f>
        <v>538.72</v>
      </c>
      <c r="T170" s="32" t="n">
        <f>4170800</f>
        <v>4170800.0</v>
      </c>
      <c r="U170" s="32" t="n">
        <f>3980000</f>
        <v>3980000.0</v>
      </c>
      <c r="V170" s="32" t="n">
        <f>2235505942</f>
        <v>2.235505942E9</v>
      </c>
      <c r="W170" s="32" t="n">
        <f>2132044000</f>
        <v>2.132044E9</v>
      </c>
      <c r="X170" s="36" t="n">
        <f>17</f>
        <v>17.0</v>
      </c>
    </row>
    <row r="171">
      <c r="A171" s="27" t="s">
        <v>42</v>
      </c>
      <c r="B171" s="27" t="s">
        <v>560</v>
      </c>
      <c r="C171" s="27" t="s">
        <v>561</v>
      </c>
      <c r="D171" s="27" t="s">
        <v>562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518.2</f>
        <v>518.2</v>
      </c>
      <c r="L171" s="34" t="s">
        <v>48</v>
      </c>
      <c r="M171" s="33" t="n">
        <f>536.5</f>
        <v>536.5</v>
      </c>
      <c r="N171" s="34" t="s">
        <v>72</v>
      </c>
      <c r="O171" s="33" t="n">
        <f>505.6</f>
        <v>505.6</v>
      </c>
      <c r="P171" s="34" t="s">
        <v>104</v>
      </c>
      <c r="Q171" s="33" t="n">
        <f>528.1</f>
        <v>528.1</v>
      </c>
      <c r="R171" s="34" t="s">
        <v>51</v>
      </c>
      <c r="S171" s="35" t="n">
        <f>515.2</f>
        <v>515.2</v>
      </c>
      <c r="T171" s="32" t="n">
        <f>66530</f>
        <v>66530.0</v>
      </c>
      <c r="U171" s="32" t="str">
        <f>"－"</f>
        <v>－</v>
      </c>
      <c r="V171" s="32" t="n">
        <f>34678948</f>
        <v>3.4678948E7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563</v>
      </c>
      <c r="C172" s="27" t="s">
        <v>564</v>
      </c>
      <c r="D172" s="27" t="s">
        <v>565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446.8</f>
        <v>446.8</v>
      </c>
      <c r="L172" s="34" t="s">
        <v>48</v>
      </c>
      <c r="M172" s="33" t="n">
        <f>457.8</f>
        <v>457.8</v>
      </c>
      <c r="N172" s="34" t="s">
        <v>123</v>
      </c>
      <c r="O172" s="33" t="n">
        <f>443.8</f>
        <v>443.8</v>
      </c>
      <c r="P172" s="34" t="s">
        <v>62</v>
      </c>
      <c r="Q172" s="33" t="n">
        <f>457.6</f>
        <v>457.6</v>
      </c>
      <c r="R172" s="34" t="s">
        <v>51</v>
      </c>
      <c r="S172" s="35" t="n">
        <f>451.25</f>
        <v>451.25</v>
      </c>
      <c r="T172" s="32" t="n">
        <f>1426180</f>
        <v>1426180.0</v>
      </c>
      <c r="U172" s="32" t="n">
        <f>1150000</f>
        <v>1150000.0</v>
      </c>
      <c r="V172" s="32" t="n">
        <f>640440548</f>
        <v>6.40440548E8</v>
      </c>
      <c r="W172" s="32" t="n">
        <f>516062500</f>
        <v>5.160625E8</v>
      </c>
      <c r="X172" s="36" t="n">
        <f>17</f>
        <v>17.0</v>
      </c>
    </row>
    <row r="173">
      <c r="A173" s="27" t="s">
        <v>42</v>
      </c>
      <c r="B173" s="27" t="s">
        <v>566</v>
      </c>
      <c r="C173" s="27" t="s">
        <v>567</v>
      </c>
      <c r="D173" s="27" t="s">
        <v>568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869</f>
        <v>869.0</v>
      </c>
      <c r="L173" s="34" t="s">
        <v>48</v>
      </c>
      <c r="M173" s="33" t="n">
        <f>896</f>
        <v>896.0</v>
      </c>
      <c r="N173" s="34" t="s">
        <v>51</v>
      </c>
      <c r="O173" s="33" t="n">
        <f>839</f>
        <v>839.0</v>
      </c>
      <c r="P173" s="34" t="s">
        <v>62</v>
      </c>
      <c r="Q173" s="33" t="n">
        <f>887</f>
        <v>887.0</v>
      </c>
      <c r="R173" s="34" t="s">
        <v>51</v>
      </c>
      <c r="S173" s="35" t="n">
        <f>869.95</f>
        <v>869.95</v>
      </c>
      <c r="T173" s="32" t="n">
        <f>103631</f>
        <v>103631.0</v>
      </c>
      <c r="U173" s="32" t="str">
        <f>"－"</f>
        <v>－</v>
      </c>
      <c r="V173" s="32" t="n">
        <f>90016530</f>
        <v>9.001653E7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569</v>
      </c>
      <c r="C174" s="27" t="s">
        <v>570</v>
      </c>
      <c r="D174" s="27" t="s">
        <v>571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4832</f>
        <v>4832.0</v>
      </c>
      <c r="L174" s="34" t="s">
        <v>48</v>
      </c>
      <c r="M174" s="33" t="n">
        <f>6667</f>
        <v>6667.0</v>
      </c>
      <c r="N174" s="34" t="s">
        <v>61</v>
      </c>
      <c r="O174" s="33" t="n">
        <f>4653</f>
        <v>4653.0</v>
      </c>
      <c r="P174" s="34" t="s">
        <v>104</v>
      </c>
      <c r="Q174" s="33" t="n">
        <f>5932</f>
        <v>5932.0</v>
      </c>
      <c r="R174" s="34" t="s">
        <v>51</v>
      </c>
      <c r="S174" s="35" t="n">
        <f>5589</f>
        <v>5589.0</v>
      </c>
      <c r="T174" s="32" t="n">
        <f>144456028</f>
        <v>1.44456028E8</v>
      </c>
      <c r="U174" s="32" t="n">
        <f>1929681</f>
        <v>1929681.0</v>
      </c>
      <c r="V174" s="32" t="n">
        <f>830553928754</f>
        <v>8.30553928754E11</v>
      </c>
      <c r="W174" s="32" t="n">
        <f>10885425947</f>
        <v>1.0885425947E10</v>
      </c>
      <c r="X174" s="36" t="n">
        <f>22</f>
        <v>22.0</v>
      </c>
    </row>
    <row r="175">
      <c r="A175" s="27" t="s">
        <v>42</v>
      </c>
      <c r="B175" s="27" t="s">
        <v>572</v>
      </c>
      <c r="C175" s="27" t="s">
        <v>573</v>
      </c>
      <c r="D175" s="27" t="s">
        <v>574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808.5</f>
        <v>808.5</v>
      </c>
      <c r="L175" s="34" t="s">
        <v>48</v>
      </c>
      <c r="M175" s="33" t="n">
        <f>821</f>
        <v>821.0</v>
      </c>
      <c r="N175" s="34" t="s">
        <v>61</v>
      </c>
      <c r="O175" s="33" t="n">
        <f>777.6</f>
        <v>777.6</v>
      </c>
      <c r="P175" s="34" t="s">
        <v>158</v>
      </c>
      <c r="Q175" s="33" t="n">
        <f>804.8</f>
        <v>804.8</v>
      </c>
      <c r="R175" s="34" t="s">
        <v>51</v>
      </c>
      <c r="S175" s="35" t="n">
        <f>799.25</f>
        <v>799.25</v>
      </c>
      <c r="T175" s="32" t="n">
        <f>1587080</f>
        <v>1587080.0</v>
      </c>
      <c r="U175" s="32" t="n">
        <f>930</f>
        <v>930.0</v>
      </c>
      <c r="V175" s="32" t="n">
        <f>1271061195</f>
        <v>1.271061195E9</v>
      </c>
      <c r="W175" s="32" t="n">
        <f>752875</f>
        <v>752875.0</v>
      </c>
      <c r="X175" s="36" t="n">
        <f>22</f>
        <v>22.0</v>
      </c>
    </row>
    <row r="176">
      <c r="A176" s="27" t="s">
        <v>42</v>
      </c>
      <c r="B176" s="27" t="s">
        <v>575</v>
      </c>
      <c r="C176" s="27" t="s">
        <v>576</v>
      </c>
      <c r="D176" s="27" t="s">
        <v>577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240.3</f>
        <v>240.3</v>
      </c>
      <c r="L176" s="34" t="s">
        <v>48</v>
      </c>
      <c r="M176" s="33" t="n">
        <f>245.6</f>
        <v>245.6</v>
      </c>
      <c r="N176" s="34" t="s">
        <v>51</v>
      </c>
      <c r="O176" s="33" t="n">
        <f>240.1</f>
        <v>240.1</v>
      </c>
      <c r="P176" s="34" t="s">
        <v>154</v>
      </c>
      <c r="Q176" s="33" t="n">
        <f>245.4</f>
        <v>245.4</v>
      </c>
      <c r="R176" s="34" t="s">
        <v>51</v>
      </c>
      <c r="S176" s="35" t="n">
        <f>242.77</f>
        <v>242.77</v>
      </c>
      <c r="T176" s="32" t="n">
        <f>19730460</f>
        <v>1.973046E7</v>
      </c>
      <c r="U176" s="32" t="n">
        <f>12113100</f>
        <v>1.21131E7</v>
      </c>
      <c r="V176" s="32" t="n">
        <f>4771642586</f>
        <v>4.771642586E9</v>
      </c>
      <c r="W176" s="32" t="n">
        <f>2922004961</f>
        <v>2.922004961E9</v>
      </c>
      <c r="X176" s="36" t="n">
        <f>22</f>
        <v>22.0</v>
      </c>
    </row>
    <row r="177">
      <c r="A177" s="27" t="s">
        <v>42</v>
      </c>
      <c r="B177" s="27" t="s">
        <v>578</v>
      </c>
      <c r="C177" s="27" t="s">
        <v>579</v>
      </c>
      <c r="D177" s="27" t="s">
        <v>580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290.7</f>
        <v>290.7</v>
      </c>
      <c r="L177" s="34" t="s">
        <v>48</v>
      </c>
      <c r="M177" s="33" t="n">
        <f>304.3</f>
        <v>304.3</v>
      </c>
      <c r="N177" s="34" t="s">
        <v>72</v>
      </c>
      <c r="O177" s="33" t="n">
        <f>287.1</f>
        <v>287.1</v>
      </c>
      <c r="P177" s="34" t="s">
        <v>158</v>
      </c>
      <c r="Q177" s="33" t="n">
        <f>302.1</f>
        <v>302.1</v>
      </c>
      <c r="R177" s="34" t="s">
        <v>51</v>
      </c>
      <c r="S177" s="35" t="n">
        <f>295.45</f>
        <v>295.45</v>
      </c>
      <c r="T177" s="32" t="n">
        <f>7747520</f>
        <v>7747520.0</v>
      </c>
      <c r="U177" s="32" t="n">
        <f>2092160</f>
        <v>2092160.0</v>
      </c>
      <c r="V177" s="32" t="n">
        <f>2269844910</f>
        <v>2.26984491E9</v>
      </c>
      <c r="W177" s="32" t="n">
        <f>603221566</f>
        <v>6.03221566E8</v>
      </c>
      <c r="X177" s="36" t="n">
        <f>22</f>
        <v>22.0</v>
      </c>
    </row>
    <row r="178">
      <c r="A178" s="27" t="s">
        <v>42</v>
      </c>
      <c r="B178" s="27" t="s">
        <v>581</v>
      </c>
      <c r="C178" s="27" t="s">
        <v>582</v>
      </c>
      <c r="D178" s="27" t="s">
        <v>583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305.1</f>
        <v>305.1</v>
      </c>
      <c r="L178" s="34" t="s">
        <v>48</v>
      </c>
      <c r="M178" s="33" t="n">
        <f>315.9</f>
        <v>315.9</v>
      </c>
      <c r="N178" s="34" t="s">
        <v>51</v>
      </c>
      <c r="O178" s="33" t="n">
        <f>304.2</f>
        <v>304.2</v>
      </c>
      <c r="P178" s="34" t="s">
        <v>158</v>
      </c>
      <c r="Q178" s="33" t="n">
        <f>315.7</f>
        <v>315.7</v>
      </c>
      <c r="R178" s="34" t="s">
        <v>51</v>
      </c>
      <c r="S178" s="35" t="n">
        <f>309.28</f>
        <v>309.28</v>
      </c>
      <c r="T178" s="32" t="n">
        <f>4001330</f>
        <v>4001330.0</v>
      </c>
      <c r="U178" s="32" t="n">
        <f>1291300</f>
        <v>1291300.0</v>
      </c>
      <c r="V178" s="32" t="n">
        <f>1237913435</f>
        <v>1.237913435E9</v>
      </c>
      <c r="W178" s="32" t="n">
        <f>400156418</f>
        <v>4.00156418E8</v>
      </c>
      <c r="X178" s="36" t="n">
        <f>22</f>
        <v>22.0</v>
      </c>
    </row>
    <row r="179">
      <c r="A179" s="27" t="s">
        <v>42</v>
      </c>
      <c r="B179" s="27" t="s">
        <v>584</v>
      </c>
      <c r="C179" s="27" t="s">
        <v>585</v>
      </c>
      <c r="D179" s="27" t="s">
        <v>586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2166</f>
        <v>2166.0</v>
      </c>
      <c r="L179" s="34" t="s">
        <v>48</v>
      </c>
      <c r="M179" s="33" t="n">
        <f>2248</f>
        <v>2248.0</v>
      </c>
      <c r="N179" s="34" t="s">
        <v>199</v>
      </c>
      <c r="O179" s="33" t="n">
        <f>2162</f>
        <v>2162.0</v>
      </c>
      <c r="P179" s="34" t="s">
        <v>104</v>
      </c>
      <c r="Q179" s="33" t="n">
        <f>2228</f>
        <v>2228.0</v>
      </c>
      <c r="R179" s="34" t="s">
        <v>51</v>
      </c>
      <c r="S179" s="35" t="n">
        <f>2186.82</f>
        <v>2186.82</v>
      </c>
      <c r="T179" s="32" t="n">
        <f>836566</f>
        <v>836566.0</v>
      </c>
      <c r="U179" s="32" t="n">
        <f>719600</f>
        <v>719600.0</v>
      </c>
      <c r="V179" s="32" t="n">
        <f>1821127980</f>
        <v>1.82112798E9</v>
      </c>
      <c r="W179" s="32" t="n">
        <f>1565992740</f>
        <v>1.56599274E9</v>
      </c>
      <c r="X179" s="36" t="n">
        <f>22</f>
        <v>22.0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1792</f>
        <v>1792.0</v>
      </c>
      <c r="L180" s="34" t="s">
        <v>48</v>
      </c>
      <c r="M180" s="33" t="n">
        <f>1810</f>
        <v>1810.0</v>
      </c>
      <c r="N180" s="34" t="s">
        <v>70</v>
      </c>
      <c r="O180" s="33" t="n">
        <f>1776</f>
        <v>1776.0</v>
      </c>
      <c r="P180" s="34" t="s">
        <v>104</v>
      </c>
      <c r="Q180" s="33" t="n">
        <f>1802</f>
        <v>1802.0</v>
      </c>
      <c r="R180" s="34" t="s">
        <v>51</v>
      </c>
      <c r="S180" s="35" t="n">
        <f>1789.5</f>
        <v>1789.5</v>
      </c>
      <c r="T180" s="32" t="n">
        <f>2373649</f>
        <v>2373649.0</v>
      </c>
      <c r="U180" s="32" t="n">
        <f>559000</f>
        <v>559000.0</v>
      </c>
      <c r="V180" s="32" t="n">
        <f>4249508417</f>
        <v>4.249508417E9</v>
      </c>
      <c r="W180" s="32" t="n">
        <f>1002803610</f>
        <v>1.00280361E9</v>
      </c>
      <c r="X180" s="36" t="n">
        <f>22</f>
        <v>22.0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1490</f>
        <v>1490.0</v>
      </c>
      <c r="L181" s="34" t="s">
        <v>48</v>
      </c>
      <c r="M181" s="33" t="n">
        <f>1522</f>
        <v>1522.0</v>
      </c>
      <c r="N181" s="34" t="s">
        <v>375</v>
      </c>
      <c r="O181" s="33" t="n">
        <f>1403</f>
        <v>1403.0</v>
      </c>
      <c r="P181" s="34" t="s">
        <v>50</v>
      </c>
      <c r="Q181" s="33" t="n">
        <f>1483</f>
        <v>1483.0</v>
      </c>
      <c r="R181" s="34" t="s">
        <v>51</v>
      </c>
      <c r="S181" s="35" t="n">
        <f>1474</f>
        <v>1474.0</v>
      </c>
      <c r="T181" s="32" t="n">
        <f>1282320</f>
        <v>1282320.0</v>
      </c>
      <c r="U181" s="32" t="n">
        <f>2310</f>
        <v>2310.0</v>
      </c>
      <c r="V181" s="32" t="n">
        <f>1888799352</f>
        <v>1.888799352E9</v>
      </c>
      <c r="W181" s="32" t="n">
        <f>3390447</f>
        <v>3390447.0</v>
      </c>
      <c r="X181" s="36" t="n">
        <f>22</f>
        <v>22.0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1291</f>
        <v>1291.0</v>
      </c>
      <c r="L182" s="34" t="s">
        <v>48</v>
      </c>
      <c r="M182" s="33" t="n">
        <f>1337</f>
        <v>1337.0</v>
      </c>
      <c r="N182" s="34" t="s">
        <v>72</v>
      </c>
      <c r="O182" s="33" t="n">
        <f>1260</f>
        <v>1260.0</v>
      </c>
      <c r="P182" s="34" t="s">
        <v>158</v>
      </c>
      <c r="Q182" s="33" t="n">
        <f>1331</f>
        <v>1331.0</v>
      </c>
      <c r="R182" s="34" t="s">
        <v>51</v>
      </c>
      <c r="S182" s="35" t="n">
        <f>1301.45</f>
        <v>1301.45</v>
      </c>
      <c r="T182" s="32" t="n">
        <f>184591</f>
        <v>184591.0</v>
      </c>
      <c r="U182" s="32" t="str">
        <f>"－"</f>
        <v>－</v>
      </c>
      <c r="V182" s="32" t="n">
        <f>239259964</f>
        <v>2.39259964E8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1040</f>
        <v>1040.0</v>
      </c>
      <c r="L183" s="34" t="s">
        <v>48</v>
      </c>
      <c r="M183" s="33" t="n">
        <f>1060</f>
        <v>1060.0</v>
      </c>
      <c r="N183" s="34" t="s">
        <v>72</v>
      </c>
      <c r="O183" s="33" t="n">
        <f>1027</f>
        <v>1027.0</v>
      </c>
      <c r="P183" s="34" t="s">
        <v>50</v>
      </c>
      <c r="Q183" s="33" t="n">
        <f>1044</f>
        <v>1044.0</v>
      </c>
      <c r="R183" s="34" t="s">
        <v>51</v>
      </c>
      <c r="S183" s="35" t="n">
        <f>1041.18</f>
        <v>1041.18</v>
      </c>
      <c r="T183" s="32" t="n">
        <f>83634</f>
        <v>83634.0</v>
      </c>
      <c r="U183" s="32" t="str">
        <f>"－"</f>
        <v>－</v>
      </c>
      <c r="V183" s="32" t="n">
        <f>87035489</f>
        <v>8.7035489E7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177.7</f>
        <v>177.7</v>
      </c>
      <c r="L184" s="34" t="s">
        <v>48</v>
      </c>
      <c r="M184" s="33" t="n">
        <f>187.5</f>
        <v>187.5</v>
      </c>
      <c r="N184" s="34" t="s">
        <v>61</v>
      </c>
      <c r="O184" s="33" t="n">
        <f>173</f>
        <v>173.0</v>
      </c>
      <c r="P184" s="34" t="s">
        <v>104</v>
      </c>
      <c r="Q184" s="33" t="n">
        <f>185</f>
        <v>185.0</v>
      </c>
      <c r="R184" s="34" t="s">
        <v>51</v>
      </c>
      <c r="S184" s="35" t="n">
        <f>180.02</f>
        <v>180.02</v>
      </c>
      <c r="T184" s="32" t="n">
        <f>4073750</f>
        <v>4073750.0</v>
      </c>
      <c r="U184" s="32" t="n">
        <f>53450</f>
        <v>53450.0</v>
      </c>
      <c r="V184" s="32" t="n">
        <f>733071696</f>
        <v>7.33071696E8</v>
      </c>
      <c r="W184" s="32" t="n">
        <f>9994367</f>
        <v>9994367.0</v>
      </c>
      <c r="X184" s="36" t="n">
        <f>22</f>
        <v>22.0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418</v>
      </c>
      <c r="J185" s="32" t="n">
        <v>1.0</v>
      </c>
      <c r="K185" s="33" t="n">
        <f>7978</f>
        <v>7978.0</v>
      </c>
      <c r="L185" s="34" t="s">
        <v>48</v>
      </c>
      <c r="M185" s="33" t="n">
        <f>8458</f>
        <v>8458.0</v>
      </c>
      <c r="N185" s="34" t="s">
        <v>85</v>
      </c>
      <c r="O185" s="33" t="n">
        <f>6422</f>
        <v>6422.0</v>
      </c>
      <c r="P185" s="34" t="s">
        <v>70</v>
      </c>
      <c r="Q185" s="33" t="n">
        <f>6605</f>
        <v>6605.0</v>
      </c>
      <c r="R185" s="34" t="s">
        <v>51</v>
      </c>
      <c r="S185" s="35" t="n">
        <f>7383.86</f>
        <v>7383.86</v>
      </c>
      <c r="T185" s="32" t="n">
        <f>23108</f>
        <v>23108.0</v>
      </c>
      <c r="U185" s="32" t="str">
        <f>"－"</f>
        <v>－</v>
      </c>
      <c r="V185" s="32" t="n">
        <f>174678581</f>
        <v>1.74678581E8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418</v>
      </c>
      <c r="J186" s="32" t="n">
        <v>1.0</v>
      </c>
      <c r="K186" s="33" t="n">
        <f>6165</f>
        <v>6165.0</v>
      </c>
      <c r="L186" s="34" t="s">
        <v>48</v>
      </c>
      <c r="M186" s="33" t="n">
        <f>6973</f>
        <v>6973.0</v>
      </c>
      <c r="N186" s="34" t="s">
        <v>70</v>
      </c>
      <c r="O186" s="33" t="n">
        <f>6025</f>
        <v>6025.0</v>
      </c>
      <c r="P186" s="34" t="s">
        <v>85</v>
      </c>
      <c r="Q186" s="33" t="n">
        <f>6876</f>
        <v>6876.0</v>
      </c>
      <c r="R186" s="34" t="s">
        <v>51</v>
      </c>
      <c r="S186" s="35" t="n">
        <f>6457.27</f>
        <v>6457.27</v>
      </c>
      <c r="T186" s="32" t="n">
        <f>3750</f>
        <v>3750.0</v>
      </c>
      <c r="U186" s="32" t="str">
        <f>"－"</f>
        <v>－</v>
      </c>
      <c r="V186" s="32" t="n">
        <f>24296592</f>
        <v>2.4296592E7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418</v>
      </c>
      <c r="J187" s="32" t="n">
        <v>1.0</v>
      </c>
      <c r="K187" s="33" t="n">
        <f>134200</f>
        <v>134200.0</v>
      </c>
      <c r="L187" s="34" t="s">
        <v>48</v>
      </c>
      <c r="M187" s="33" t="n">
        <f>165000</f>
        <v>165000.0</v>
      </c>
      <c r="N187" s="34" t="s">
        <v>85</v>
      </c>
      <c r="O187" s="33" t="n">
        <f>96370</f>
        <v>96370.0</v>
      </c>
      <c r="P187" s="34" t="s">
        <v>50</v>
      </c>
      <c r="Q187" s="33" t="n">
        <f>127700</f>
        <v>127700.0</v>
      </c>
      <c r="R187" s="34" t="s">
        <v>51</v>
      </c>
      <c r="S187" s="35" t="n">
        <f>133579.55</f>
        <v>133579.55</v>
      </c>
      <c r="T187" s="32" t="n">
        <f>186645</f>
        <v>186645.0</v>
      </c>
      <c r="U187" s="32" t="n">
        <f>103</f>
        <v>103.0</v>
      </c>
      <c r="V187" s="32" t="n">
        <f>24411881650</f>
        <v>2.441188165E10</v>
      </c>
      <c r="W187" s="32" t="n">
        <f>11360450</f>
        <v>1.136045E7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418</v>
      </c>
      <c r="J188" s="32" t="n">
        <v>1.0</v>
      </c>
      <c r="K188" s="33" t="n">
        <f>1722</f>
        <v>1722.0</v>
      </c>
      <c r="L188" s="34" t="s">
        <v>48</v>
      </c>
      <c r="M188" s="33" t="n">
        <f>2004</f>
        <v>2004.0</v>
      </c>
      <c r="N188" s="34" t="s">
        <v>104</v>
      </c>
      <c r="O188" s="33" t="n">
        <f>1425</f>
        <v>1425.0</v>
      </c>
      <c r="P188" s="34" t="s">
        <v>61</v>
      </c>
      <c r="Q188" s="33" t="n">
        <f>1524</f>
        <v>1524.0</v>
      </c>
      <c r="R188" s="34" t="s">
        <v>51</v>
      </c>
      <c r="S188" s="35" t="n">
        <f>1596.5</f>
        <v>1596.5</v>
      </c>
      <c r="T188" s="32" t="n">
        <f>455954</f>
        <v>455954.0</v>
      </c>
      <c r="U188" s="32" t="n">
        <f>200</f>
        <v>200.0</v>
      </c>
      <c r="V188" s="32" t="n">
        <f>750996336</f>
        <v>7.50996336E8</v>
      </c>
      <c r="W188" s="32" t="n">
        <f>299900</f>
        <v>299900.0</v>
      </c>
      <c r="X188" s="36" t="n">
        <f>22</f>
        <v>22.0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418</v>
      </c>
      <c r="J189" s="32" t="n">
        <v>1.0</v>
      </c>
      <c r="K189" s="33" t="n">
        <f>180150</f>
        <v>180150.0</v>
      </c>
      <c r="L189" s="34" t="s">
        <v>48</v>
      </c>
      <c r="M189" s="33" t="n">
        <f>181150</f>
        <v>181150.0</v>
      </c>
      <c r="N189" s="34" t="s">
        <v>158</v>
      </c>
      <c r="O189" s="33" t="n">
        <f>137350</f>
        <v>137350.0</v>
      </c>
      <c r="P189" s="34" t="s">
        <v>51</v>
      </c>
      <c r="Q189" s="33" t="n">
        <f>142200</f>
        <v>142200.0</v>
      </c>
      <c r="R189" s="34" t="s">
        <v>51</v>
      </c>
      <c r="S189" s="35" t="n">
        <f>158606.82</f>
        <v>158606.82</v>
      </c>
      <c r="T189" s="32" t="n">
        <f>172757</f>
        <v>172757.0</v>
      </c>
      <c r="U189" s="32" t="str">
        <f>"－"</f>
        <v>－</v>
      </c>
      <c r="V189" s="32" t="n">
        <f>26881184450</f>
        <v>2.688118445E10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418</v>
      </c>
      <c r="J190" s="32" t="n">
        <v>1.0</v>
      </c>
      <c r="K190" s="33" t="n">
        <f>1219</f>
        <v>1219.0</v>
      </c>
      <c r="L190" s="34" t="s">
        <v>48</v>
      </c>
      <c r="M190" s="33" t="n">
        <f>1409</f>
        <v>1409.0</v>
      </c>
      <c r="N190" s="34" t="s">
        <v>123</v>
      </c>
      <c r="O190" s="33" t="n">
        <f>1200</f>
        <v>1200.0</v>
      </c>
      <c r="P190" s="34" t="s">
        <v>203</v>
      </c>
      <c r="Q190" s="33" t="n">
        <f>1357</f>
        <v>1357.0</v>
      </c>
      <c r="R190" s="34" t="s">
        <v>51</v>
      </c>
      <c r="S190" s="35" t="n">
        <f>1290.27</f>
        <v>1290.27</v>
      </c>
      <c r="T190" s="32" t="n">
        <f>212883</f>
        <v>212883.0</v>
      </c>
      <c r="U190" s="32" t="str">
        <f>"－"</f>
        <v>－</v>
      </c>
      <c r="V190" s="32" t="n">
        <f>278907563</f>
        <v>2.78907563E8</v>
      </c>
      <c r="W190" s="32" t="str">
        <f>"－"</f>
        <v>－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418</v>
      </c>
      <c r="J191" s="32" t="n">
        <v>1.0</v>
      </c>
      <c r="K191" s="33" t="n">
        <f>2564</f>
        <v>2564.0</v>
      </c>
      <c r="L191" s="34" t="s">
        <v>48</v>
      </c>
      <c r="M191" s="33" t="n">
        <f>2800</f>
        <v>2800.0</v>
      </c>
      <c r="N191" s="34" t="s">
        <v>85</v>
      </c>
      <c r="O191" s="33" t="n">
        <f>1807</f>
        <v>1807.0</v>
      </c>
      <c r="P191" s="34" t="s">
        <v>123</v>
      </c>
      <c r="Q191" s="33" t="n">
        <f>1916</f>
        <v>1916.0</v>
      </c>
      <c r="R191" s="34" t="s">
        <v>51</v>
      </c>
      <c r="S191" s="35" t="n">
        <f>2293.32</f>
        <v>2293.32</v>
      </c>
      <c r="T191" s="32" t="n">
        <f>2815841</f>
        <v>2815841.0</v>
      </c>
      <c r="U191" s="32" t="n">
        <f>68</f>
        <v>68.0</v>
      </c>
      <c r="V191" s="32" t="n">
        <f>6446113518</f>
        <v>6.446113518E9</v>
      </c>
      <c r="W191" s="32" t="n">
        <f>147229</f>
        <v>147229.0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418</v>
      </c>
      <c r="J192" s="32" t="n">
        <v>1.0</v>
      </c>
      <c r="K192" s="33" t="n">
        <f>511</f>
        <v>511.0</v>
      </c>
      <c r="L192" s="34" t="s">
        <v>48</v>
      </c>
      <c r="M192" s="33" t="n">
        <f>585</f>
        <v>585.0</v>
      </c>
      <c r="N192" s="34" t="s">
        <v>123</v>
      </c>
      <c r="O192" s="33" t="n">
        <f>490</f>
        <v>490.0</v>
      </c>
      <c r="P192" s="34" t="s">
        <v>104</v>
      </c>
      <c r="Q192" s="33" t="n">
        <f>573</f>
        <v>573.0</v>
      </c>
      <c r="R192" s="34" t="s">
        <v>51</v>
      </c>
      <c r="S192" s="35" t="n">
        <f>535.82</f>
        <v>535.82</v>
      </c>
      <c r="T192" s="32" t="n">
        <f>7996121</f>
        <v>7996121.0</v>
      </c>
      <c r="U192" s="32" t="str">
        <f>"－"</f>
        <v>－</v>
      </c>
      <c r="V192" s="32" t="n">
        <f>4357624908</f>
        <v>4.357624908E9</v>
      </c>
      <c r="W192" s="32" t="str">
        <f>"－"</f>
        <v>－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418</v>
      </c>
      <c r="J193" s="32" t="n">
        <v>1.0</v>
      </c>
      <c r="K193" s="33" t="n">
        <f>36900</f>
        <v>36900.0</v>
      </c>
      <c r="L193" s="34" t="s">
        <v>48</v>
      </c>
      <c r="M193" s="33" t="n">
        <f>38500</f>
        <v>38500.0</v>
      </c>
      <c r="N193" s="34" t="s">
        <v>51</v>
      </c>
      <c r="O193" s="33" t="n">
        <f>35000</f>
        <v>35000.0</v>
      </c>
      <c r="P193" s="34" t="s">
        <v>50</v>
      </c>
      <c r="Q193" s="33" t="n">
        <f>38500</f>
        <v>38500.0</v>
      </c>
      <c r="R193" s="34" t="s">
        <v>51</v>
      </c>
      <c r="S193" s="35" t="n">
        <f>37359.09</f>
        <v>37359.09</v>
      </c>
      <c r="T193" s="32" t="n">
        <f>14299</f>
        <v>14299.0</v>
      </c>
      <c r="U193" s="32" t="str">
        <f>"－"</f>
        <v>－</v>
      </c>
      <c r="V193" s="32" t="n">
        <f>534018100</f>
        <v>5.340181E8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418</v>
      </c>
      <c r="J194" s="32" t="n">
        <v>1.0</v>
      </c>
      <c r="K194" s="33" t="n">
        <f>2019</f>
        <v>2019.0</v>
      </c>
      <c r="L194" s="34" t="s">
        <v>48</v>
      </c>
      <c r="M194" s="33" t="n">
        <f>2065</f>
        <v>2065.0</v>
      </c>
      <c r="N194" s="34" t="s">
        <v>50</v>
      </c>
      <c r="O194" s="33" t="n">
        <f>1971</f>
        <v>1971.0</v>
      </c>
      <c r="P194" s="34" t="s">
        <v>296</v>
      </c>
      <c r="Q194" s="33" t="n">
        <f>1972</f>
        <v>1972.0</v>
      </c>
      <c r="R194" s="34" t="s">
        <v>51</v>
      </c>
      <c r="S194" s="35" t="n">
        <f>2006.68</f>
        <v>2006.68</v>
      </c>
      <c r="T194" s="32" t="n">
        <f>55633</f>
        <v>55633.0</v>
      </c>
      <c r="U194" s="32" t="str">
        <f>"－"</f>
        <v>－</v>
      </c>
      <c r="V194" s="32" t="n">
        <f>111585827</f>
        <v>1.11585827E8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418</v>
      </c>
      <c r="J195" s="32" t="n">
        <v>1.0</v>
      </c>
      <c r="K195" s="33" t="n">
        <f>8587</f>
        <v>8587.0</v>
      </c>
      <c r="L195" s="34" t="s">
        <v>48</v>
      </c>
      <c r="M195" s="33" t="n">
        <f>8587</f>
        <v>8587.0</v>
      </c>
      <c r="N195" s="34" t="s">
        <v>48</v>
      </c>
      <c r="O195" s="33" t="n">
        <f>7220</f>
        <v>7220.0</v>
      </c>
      <c r="P195" s="34" t="s">
        <v>70</v>
      </c>
      <c r="Q195" s="33" t="n">
        <f>7491</f>
        <v>7491.0</v>
      </c>
      <c r="R195" s="34" t="s">
        <v>51</v>
      </c>
      <c r="S195" s="35" t="n">
        <f>7607.86</f>
        <v>7607.86</v>
      </c>
      <c r="T195" s="32" t="n">
        <f>9411</f>
        <v>9411.0</v>
      </c>
      <c r="U195" s="32" t="str">
        <f>"－"</f>
        <v>－</v>
      </c>
      <c r="V195" s="32" t="n">
        <f>71617523</f>
        <v>7.1617523E7</v>
      </c>
      <c r="W195" s="32" t="str">
        <f>"－"</f>
        <v>－</v>
      </c>
      <c r="X195" s="36" t="n">
        <f>22</f>
        <v>22.0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418</v>
      </c>
      <c r="J196" s="32" t="n">
        <v>1.0</v>
      </c>
      <c r="K196" s="33" t="n">
        <f>27580</f>
        <v>27580.0</v>
      </c>
      <c r="L196" s="34" t="s">
        <v>48</v>
      </c>
      <c r="M196" s="33" t="n">
        <f>28370</f>
        <v>28370.0</v>
      </c>
      <c r="N196" s="34" t="s">
        <v>49</v>
      </c>
      <c r="O196" s="33" t="n">
        <f>26425</f>
        <v>26425.0</v>
      </c>
      <c r="P196" s="34" t="s">
        <v>62</v>
      </c>
      <c r="Q196" s="33" t="n">
        <f>27910</f>
        <v>27910.0</v>
      </c>
      <c r="R196" s="34" t="s">
        <v>51</v>
      </c>
      <c r="S196" s="35" t="n">
        <f>27563.57</f>
        <v>27563.57</v>
      </c>
      <c r="T196" s="32" t="n">
        <f>405</f>
        <v>405.0</v>
      </c>
      <c r="U196" s="32" t="str">
        <f>"－"</f>
        <v>－</v>
      </c>
      <c r="V196" s="32" t="n">
        <f>11136520</f>
        <v>1.113652E7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418</v>
      </c>
      <c r="J197" s="32" t="n">
        <v>1.0</v>
      </c>
      <c r="K197" s="33" t="n">
        <f>33160</f>
        <v>33160.0</v>
      </c>
      <c r="L197" s="34" t="s">
        <v>48</v>
      </c>
      <c r="M197" s="33" t="n">
        <f>35380</f>
        <v>35380.0</v>
      </c>
      <c r="N197" s="34" t="s">
        <v>51</v>
      </c>
      <c r="O197" s="33" t="n">
        <f>32810</f>
        <v>32810.0</v>
      </c>
      <c r="P197" s="34" t="s">
        <v>158</v>
      </c>
      <c r="Q197" s="33" t="n">
        <f>35380</f>
        <v>35380.0</v>
      </c>
      <c r="R197" s="34" t="s">
        <v>51</v>
      </c>
      <c r="S197" s="35" t="n">
        <f>33936.82</f>
        <v>33936.82</v>
      </c>
      <c r="T197" s="32" t="n">
        <f>5238</f>
        <v>5238.0</v>
      </c>
      <c r="U197" s="32" t="str">
        <f>"－"</f>
        <v>－</v>
      </c>
      <c r="V197" s="32" t="n">
        <f>177447590</f>
        <v>1.7744759E8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418</v>
      </c>
      <c r="J198" s="32" t="n">
        <v>1.0</v>
      </c>
      <c r="K198" s="33" t="n">
        <f>19800</f>
        <v>19800.0</v>
      </c>
      <c r="L198" s="34" t="s">
        <v>48</v>
      </c>
      <c r="M198" s="33" t="n">
        <f>20460</f>
        <v>20460.0</v>
      </c>
      <c r="N198" s="34" t="s">
        <v>49</v>
      </c>
      <c r="O198" s="33" t="n">
        <f>19525</f>
        <v>19525.0</v>
      </c>
      <c r="P198" s="34" t="s">
        <v>104</v>
      </c>
      <c r="Q198" s="33" t="n">
        <f>20305</f>
        <v>20305.0</v>
      </c>
      <c r="R198" s="34" t="s">
        <v>51</v>
      </c>
      <c r="S198" s="35" t="n">
        <f>19950.38</f>
        <v>19950.38</v>
      </c>
      <c r="T198" s="32" t="n">
        <f>100</f>
        <v>100.0</v>
      </c>
      <c r="U198" s="32" t="str">
        <f>"－"</f>
        <v>－</v>
      </c>
      <c r="V198" s="32" t="n">
        <f>2001920</f>
        <v>2001920.0</v>
      </c>
      <c r="W198" s="32" t="str">
        <f>"－"</f>
        <v>－</v>
      </c>
      <c r="X198" s="36" t="n">
        <f>13</f>
        <v>13.0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418</v>
      </c>
      <c r="J199" s="32" t="n">
        <v>1.0</v>
      </c>
      <c r="K199" s="33" t="n">
        <f>24305</f>
        <v>24305.0</v>
      </c>
      <c r="L199" s="34" t="s">
        <v>48</v>
      </c>
      <c r="M199" s="33" t="n">
        <f>26260</f>
        <v>26260.0</v>
      </c>
      <c r="N199" s="34" t="s">
        <v>61</v>
      </c>
      <c r="O199" s="33" t="n">
        <f>23100</f>
        <v>23100.0</v>
      </c>
      <c r="P199" s="34" t="s">
        <v>104</v>
      </c>
      <c r="Q199" s="33" t="n">
        <f>25560</f>
        <v>25560.0</v>
      </c>
      <c r="R199" s="34" t="s">
        <v>51</v>
      </c>
      <c r="S199" s="35" t="n">
        <f>24803.41</f>
        <v>24803.41</v>
      </c>
      <c r="T199" s="32" t="n">
        <f>23898</f>
        <v>23898.0</v>
      </c>
      <c r="U199" s="32" t="str">
        <f>"－"</f>
        <v>－</v>
      </c>
      <c r="V199" s="32" t="n">
        <f>589430645</f>
        <v>5.89430645E8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418</v>
      </c>
      <c r="J200" s="32" t="n">
        <v>1.0</v>
      </c>
      <c r="K200" s="33" t="n">
        <f>3470</f>
        <v>3470.0</v>
      </c>
      <c r="L200" s="34" t="s">
        <v>48</v>
      </c>
      <c r="M200" s="33" t="n">
        <f>3753</f>
        <v>3753.0</v>
      </c>
      <c r="N200" s="34" t="s">
        <v>104</v>
      </c>
      <c r="O200" s="33" t="n">
        <f>3456</f>
        <v>3456.0</v>
      </c>
      <c r="P200" s="34" t="s">
        <v>296</v>
      </c>
      <c r="Q200" s="33" t="n">
        <f>3500</f>
        <v>3500.0</v>
      </c>
      <c r="R200" s="34" t="s">
        <v>51</v>
      </c>
      <c r="S200" s="35" t="n">
        <f>3526.32</f>
        <v>3526.32</v>
      </c>
      <c r="T200" s="32" t="n">
        <f>501</f>
        <v>501.0</v>
      </c>
      <c r="U200" s="32" t="str">
        <f>"－"</f>
        <v>－</v>
      </c>
      <c r="V200" s="32" t="n">
        <f>1765366</f>
        <v>1765366.0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418</v>
      </c>
      <c r="J201" s="32" t="n">
        <v>1.0</v>
      </c>
      <c r="K201" s="33" t="n">
        <f>50620</f>
        <v>50620.0</v>
      </c>
      <c r="L201" s="34" t="s">
        <v>85</v>
      </c>
      <c r="M201" s="33" t="n">
        <f>53000</f>
        <v>53000.0</v>
      </c>
      <c r="N201" s="34" t="s">
        <v>61</v>
      </c>
      <c r="O201" s="33" t="n">
        <f>50530</f>
        <v>50530.0</v>
      </c>
      <c r="P201" s="34" t="s">
        <v>104</v>
      </c>
      <c r="Q201" s="33" t="n">
        <f>51810</f>
        <v>51810.0</v>
      </c>
      <c r="R201" s="34" t="s">
        <v>51</v>
      </c>
      <c r="S201" s="35" t="n">
        <f>51812.78</f>
        <v>51812.78</v>
      </c>
      <c r="T201" s="32" t="n">
        <f>386</f>
        <v>386.0</v>
      </c>
      <c r="U201" s="32" t="str">
        <f>"－"</f>
        <v>－</v>
      </c>
      <c r="V201" s="32" t="n">
        <f>20002590</f>
        <v>2.000259E7</v>
      </c>
      <c r="W201" s="32" t="str">
        <f>"－"</f>
        <v>－</v>
      </c>
      <c r="X201" s="36" t="n">
        <f>18</f>
        <v>18.0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418</v>
      </c>
      <c r="J202" s="32" t="n">
        <v>1.0</v>
      </c>
      <c r="K202" s="33" t="n">
        <f>32170</f>
        <v>32170.0</v>
      </c>
      <c r="L202" s="34" t="s">
        <v>48</v>
      </c>
      <c r="M202" s="33" t="n">
        <f>32510</f>
        <v>32510.0</v>
      </c>
      <c r="N202" s="34" t="s">
        <v>49</v>
      </c>
      <c r="O202" s="33" t="n">
        <f>30740</f>
        <v>30740.0</v>
      </c>
      <c r="P202" s="34" t="s">
        <v>50</v>
      </c>
      <c r="Q202" s="33" t="n">
        <f>31330</f>
        <v>31330.0</v>
      </c>
      <c r="R202" s="34" t="s">
        <v>72</v>
      </c>
      <c r="S202" s="35" t="n">
        <f>31618</f>
        <v>31618.0</v>
      </c>
      <c r="T202" s="32" t="n">
        <f>105</f>
        <v>105.0</v>
      </c>
      <c r="U202" s="32" t="str">
        <f>"－"</f>
        <v>－</v>
      </c>
      <c r="V202" s="32" t="n">
        <f>3322710</f>
        <v>3322710.0</v>
      </c>
      <c r="W202" s="32" t="str">
        <f>"－"</f>
        <v>－</v>
      </c>
      <c r="X202" s="36" t="n">
        <f>15</f>
        <v>15.0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418</v>
      </c>
      <c r="J203" s="32" t="n">
        <v>1.0</v>
      </c>
      <c r="K203" s="33" t="n">
        <f>56330</f>
        <v>56330.0</v>
      </c>
      <c r="L203" s="34" t="s">
        <v>48</v>
      </c>
      <c r="M203" s="33" t="n">
        <f>57620</f>
        <v>57620.0</v>
      </c>
      <c r="N203" s="34" t="s">
        <v>66</v>
      </c>
      <c r="O203" s="33" t="n">
        <f>54330</f>
        <v>54330.0</v>
      </c>
      <c r="P203" s="34" t="s">
        <v>158</v>
      </c>
      <c r="Q203" s="33" t="n">
        <f>57350</f>
        <v>57350.0</v>
      </c>
      <c r="R203" s="34" t="s">
        <v>72</v>
      </c>
      <c r="S203" s="35" t="n">
        <f>56375.38</f>
        <v>56375.38</v>
      </c>
      <c r="T203" s="32" t="n">
        <f>147</f>
        <v>147.0</v>
      </c>
      <c r="U203" s="32" t="str">
        <f>"－"</f>
        <v>－</v>
      </c>
      <c r="V203" s="32" t="n">
        <f>8301910</f>
        <v>8301910.0</v>
      </c>
      <c r="W203" s="32" t="str">
        <f>"－"</f>
        <v>－</v>
      </c>
      <c r="X203" s="36" t="n">
        <f>13</f>
        <v>13.0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418</v>
      </c>
      <c r="J204" s="32" t="n">
        <v>1.0</v>
      </c>
      <c r="K204" s="33" t="n">
        <f>24520</f>
        <v>24520.0</v>
      </c>
      <c r="L204" s="34" t="s">
        <v>48</v>
      </c>
      <c r="M204" s="33" t="n">
        <f>25065</f>
        <v>25065.0</v>
      </c>
      <c r="N204" s="34" t="s">
        <v>72</v>
      </c>
      <c r="O204" s="33" t="n">
        <f>23830</f>
        <v>23830.0</v>
      </c>
      <c r="P204" s="34" t="s">
        <v>85</v>
      </c>
      <c r="Q204" s="33" t="n">
        <f>25065</f>
        <v>25065.0</v>
      </c>
      <c r="R204" s="34" t="s">
        <v>72</v>
      </c>
      <c r="S204" s="35" t="n">
        <f>24241.5</f>
        <v>24241.5</v>
      </c>
      <c r="T204" s="32" t="n">
        <f>783</f>
        <v>783.0</v>
      </c>
      <c r="U204" s="32" t="str">
        <f>"－"</f>
        <v>－</v>
      </c>
      <c r="V204" s="32" t="n">
        <f>18817945</f>
        <v>1.8817945E7</v>
      </c>
      <c r="W204" s="32" t="str">
        <f>"－"</f>
        <v>－</v>
      </c>
      <c r="X204" s="36" t="n">
        <f>10</f>
        <v>10.0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418</v>
      </c>
      <c r="J205" s="32" t="n">
        <v>1.0</v>
      </c>
      <c r="K205" s="33" t="n">
        <f>28735</f>
        <v>28735.0</v>
      </c>
      <c r="L205" s="34" t="s">
        <v>48</v>
      </c>
      <c r="M205" s="33" t="n">
        <f>29630</f>
        <v>29630.0</v>
      </c>
      <c r="N205" s="34" t="s">
        <v>49</v>
      </c>
      <c r="O205" s="33" t="n">
        <f>27315</f>
        <v>27315.0</v>
      </c>
      <c r="P205" s="34" t="s">
        <v>50</v>
      </c>
      <c r="Q205" s="33" t="n">
        <f>28785</f>
        <v>28785.0</v>
      </c>
      <c r="R205" s="34" t="s">
        <v>51</v>
      </c>
      <c r="S205" s="35" t="n">
        <f>28459.06</f>
        <v>28459.06</v>
      </c>
      <c r="T205" s="32" t="n">
        <f>1372</f>
        <v>1372.0</v>
      </c>
      <c r="U205" s="32" t="str">
        <f>"－"</f>
        <v>－</v>
      </c>
      <c r="V205" s="32" t="n">
        <f>39873275</f>
        <v>3.9873275E7</v>
      </c>
      <c r="W205" s="32" t="str">
        <f>"－"</f>
        <v>－</v>
      </c>
      <c r="X205" s="36" t="n">
        <f>16</f>
        <v>16.0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418</v>
      </c>
      <c r="J206" s="32" t="n">
        <v>1.0</v>
      </c>
      <c r="K206" s="33" t="str">
        <f>"－"</f>
        <v>－</v>
      </c>
      <c r="L206" s="34"/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5" t="str">
        <f>"－"</f>
        <v>－</v>
      </c>
      <c r="T206" s="32" t="str">
        <f>"－"</f>
        <v>－</v>
      </c>
      <c r="U206" s="32" t="str">
        <f>"－"</f>
        <v>－</v>
      </c>
      <c r="V206" s="32" t="str">
        <f>"－"</f>
        <v>－</v>
      </c>
      <c r="W206" s="32" t="str">
        <f>"－"</f>
        <v>－</v>
      </c>
      <c r="X206" s="36" t="str">
        <f>"－"</f>
        <v>－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418</v>
      </c>
      <c r="J207" s="32" t="n">
        <v>1.0</v>
      </c>
      <c r="K207" s="33" t="n">
        <f>20760</f>
        <v>20760.0</v>
      </c>
      <c r="L207" s="34" t="s">
        <v>203</v>
      </c>
      <c r="M207" s="33" t="n">
        <f>20760</f>
        <v>20760.0</v>
      </c>
      <c r="N207" s="34" t="s">
        <v>203</v>
      </c>
      <c r="O207" s="33" t="n">
        <f>20490</f>
        <v>20490.0</v>
      </c>
      <c r="P207" s="34" t="s">
        <v>203</v>
      </c>
      <c r="Q207" s="33" t="n">
        <f>20490</f>
        <v>20490.0</v>
      </c>
      <c r="R207" s="34" t="s">
        <v>203</v>
      </c>
      <c r="S207" s="35" t="n">
        <f>20490</f>
        <v>20490.0</v>
      </c>
      <c r="T207" s="32" t="n">
        <f>16</f>
        <v>16.0</v>
      </c>
      <c r="U207" s="32" t="str">
        <f>"－"</f>
        <v>－</v>
      </c>
      <c r="V207" s="32" t="n">
        <f>330000</f>
        <v>330000.0</v>
      </c>
      <c r="W207" s="32" t="str">
        <f>"－"</f>
        <v>－</v>
      </c>
      <c r="X207" s="36" t="n">
        <f>1</f>
        <v>1.0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418</v>
      </c>
      <c r="J208" s="32" t="n">
        <v>1.0</v>
      </c>
      <c r="K208" s="33" t="n">
        <f>15110</f>
        <v>15110.0</v>
      </c>
      <c r="L208" s="34" t="s">
        <v>48</v>
      </c>
      <c r="M208" s="33" t="n">
        <f>15565</f>
        <v>15565.0</v>
      </c>
      <c r="N208" s="34" t="s">
        <v>61</v>
      </c>
      <c r="O208" s="33" t="n">
        <f>14920</f>
        <v>14920.0</v>
      </c>
      <c r="P208" s="34" t="s">
        <v>104</v>
      </c>
      <c r="Q208" s="33" t="n">
        <f>15365</f>
        <v>15365.0</v>
      </c>
      <c r="R208" s="34" t="s">
        <v>51</v>
      </c>
      <c r="S208" s="35" t="n">
        <f>15146.25</f>
        <v>15146.25</v>
      </c>
      <c r="T208" s="32" t="n">
        <f>60</f>
        <v>60.0</v>
      </c>
      <c r="U208" s="32" t="str">
        <f>"－"</f>
        <v>－</v>
      </c>
      <c r="V208" s="32" t="n">
        <f>909150</f>
        <v>909150.0</v>
      </c>
      <c r="W208" s="32" t="str">
        <f>"－"</f>
        <v>－</v>
      </c>
      <c r="X208" s="36" t="n">
        <f>12</f>
        <v>12.0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418</v>
      </c>
      <c r="J209" s="32" t="n">
        <v>1.0</v>
      </c>
      <c r="K209" s="33" t="n">
        <f>18870</f>
        <v>18870.0</v>
      </c>
      <c r="L209" s="34" t="s">
        <v>210</v>
      </c>
      <c r="M209" s="33" t="n">
        <f>19590</f>
        <v>19590.0</v>
      </c>
      <c r="N209" s="34" t="s">
        <v>51</v>
      </c>
      <c r="O209" s="33" t="n">
        <f>18490</f>
        <v>18490.0</v>
      </c>
      <c r="P209" s="34" t="s">
        <v>104</v>
      </c>
      <c r="Q209" s="33" t="n">
        <f>19370</f>
        <v>19370.0</v>
      </c>
      <c r="R209" s="34" t="s">
        <v>51</v>
      </c>
      <c r="S209" s="35" t="n">
        <f>19019.09</f>
        <v>19019.09</v>
      </c>
      <c r="T209" s="32" t="n">
        <f>6665</f>
        <v>6665.0</v>
      </c>
      <c r="U209" s="32" t="str">
        <f>"－"</f>
        <v>－</v>
      </c>
      <c r="V209" s="32" t="n">
        <f>127285635</f>
        <v>1.27285635E8</v>
      </c>
      <c r="W209" s="32" t="str">
        <f>"－"</f>
        <v>－</v>
      </c>
      <c r="X209" s="36" t="n">
        <f>11</f>
        <v>11.0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418</v>
      </c>
      <c r="J210" s="32" t="n">
        <v>1.0</v>
      </c>
      <c r="K210" s="33" t="n">
        <f>21830</f>
        <v>21830.0</v>
      </c>
      <c r="L210" s="34" t="s">
        <v>48</v>
      </c>
      <c r="M210" s="33" t="n">
        <f>22140</f>
        <v>22140.0</v>
      </c>
      <c r="N210" s="34" t="s">
        <v>123</v>
      </c>
      <c r="O210" s="33" t="n">
        <f>21000</f>
        <v>21000.0</v>
      </c>
      <c r="P210" s="34" t="s">
        <v>104</v>
      </c>
      <c r="Q210" s="33" t="n">
        <f>21890</f>
        <v>21890.0</v>
      </c>
      <c r="R210" s="34" t="s">
        <v>51</v>
      </c>
      <c r="S210" s="35" t="n">
        <f>21635.36</f>
        <v>21635.36</v>
      </c>
      <c r="T210" s="32" t="n">
        <f>3943</f>
        <v>3943.0</v>
      </c>
      <c r="U210" s="32" t="str">
        <f>"－"</f>
        <v>－</v>
      </c>
      <c r="V210" s="32" t="n">
        <f>87047140</f>
        <v>8.704714E7</v>
      </c>
      <c r="W210" s="32" t="str">
        <f>"－"</f>
        <v>－</v>
      </c>
      <c r="X210" s="36" t="n">
        <f>14</f>
        <v>14.0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418</v>
      </c>
      <c r="J211" s="32" t="n">
        <v>1.0</v>
      </c>
      <c r="K211" s="33" t="str">
        <f>"－"</f>
        <v>－</v>
      </c>
      <c r="L211" s="34"/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5" t="str">
        <f>"－"</f>
        <v>－</v>
      </c>
      <c r="T211" s="32" t="str">
        <f>"－"</f>
        <v>－</v>
      </c>
      <c r="U211" s="32" t="str">
        <f>"－"</f>
        <v>－</v>
      </c>
      <c r="V211" s="32" t="str">
        <f>"－"</f>
        <v>－</v>
      </c>
      <c r="W211" s="32" t="str">
        <f>"－"</f>
        <v>－</v>
      </c>
      <c r="X211" s="36" t="str">
        <f>"－"</f>
        <v>－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1892</f>
        <v>1892.0</v>
      </c>
      <c r="L212" s="34" t="s">
        <v>48</v>
      </c>
      <c r="M212" s="33" t="n">
        <f>1979</f>
        <v>1979.0</v>
      </c>
      <c r="N212" s="34" t="s">
        <v>66</v>
      </c>
      <c r="O212" s="33" t="n">
        <f>1825</f>
        <v>1825.0</v>
      </c>
      <c r="P212" s="34" t="s">
        <v>158</v>
      </c>
      <c r="Q212" s="33" t="n">
        <f>1935</f>
        <v>1935.0</v>
      </c>
      <c r="R212" s="34" t="s">
        <v>51</v>
      </c>
      <c r="S212" s="35" t="n">
        <f>1911.5</f>
        <v>1911.5</v>
      </c>
      <c r="T212" s="32" t="n">
        <f>1408880</f>
        <v>1408880.0</v>
      </c>
      <c r="U212" s="32" t="n">
        <f>25000</f>
        <v>25000.0</v>
      </c>
      <c r="V212" s="32" t="n">
        <f>2704035976</f>
        <v>2.704035976E9</v>
      </c>
      <c r="W212" s="32" t="n">
        <f>47999550</f>
        <v>4.799955E7</v>
      </c>
      <c r="X212" s="36" t="n">
        <f>22</f>
        <v>22.0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1998</f>
        <v>1998.0</v>
      </c>
      <c r="L213" s="34" t="s">
        <v>48</v>
      </c>
      <c r="M213" s="33" t="n">
        <f>2150</f>
        <v>2150.0</v>
      </c>
      <c r="N213" s="34" t="s">
        <v>61</v>
      </c>
      <c r="O213" s="33" t="n">
        <f>1854</f>
        <v>1854.0</v>
      </c>
      <c r="P213" s="34" t="s">
        <v>104</v>
      </c>
      <c r="Q213" s="33" t="n">
        <f>2085</f>
        <v>2085.0</v>
      </c>
      <c r="R213" s="34" t="s">
        <v>51</v>
      </c>
      <c r="S213" s="35" t="n">
        <f>2040.36</f>
        <v>2040.36</v>
      </c>
      <c r="T213" s="32" t="n">
        <f>10903</f>
        <v>10903.0</v>
      </c>
      <c r="U213" s="32" t="str">
        <f>"－"</f>
        <v>－</v>
      </c>
      <c r="V213" s="32" t="n">
        <f>22045345</f>
        <v>2.2045345E7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1157</f>
        <v>1157.0</v>
      </c>
      <c r="L214" s="34" t="s">
        <v>48</v>
      </c>
      <c r="M214" s="33" t="n">
        <f>1180</f>
        <v>1180.0</v>
      </c>
      <c r="N214" s="34" t="s">
        <v>51</v>
      </c>
      <c r="O214" s="33" t="n">
        <f>1133</f>
        <v>1133.0</v>
      </c>
      <c r="P214" s="34" t="s">
        <v>85</v>
      </c>
      <c r="Q214" s="33" t="n">
        <f>1179</f>
        <v>1179.0</v>
      </c>
      <c r="R214" s="34" t="s">
        <v>51</v>
      </c>
      <c r="S214" s="35" t="n">
        <f>1157.27</f>
        <v>1157.27</v>
      </c>
      <c r="T214" s="32" t="n">
        <f>21974</f>
        <v>21974.0</v>
      </c>
      <c r="U214" s="32" t="str">
        <f>"－"</f>
        <v>－</v>
      </c>
      <c r="V214" s="32" t="n">
        <f>25671310</f>
        <v>2.567131E7</v>
      </c>
      <c r="W214" s="32" t="str">
        <f>"－"</f>
        <v>－</v>
      </c>
      <c r="X214" s="36" t="n">
        <f>22</f>
        <v>22.0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3905</f>
        <v>3905.0</v>
      </c>
      <c r="L215" s="34" t="s">
        <v>48</v>
      </c>
      <c r="M215" s="33" t="n">
        <f>4041</f>
        <v>4041.0</v>
      </c>
      <c r="N215" s="34" t="s">
        <v>66</v>
      </c>
      <c r="O215" s="33" t="n">
        <f>3663</f>
        <v>3663.0</v>
      </c>
      <c r="P215" s="34" t="s">
        <v>50</v>
      </c>
      <c r="Q215" s="33" t="n">
        <f>3902</f>
        <v>3902.0</v>
      </c>
      <c r="R215" s="34" t="s">
        <v>51</v>
      </c>
      <c r="S215" s="35" t="n">
        <f>3880.55</f>
        <v>3880.55</v>
      </c>
      <c r="T215" s="32" t="n">
        <f>239981</f>
        <v>239981.0</v>
      </c>
      <c r="U215" s="32" t="str">
        <f>"－"</f>
        <v>－</v>
      </c>
      <c r="V215" s="32" t="n">
        <f>930482273</f>
        <v>9.30482273E8</v>
      </c>
      <c r="W215" s="32" t="str">
        <f>"－"</f>
        <v>－</v>
      </c>
      <c r="X215" s="36" t="n">
        <f>22</f>
        <v>22.0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3701</f>
        <v>3701.0</v>
      </c>
      <c r="L216" s="34" t="s">
        <v>48</v>
      </c>
      <c r="M216" s="33" t="n">
        <f>3809</f>
        <v>3809.0</v>
      </c>
      <c r="N216" s="34" t="s">
        <v>66</v>
      </c>
      <c r="O216" s="33" t="n">
        <f>3497</f>
        <v>3497.0</v>
      </c>
      <c r="P216" s="34" t="s">
        <v>50</v>
      </c>
      <c r="Q216" s="33" t="n">
        <f>3699</f>
        <v>3699.0</v>
      </c>
      <c r="R216" s="34" t="s">
        <v>51</v>
      </c>
      <c r="S216" s="35" t="n">
        <f>3680.05</f>
        <v>3680.05</v>
      </c>
      <c r="T216" s="32" t="n">
        <f>370330</f>
        <v>370330.0</v>
      </c>
      <c r="U216" s="32" t="n">
        <f>36800</f>
        <v>36800.0</v>
      </c>
      <c r="V216" s="32" t="n">
        <f>1359688674</f>
        <v>1.359688674E9</v>
      </c>
      <c r="W216" s="32" t="n">
        <f>136887336</f>
        <v>1.36887336E8</v>
      </c>
      <c r="X216" s="36" t="n">
        <f>22</f>
        <v>22.0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727.4</f>
        <v>727.4</v>
      </c>
      <c r="L217" s="34" t="s">
        <v>48</v>
      </c>
      <c r="M217" s="33" t="n">
        <f>738.5</f>
        <v>738.5</v>
      </c>
      <c r="N217" s="34" t="s">
        <v>203</v>
      </c>
      <c r="O217" s="33" t="n">
        <f>696.7</f>
        <v>696.7</v>
      </c>
      <c r="P217" s="34" t="s">
        <v>158</v>
      </c>
      <c r="Q217" s="33" t="n">
        <f>724.2</f>
        <v>724.2</v>
      </c>
      <c r="R217" s="34" t="s">
        <v>51</v>
      </c>
      <c r="S217" s="35" t="n">
        <f>716.32</f>
        <v>716.32</v>
      </c>
      <c r="T217" s="32" t="n">
        <f>618260</f>
        <v>618260.0</v>
      </c>
      <c r="U217" s="32" t="n">
        <f>56160</f>
        <v>56160.0</v>
      </c>
      <c r="V217" s="32" t="n">
        <f>441568405</f>
        <v>4.41568405E8</v>
      </c>
      <c r="W217" s="32" t="n">
        <f>39716104</f>
        <v>3.9716104E7</v>
      </c>
      <c r="X217" s="36" t="n">
        <f>22</f>
        <v>22.0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3070</f>
        <v>3070.0</v>
      </c>
      <c r="L218" s="34" t="s">
        <v>48</v>
      </c>
      <c r="M218" s="33" t="n">
        <f>3212</f>
        <v>3212.0</v>
      </c>
      <c r="N218" s="34" t="s">
        <v>66</v>
      </c>
      <c r="O218" s="33" t="n">
        <f>2918</f>
        <v>2918.0</v>
      </c>
      <c r="P218" s="34" t="s">
        <v>50</v>
      </c>
      <c r="Q218" s="33" t="n">
        <f>2976</f>
        <v>2976.0</v>
      </c>
      <c r="R218" s="34" t="s">
        <v>51</v>
      </c>
      <c r="S218" s="35" t="n">
        <f>2986.48</f>
        <v>2986.48</v>
      </c>
      <c r="T218" s="32" t="n">
        <f>681594</f>
        <v>681594.0</v>
      </c>
      <c r="U218" s="32" t="n">
        <f>666000</f>
        <v>666000.0</v>
      </c>
      <c r="V218" s="32" t="n">
        <f>2044976617</f>
        <v>2.044976617E9</v>
      </c>
      <c r="W218" s="32" t="n">
        <f>1998875393</f>
        <v>1.998875393E9</v>
      </c>
      <c r="X218" s="36" t="n">
        <f>21</f>
        <v>21.0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3615</f>
        <v>3615.0</v>
      </c>
      <c r="L219" s="34" t="s">
        <v>48</v>
      </c>
      <c r="M219" s="33" t="n">
        <f>3640</f>
        <v>3640.0</v>
      </c>
      <c r="N219" s="34" t="s">
        <v>85</v>
      </c>
      <c r="O219" s="33" t="n">
        <f>3340</f>
        <v>3340.0</v>
      </c>
      <c r="P219" s="34" t="s">
        <v>50</v>
      </c>
      <c r="Q219" s="33" t="n">
        <f>3508</f>
        <v>3508.0</v>
      </c>
      <c r="R219" s="34" t="s">
        <v>51</v>
      </c>
      <c r="S219" s="35" t="n">
        <f>3509.64</f>
        <v>3509.64</v>
      </c>
      <c r="T219" s="32" t="n">
        <f>745159</f>
        <v>745159.0</v>
      </c>
      <c r="U219" s="32" t="n">
        <f>700810</f>
        <v>700810.0</v>
      </c>
      <c r="V219" s="32" t="n">
        <f>2608122849</f>
        <v>2.608122849E9</v>
      </c>
      <c r="W219" s="32" t="n">
        <f>2453354051</f>
        <v>2.453354051E9</v>
      </c>
      <c r="X219" s="36" t="n">
        <f>22</f>
        <v>22.0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2573</f>
        <v>2573.0</v>
      </c>
      <c r="L220" s="34" t="s">
        <v>48</v>
      </c>
      <c r="M220" s="33" t="n">
        <f>2625</f>
        <v>2625.0</v>
      </c>
      <c r="N220" s="34" t="s">
        <v>296</v>
      </c>
      <c r="O220" s="33" t="n">
        <f>2518</f>
        <v>2518.0</v>
      </c>
      <c r="P220" s="34" t="s">
        <v>50</v>
      </c>
      <c r="Q220" s="33" t="n">
        <f>2623</f>
        <v>2623.0</v>
      </c>
      <c r="R220" s="34" t="s">
        <v>51</v>
      </c>
      <c r="S220" s="35" t="n">
        <f>2584.19</f>
        <v>2584.19</v>
      </c>
      <c r="T220" s="32" t="n">
        <f>270851</f>
        <v>270851.0</v>
      </c>
      <c r="U220" s="32" t="n">
        <f>216800</f>
        <v>216800.0</v>
      </c>
      <c r="V220" s="32" t="n">
        <f>702228061</f>
        <v>7.02228061E8</v>
      </c>
      <c r="W220" s="32" t="n">
        <f>563560803</f>
        <v>5.63560803E8</v>
      </c>
      <c r="X220" s="36" t="n">
        <f>16</f>
        <v>16.0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2789</f>
        <v>2789.0</v>
      </c>
      <c r="L221" s="34" t="s">
        <v>48</v>
      </c>
      <c r="M221" s="33" t="n">
        <f>2812</f>
        <v>2812.0</v>
      </c>
      <c r="N221" s="34" t="s">
        <v>85</v>
      </c>
      <c r="O221" s="33" t="n">
        <f>2686</f>
        <v>2686.0</v>
      </c>
      <c r="P221" s="34" t="s">
        <v>50</v>
      </c>
      <c r="Q221" s="33" t="n">
        <f>2738</f>
        <v>2738.0</v>
      </c>
      <c r="R221" s="34" t="s">
        <v>51</v>
      </c>
      <c r="S221" s="35" t="n">
        <f>2754.47</f>
        <v>2754.47</v>
      </c>
      <c r="T221" s="32" t="n">
        <f>377723</f>
        <v>377723.0</v>
      </c>
      <c r="U221" s="32" t="str">
        <f>"－"</f>
        <v>－</v>
      </c>
      <c r="V221" s="32" t="n">
        <f>1042053056</f>
        <v>1.042053056E9</v>
      </c>
      <c r="W221" s="32" t="str">
        <f>"－"</f>
        <v>－</v>
      </c>
      <c r="X221" s="36" t="n">
        <f>19</f>
        <v>19.0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4375</f>
        <v>4375.0</v>
      </c>
      <c r="L222" s="34" t="s">
        <v>158</v>
      </c>
      <c r="M222" s="33" t="n">
        <f>4404</f>
        <v>4404.0</v>
      </c>
      <c r="N222" s="34" t="s">
        <v>51</v>
      </c>
      <c r="O222" s="33" t="n">
        <f>4327</f>
        <v>4327.0</v>
      </c>
      <c r="P222" s="34" t="s">
        <v>123</v>
      </c>
      <c r="Q222" s="33" t="n">
        <f>4404</f>
        <v>4404.0</v>
      </c>
      <c r="R222" s="34" t="s">
        <v>51</v>
      </c>
      <c r="S222" s="35" t="n">
        <f>4367.9</f>
        <v>4367.9</v>
      </c>
      <c r="T222" s="32" t="n">
        <f>440939</f>
        <v>440939.0</v>
      </c>
      <c r="U222" s="32" t="n">
        <f>180000</f>
        <v>180000.0</v>
      </c>
      <c r="V222" s="32" t="n">
        <f>1926902929</f>
        <v>1.926902929E9</v>
      </c>
      <c r="W222" s="32" t="n">
        <f>786483530</f>
        <v>7.8648353E8</v>
      </c>
      <c r="X222" s="36" t="n">
        <f>20</f>
        <v>20.0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4570</f>
        <v>4570.0</v>
      </c>
      <c r="L223" s="34" t="s">
        <v>48</v>
      </c>
      <c r="M223" s="33" t="n">
        <f>4610</f>
        <v>4610.0</v>
      </c>
      <c r="N223" s="34" t="s">
        <v>51</v>
      </c>
      <c r="O223" s="33" t="n">
        <f>4529</f>
        <v>4529.0</v>
      </c>
      <c r="P223" s="34" t="s">
        <v>62</v>
      </c>
      <c r="Q223" s="33" t="n">
        <f>4610</f>
        <v>4610.0</v>
      </c>
      <c r="R223" s="34" t="s">
        <v>51</v>
      </c>
      <c r="S223" s="35" t="n">
        <f>4566.28</f>
        <v>4566.28</v>
      </c>
      <c r="T223" s="32" t="n">
        <f>285</f>
        <v>285.0</v>
      </c>
      <c r="U223" s="32" t="str">
        <f>"－"</f>
        <v>－</v>
      </c>
      <c r="V223" s="32" t="n">
        <f>1301537</f>
        <v>1301537.0</v>
      </c>
      <c r="W223" s="32" t="str">
        <f>"－"</f>
        <v>－</v>
      </c>
      <c r="X223" s="36" t="n">
        <f>18</f>
        <v>18.0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4666</f>
        <v>4666.0</v>
      </c>
      <c r="L224" s="34" t="s">
        <v>48</v>
      </c>
      <c r="M224" s="33" t="n">
        <f>4686</f>
        <v>4686.0</v>
      </c>
      <c r="N224" s="34" t="s">
        <v>123</v>
      </c>
      <c r="O224" s="33" t="n">
        <f>4592</f>
        <v>4592.0</v>
      </c>
      <c r="P224" s="34" t="s">
        <v>51</v>
      </c>
      <c r="Q224" s="33" t="n">
        <f>4683</f>
        <v>4683.0</v>
      </c>
      <c r="R224" s="34" t="s">
        <v>51</v>
      </c>
      <c r="S224" s="35" t="n">
        <f>4651.1</f>
        <v>4651.1</v>
      </c>
      <c r="T224" s="32" t="n">
        <f>9828</f>
        <v>9828.0</v>
      </c>
      <c r="U224" s="32" t="str">
        <f>"－"</f>
        <v>－</v>
      </c>
      <c r="V224" s="32" t="n">
        <f>46002630</f>
        <v>4.600263E7</v>
      </c>
      <c r="W224" s="32" t="str">
        <f>"－"</f>
        <v>－</v>
      </c>
      <c r="X224" s="36" t="n">
        <f>21</f>
        <v>21.0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5300</f>
        <v>5300.0</v>
      </c>
      <c r="L225" s="34" t="s">
        <v>48</v>
      </c>
      <c r="M225" s="33" t="n">
        <f>5404</f>
        <v>5404.0</v>
      </c>
      <c r="N225" s="34" t="s">
        <v>51</v>
      </c>
      <c r="O225" s="33" t="n">
        <f>5290</f>
        <v>5290.0</v>
      </c>
      <c r="P225" s="34" t="s">
        <v>48</v>
      </c>
      <c r="Q225" s="33" t="n">
        <f>5404</f>
        <v>5404.0</v>
      </c>
      <c r="R225" s="34" t="s">
        <v>51</v>
      </c>
      <c r="S225" s="35" t="n">
        <f>5346.32</f>
        <v>5346.32</v>
      </c>
      <c r="T225" s="32" t="n">
        <f>721397</f>
        <v>721397.0</v>
      </c>
      <c r="U225" s="32" t="n">
        <f>584600</f>
        <v>584600.0</v>
      </c>
      <c r="V225" s="32" t="n">
        <f>3844008164</f>
        <v>3.844008164E9</v>
      </c>
      <c r="W225" s="32" t="n">
        <f>3113450788</f>
        <v>3.113450788E9</v>
      </c>
      <c r="X225" s="36" t="n">
        <f>22</f>
        <v>22.0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788</f>
        <v>788.0</v>
      </c>
      <c r="L226" s="34" t="s">
        <v>48</v>
      </c>
      <c r="M226" s="33" t="n">
        <f>825</f>
        <v>825.0</v>
      </c>
      <c r="N226" s="34" t="s">
        <v>195</v>
      </c>
      <c r="O226" s="33" t="n">
        <f>777</f>
        <v>777.0</v>
      </c>
      <c r="P226" s="34" t="s">
        <v>51</v>
      </c>
      <c r="Q226" s="33" t="n">
        <f>782</f>
        <v>782.0</v>
      </c>
      <c r="R226" s="34" t="s">
        <v>51</v>
      </c>
      <c r="S226" s="35" t="n">
        <f>806.14</f>
        <v>806.14</v>
      </c>
      <c r="T226" s="32" t="n">
        <f>352641</f>
        <v>352641.0</v>
      </c>
      <c r="U226" s="32" t="str">
        <f>"－"</f>
        <v>－</v>
      </c>
      <c r="V226" s="32" t="n">
        <f>283011113</f>
        <v>2.83011113E8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1100</f>
        <v>1100.0</v>
      </c>
      <c r="L227" s="34" t="s">
        <v>48</v>
      </c>
      <c r="M227" s="33" t="n">
        <f>1166</f>
        <v>1166.0</v>
      </c>
      <c r="N227" s="34" t="s">
        <v>72</v>
      </c>
      <c r="O227" s="33" t="n">
        <f>1098</f>
        <v>1098.0</v>
      </c>
      <c r="P227" s="34" t="s">
        <v>158</v>
      </c>
      <c r="Q227" s="33" t="n">
        <f>1163</f>
        <v>1163.0</v>
      </c>
      <c r="R227" s="34" t="s">
        <v>51</v>
      </c>
      <c r="S227" s="35" t="n">
        <f>1129.68</f>
        <v>1129.68</v>
      </c>
      <c r="T227" s="32" t="n">
        <f>887188</f>
        <v>887188.0</v>
      </c>
      <c r="U227" s="32" t="str">
        <f>"－"</f>
        <v>－</v>
      </c>
      <c r="V227" s="32" t="n">
        <f>1003209429</f>
        <v>1.003209429E9</v>
      </c>
      <c r="W227" s="32" t="str">
        <f>"－"</f>
        <v>－</v>
      </c>
      <c r="X227" s="36" t="n">
        <f>22</f>
        <v>22.0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1020</f>
        <v>1020.0</v>
      </c>
      <c r="L228" s="34" t="s">
        <v>48</v>
      </c>
      <c r="M228" s="33" t="n">
        <f>1024</f>
        <v>1024.0</v>
      </c>
      <c r="N228" s="34" t="s">
        <v>51</v>
      </c>
      <c r="O228" s="33" t="n">
        <f>963</f>
        <v>963.0</v>
      </c>
      <c r="P228" s="34" t="s">
        <v>210</v>
      </c>
      <c r="Q228" s="33" t="n">
        <f>1020</f>
        <v>1020.0</v>
      </c>
      <c r="R228" s="34" t="s">
        <v>51</v>
      </c>
      <c r="S228" s="35" t="n">
        <f>990.27</f>
        <v>990.27</v>
      </c>
      <c r="T228" s="32" t="n">
        <f>393364</f>
        <v>393364.0</v>
      </c>
      <c r="U228" s="32" t="str">
        <f>"－"</f>
        <v>－</v>
      </c>
      <c r="V228" s="32" t="n">
        <f>389020800</f>
        <v>3.890208E8</v>
      </c>
      <c r="W228" s="32" t="str">
        <f>"－"</f>
        <v>－</v>
      </c>
      <c r="X228" s="36" t="n">
        <f>22</f>
        <v>22.0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1006</f>
        <v>1006.0</v>
      </c>
      <c r="L229" s="34" t="s">
        <v>48</v>
      </c>
      <c r="M229" s="33" t="n">
        <f>1006</f>
        <v>1006.0</v>
      </c>
      <c r="N229" s="34" t="s">
        <v>48</v>
      </c>
      <c r="O229" s="33" t="n">
        <f>947</f>
        <v>947.0</v>
      </c>
      <c r="P229" s="34" t="s">
        <v>61</v>
      </c>
      <c r="Q229" s="33" t="n">
        <f>968</f>
        <v>968.0</v>
      </c>
      <c r="R229" s="34" t="s">
        <v>51</v>
      </c>
      <c r="S229" s="35" t="n">
        <f>965.64</f>
        <v>965.64</v>
      </c>
      <c r="T229" s="32" t="n">
        <f>521080</f>
        <v>521080.0</v>
      </c>
      <c r="U229" s="32" t="str">
        <f>"－"</f>
        <v>－</v>
      </c>
      <c r="V229" s="32" t="n">
        <f>504625934</f>
        <v>5.04625934E8</v>
      </c>
      <c r="W229" s="32" t="str">
        <f>"－"</f>
        <v>－</v>
      </c>
      <c r="X229" s="36" t="n">
        <f>22</f>
        <v>22.0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979</f>
        <v>979.0</v>
      </c>
      <c r="L230" s="34" t="s">
        <v>48</v>
      </c>
      <c r="M230" s="33" t="n">
        <f>988</f>
        <v>988.0</v>
      </c>
      <c r="N230" s="34" t="s">
        <v>51</v>
      </c>
      <c r="O230" s="33" t="n">
        <f>940</f>
        <v>940.0</v>
      </c>
      <c r="P230" s="34" t="s">
        <v>104</v>
      </c>
      <c r="Q230" s="33" t="n">
        <f>978</f>
        <v>978.0</v>
      </c>
      <c r="R230" s="34" t="s">
        <v>51</v>
      </c>
      <c r="S230" s="35" t="n">
        <f>957.64</f>
        <v>957.64</v>
      </c>
      <c r="T230" s="32" t="n">
        <f>535663</f>
        <v>535663.0</v>
      </c>
      <c r="U230" s="32" t="n">
        <f>87400</f>
        <v>87400.0</v>
      </c>
      <c r="V230" s="32" t="n">
        <f>516286811</f>
        <v>5.16286811E8</v>
      </c>
      <c r="W230" s="32" t="n">
        <f>83602277</f>
        <v>8.3602277E7</v>
      </c>
      <c r="X230" s="36" t="n">
        <f>22</f>
        <v>22.0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1609</f>
        <v>1609.0</v>
      </c>
      <c r="L231" s="34" t="s">
        <v>48</v>
      </c>
      <c r="M231" s="33" t="n">
        <f>1616</f>
        <v>1616.0</v>
      </c>
      <c r="N231" s="34" t="s">
        <v>214</v>
      </c>
      <c r="O231" s="33" t="n">
        <f>1537</f>
        <v>1537.0</v>
      </c>
      <c r="P231" s="34" t="s">
        <v>104</v>
      </c>
      <c r="Q231" s="33" t="n">
        <f>1609</f>
        <v>1609.0</v>
      </c>
      <c r="R231" s="34" t="s">
        <v>51</v>
      </c>
      <c r="S231" s="35" t="n">
        <f>1575.18</f>
        <v>1575.18</v>
      </c>
      <c r="T231" s="32" t="n">
        <f>559764</f>
        <v>559764.0</v>
      </c>
      <c r="U231" s="32" t="n">
        <f>99630</f>
        <v>99630.0</v>
      </c>
      <c r="V231" s="32" t="n">
        <f>877457238</f>
        <v>8.77457238E8</v>
      </c>
      <c r="W231" s="32" t="n">
        <f>154395757</f>
        <v>1.54395757E8</v>
      </c>
      <c r="X231" s="36" t="n">
        <f>22</f>
        <v>22.0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454</f>
        <v>454.0</v>
      </c>
      <c r="L232" s="34" t="s">
        <v>48</v>
      </c>
      <c r="M232" s="33" t="n">
        <f>619.2</f>
        <v>619.2</v>
      </c>
      <c r="N232" s="34" t="s">
        <v>61</v>
      </c>
      <c r="O232" s="33" t="n">
        <f>430.7</f>
        <v>430.7</v>
      </c>
      <c r="P232" s="34" t="s">
        <v>50</v>
      </c>
      <c r="Q232" s="33" t="n">
        <f>549</f>
        <v>549.0</v>
      </c>
      <c r="R232" s="34" t="s">
        <v>51</v>
      </c>
      <c r="S232" s="35" t="n">
        <f>516.96</f>
        <v>516.96</v>
      </c>
      <c r="T232" s="32" t="n">
        <f>52656310</f>
        <v>5.265631E7</v>
      </c>
      <c r="U232" s="32" t="n">
        <f>401810</f>
        <v>401810.0</v>
      </c>
      <c r="V232" s="32" t="n">
        <f>27997564860</f>
        <v>2.799756486E10</v>
      </c>
      <c r="W232" s="32" t="n">
        <f>214221957</f>
        <v>2.14221957E8</v>
      </c>
      <c r="X232" s="36" t="n">
        <f>22</f>
        <v>22.0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1250</f>
        <v>1250.0</v>
      </c>
      <c r="L233" s="34" t="s">
        <v>48</v>
      </c>
      <c r="M233" s="33" t="n">
        <f>1739</f>
        <v>1739.0</v>
      </c>
      <c r="N233" s="34" t="s">
        <v>61</v>
      </c>
      <c r="O233" s="33" t="n">
        <f>1200</f>
        <v>1200.0</v>
      </c>
      <c r="P233" s="34" t="s">
        <v>104</v>
      </c>
      <c r="Q233" s="33" t="n">
        <f>1549.5</f>
        <v>1549.5</v>
      </c>
      <c r="R233" s="34" t="s">
        <v>51</v>
      </c>
      <c r="S233" s="35" t="n">
        <f>1462</f>
        <v>1462.0</v>
      </c>
      <c r="T233" s="32" t="n">
        <f>10812470</f>
        <v>1.081247E7</v>
      </c>
      <c r="U233" s="32" t="n">
        <f>610230</f>
        <v>610230.0</v>
      </c>
      <c r="V233" s="32" t="n">
        <f>16445103752</f>
        <v>1.6445103752E10</v>
      </c>
      <c r="W233" s="32" t="n">
        <f>951861667</f>
        <v>9.51861667E8</v>
      </c>
      <c r="X233" s="36" t="n">
        <f>22</f>
        <v>22.0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3550</f>
        <v>3550.0</v>
      </c>
      <c r="L234" s="34" t="s">
        <v>48</v>
      </c>
      <c r="M234" s="33" t="n">
        <f>3705</f>
        <v>3705.0</v>
      </c>
      <c r="N234" s="34" t="s">
        <v>51</v>
      </c>
      <c r="O234" s="33" t="n">
        <f>3490</f>
        <v>3490.0</v>
      </c>
      <c r="P234" s="34" t="s">
        <v>50</v>
      </c>
      <c r="Q234" s="33" t="n">
        <f>3700</f>
        <v>3700.0</v>
      </c>
      <c r="R234" s="34" t="s">
        <v>51</v>
      </c>
      <c r="S234" s="35" t="n">
        <f>3604.95</f>
        <v>3604.95</v>
      </c>
      <c r="T234" s="32" t="n">
        <f>45082</f>
        <v>45082.0</v>
      </c>
      <c r="U234" s="32" t="n">
        <f>10</f>
        <v>10.0</v>
      </c>
      <c r="V234" s="32" t="n">
        <f>162270602</f>
        <v>1.62270602E8</v>
      </c>
      <c r="W234" s="32" t="n">
        <f>35511</f>
        <v>35511.0</v>
      </c>
      <c r="X234" s="36" t="n">
        <f>22</f>
        <v>22.0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1391</f>
        <v>1391.0</v>
      </c>
      <c r="L235" s="34" t="s">
        <v>48</v>
      </c>
      <c r="M235" s="33" t="n">
        <f>1498</f>
        <v>1498.0</v>
      </c>
      <c r="N235" s="34" t="s">
        <v>51</v>
      </c>
      <c r="O235" s="33" t="n">
        <f>1390</f>
        <v>1390.0</v>
      </c>
      <c r="P235" s="34" t="s">
        <v>48</v>
      </c>
      <c r="Q235" s="33" t="n">
        <f>1498</f>
        <v>1498.0</v>
      </c>
      <c r="R235" s="34" t="s">
        <v>51</v>
      </c>
      <c r="S235" s="35" t="n">
        <f>1437.73</f>
        <v>1437.73</v>
      </c>
      <c r="T235" s="32" t="n">
        <f>1114471</f>
        <v>1114471.0</v>
      </c>
      <c r="U235" s="32" t="n">
        <f>205802</f>
        <v>205802.0</v>
      </c>
      <c r="V235" s="32" t="n">
        <f>1608858706</f>
        <v>1.608858706E9</v>
      </c>
      <c r="W235" s="32" t="n">
        <f>300178496</f>
        <v>3.00178496E8</v>
      </c>
      <c r="X235" s="36" t="n">
        <f>22</f>
        <v>22.0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122350</f>
        <v>122350.0</v>
      </c>
      <c r="L236" s="34" t="s">
        <v>48</v>
      </c>
      <c r="M236" s="33" t="n">
        <f>124300</f>
        <v>124300.0</v>
      </c>
      <c r="N236" s="34" t="s">
        <v>48</v>
      </c>
      <c r="O236" s="33" t="n">
        <f>110700</f>
        <v>110700.0</v>
      </c>
      <c r="P236" s="34" t="s">
        <v>50</v>
      </c>
      <c r="Q236" s="33" t="n">
        <f>117200</f>
        <v>117200.0</v>
      </c>
      <c r="R236" s="34" t="s">
        <v>51</v>
      </c>
      <c r="S236" s="35" t="n">
        <f>118145.45</f>
        <v>118145.45</v>
      </c>
      <c r="T236" s="32" t="n">
        <f>24974</f>
        <v>24974.0</v>
      </c>
      <c r="U236" s="32" t="n">
        <f>93</f>
        <v>93.0</v>
      </c>
      <c r="V236" s="32" t="n">
        <f>2952000176</f>
        <v>2.952000176E9</v>
      </c>
      <c r="W236" s="32" t="n">
        <f>10990226</f>
        <v>1.0990226E7</v>
      </c>
      <c r="X236" s="36" t="n">
        <f>22</f>
        <v>22.0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5266</f>
        <v>5266.0</v>
      </c>
      <c r="L237" s="34" t="s">
        <v>48</v>
      </c>
      <c r="M237" s="33" t="n">
        <f>5526</f>
        <v>5526.0</v>
      </c>
      <c r="N237" s="34" t="s">
        <v>50</v>
      </c>
      <c r="O237" s="33" t="n">
        <f>5248</f>
        <v>5248.0</v>
      </c>
      <c r="P237" s="34" t="s">
        <v>85</v>
      </c>
      <c r="Q237" s="33" t="n">
        <f>5377</f>
        <v>5377.0</v>
      </c>
      <c r="R237" s="34" t="s">
        <v>51</v>
      </c>
      <c r="S237" s="35" t="n">
        <f>5364.18</f>
        <v>5364.18</v>
      </c>
      <c r="T237" s="32" t="n">
        <f>399020</f>
        <v>399020.0</v>
      </c>
      <c r="U237" s="32" t="n">
        <f>630</f>
        <v>630.0</v>
      </c>
      <c r="V237" s="32" t="n">
        <f>2137878047</f>
        <v>2.137878047E9</v>
      </c>
      <c r="W237" s="32" t="n">
        <f>3311163</f>
        <v>3311163.0</v>
      </c>
      <c r="X237" s="36" t="n">
        <f>22</f>
        <v>22.0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26715</f>
        <v>26715.0</v>
      </c>
      <c r="L238" s="34" t="s">
        <v>48</v>
      </c>
      <c r="M238" s="33" t="n">
        <f>26855</f>
        <v>26855.0</v>
      </c>
      <c r="N238" s="34" t="s">
        <v>85</v>
      </c>
      <c r="O238" s="33" t="n">
        <f>24050</f>
        <v>24050.0</v>
      </c>
      <c r="P238" s="34" t="s">
        <v>50</v>
      </c>
      <c r="Q238" s="33" t="n">
        <f>25450</f>
        <v>25450.0</v>
      </c>
      <c r="R238" s="34" t="s">
        <v>51</v>
      </c>
      <c r="S238" s="35" t="n">
        <f>25713.64</f>
        <v>25713.64</v>
      </c>
      <c r="T238" s="32" t="n">
        <f>32174</f>
        <v>32174.0</v>
      </c>
      <c r="U238" s="32" t="n">
        <f>1260</f>
        <v>1260.0</v>
      </c>
      <c r="V238" s="32" t="n">
        <f>828678693</f>
        <v>8.28678693E8</v>
      </c>
      <c r="W238" s="32" t="n">
        <f>32595633</f>
        <v>3.2595633E7</v>
      </c>
      <c r="X238" s="36" t="n">
        <f>22</f>
        <v>22.0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1927</f>
        <v>1927.0</v>
      </c>
      <c r="L239" s="34" t="s">
        <v>48</v>
      </c>
      <c r="M239" s="33" t="n">
        <f>2030</f>
        <v>2030.0</v>
      </c>
      <c r="N239" s="34" t="s">
        <v>85</v>
      </c>
      <c r="O239" s="33" t="n">
        <f>1735</f>
        <v>1735.0</v>
      </c>
      <c r="P239" s="34" t="s">
        <v>50</v>
      </c>
      <c r="Q239" s="33" t="n">
        <f>1870</f>
        <v>1870.0</v>
      </c>
      <c r="R239" s="34" t="s">
        <v>51</v>
      </c>
      <c r="S239" s="35" t="n">
        <f>1881.09</f>
        <v>1881.09</v>
      </c>
      <c r="T239" s="32" t="n">
        <f>2648659</f>
        <v>2648659.0</v>
      </c>
      <c r="U239" s="32" t="n">
        <f>521</f>
        <v>521.0</v>
      </c>
      <c r="V239" s="32" t="n">
        <f>4991654435</f>
        <v>4.991654435E9</v>
      </c>
      <c r="W239" s="32" t="n">
        <f>989049</f>
        <v>989049.0</v>
      </c>
      <c r="X239" s="36" t="n">
        <f>22</f>
        <v>22.0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5348</f>
        <v>5348.0</v>
      </c>
      <c r="L240" s="34" t="s">
        <v>48</v>
      </c>
      <c r="M240" s="33" t="n">
        <f>5605</f>
        <v>5605.0</v>
      </c>
      <c r="N240" s="34" t="s">
        <v>50</v>
      </c>
      <c r="O240" s="33" t="n">
        <f>5317</f>
        <v>5317.0</v>
      </c>
      <c r="P240" s="34" t="s">
        <v>85</v>
      </c>
      <c r="Q240" s="33" t="n">
        <f>5433</f>
        <v>5433.0</v>
      </c>
      <c r="R240" s="34" t="s">
        <v>51</v>
      </c>
      <c r="S240" s="35" t="n">
        <f>5427.82</f>
        <v>5427.82</v>
      </c>
      <c r="T240" s="32" t="n">
        <f>6504</f>
        <v>6504.0</v>
      </c>
      <c r="U240" s="32" t="str">
        <f>"－"</f>
        <v>－</v>
      </c>
      <c r="V240" s="32" t="n">
        <f>35394191</f>
        <v>3.5394191E7</v>
      </c>
      <c r="W240" s="32" t="str">
        <f>"－"</f>
        <v>－</v>
      </c>
      <c r="X240" s="36" t="n">
        <f>22</f>
        <v>22.0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902.4</f>
        <v>902.4</v>
      </c>
      <c r="L241" s="34" t="s">
        <v>48</v>
      </c>
      <c r="M241" s="33" t="n">
        <f>940.7</f>
        <v>940.7</v>
      </c>
      <c r="N241" s="34" t="s">
        <v>51</v>
      </c>
      <c r="O241" s="33" t="n">
        <f>886.9</f>
        <v>886.9</v>
      </c>
      <c r="P241" s="34" t="s">
        <v>50</v>
      </c>
      <c r="Q241" s="33" t="n">
        <f>940.4</f>
        <v>940.4</v>
      </c>
      <c r="R241" s="34" t="s">
        <v>51</v>
      </c>
      <c r="S241" s="35" t="n">
        <f>916.34</f>
        <v>916.34</v>
      </c>
      <c r="T241" s="32" t="n">
        <f>3622320</f>
        <v>3622320.0</v>
      </c>
      <c r="U241" s="32" t="n">
        <f>3291850</f>
        <v>3291850.0</v>
      </c>
      <c r="V241" s="32" t="n">
        <f>3301248630</f>
        <v>3.30124863E9</v>
      </c>
      <c r="W241" s="32" t="n">
        <f>3001216593</f>
        <v>3.001216593E9</v>
      </c>
      <c r="X241" s="36" t="n">
        <f>22</f>
        <v>22.0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659.6</f>
        <v>659.6</v>
      </c>
      <c r="L242" s="34" t="s">
        <v>48</v>
      </c>
      <c r="M242" s="33" t="n">
        <f>677.5</f>
        <v>677.5</v>
      </c>
      <c r="N242" s="34" t="s">
        <v>66</v>
      </c>
      <c r="O242" s="33" t="n">
        <f>642</f>
        <v>642.0</v>
      </c>
      <c r="P242" s="34" t="s">
        <v>50</v>
      </c>
      <c r="Q242" s="33" t="n">
        <f>671.6</f>
        <v>671.6</v>
      </c>
      <c r="R242" s="34" t="s">
        <v>51</v>
      </c>
      <c r="S242" s="35" t="n">
        <f>662.17</f>
        <v>662.17</v>
      </c>
      <c r="T242" s="32" t="n">
        <f>132090</f>
        <v>132090.0</v>
      </c>
      <c r="U242" s="32" t="n">
        <f>1540</f>
        <v>1540.0</v>
      </c>
      <c r="V242" s="32" t="n">
        <f>87758663</f>
        <v>8.7758663E7</v>
      </c>
      <c r="W242" s="32" t="n">
        <f>1034144</f>
        <v>1034144.0</v>
      </c>
      <c r="X242" s="36" t="n">
        <f>21</f>
        <v>21.0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4880</f>
        <v>4880.0</v>
      </c>
      <c r="L243" s="34" t="s">
        <v>48</v>
      </c>
      <c r="M243" s="33" t="n">
        <f>5590</f>
        <v>5590.0</v>
      </c>
      <c r="N243" s="34" t="s">
        <v>61</v>
      </c>
      <c r="O243" s="33" t="n">
        <f>4561</f>
        <v>4561.0</v>
      </c>
      <c r="P243" s="34" t="s">
        <v>50</v>
      </c>
      <c r="Q243" s="33" t="n">
        <f>5324</f>
        <v>5324.0</v>
      </c>
      <c r="R243" s="34" t="s">
        <v>51</v>
      </c>
      <c r="S243" s="35" t="n">
        <f>5146.36</f>
        <v>5146.36</v>
      </c>
      <c r="T243" s="32" t="n">
        <f>18533231</f>
        <v>1.8533231E7</v>
      </c>
      <c r="U243" s="32" t="n">
        <f>548805</f>
        <v>548805.0</v>
      </c>
      <c r="V243" s="32" t="n">
        <f>95250257750</f>
        <v>9.525025775E10</v>
      </c>
      <c r="W243" s="32" t="n">
        <f>2789654784</f>
        <v>2.789654784E9</v>
      </c>
      <c r="X243" s="36" t="n">
        <f>22</f>
        <v>22.0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3686</f>
        <v>3686.0</v>
      </c>
      <c r="L244" s="34" t="s">
        <v>48</v>
      </c>
      <c r="M244" s="33" t="n">
        <f>3712</f>
        <v>3712.0</v>
      </c>
      <c r="N244" s="34" t="s">
        <v>85</v>
      </c>
      <c r="O244" s="33" t="n">
        <f>3350</f>
        <v>3350.0</v>
      </c>
      <c r="P244" s="34" t="s">
        <v>50</v>
      </c>
      <c r="Q244" s="33" t="n">
        <f>3598</f>
        <v>3598.0</v>
      </c>
      <c r="R244" s="34" t="s">
        <v>51</v>
      </c>
      <c r="S244" s="35" t="n">
        <f>3560.64</f>
        <v>3560.64</v>
      </c>
      <c r="T244" s="32" t="n">
        <f>5323513</f>
        <v>5323513.0</v>
      </c>
      <c r="U244" s="32" t="n">
        <f>219579</f>
        <v>219579.0</v>
      </c>
      <c r="V244" s="32" t="n">
        <f>18873892313</f>
        <v>1.8873892313E10</v>
      </c>
      <c r="W244" s="32" t="n">
        <f>773164612</f>
        <v>7.73164612E8</v>
      </c>
      <c r="X244" s="36" t="n">
        <f>22</f>
        <v>22.0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717.9</f>
        <v>717.9</v>
      </c>
      <c r="L245" s="34" t="s">
        <v>48</v>
      </c>
      <c r="M245" s="33" t="n">
        <f>723.6</f>
        <v>723.6</v>
      </c>
      <c r="N245" s="34" t="s">
        <v>104</v>
      </c>
      <c r="O245" s="33" t="n">
        <f>706</f>
        <v>706.0</v>
      </c>
      <c r="P245" s="34" t="s">
        <v>62</v>
      </c>
      <c r="Q245" s="33" t="n">
        <f>717.8</f>
        <v>717.8</v>
      </c>
      <c r="R245" s="34" t="s">
        <v>51</v>
      </c>
      <c r="S245" s="35" t="n">
        <f>713.43</f>
        <v>713.43</v>
      </c>
      <c r="T245" s="32" t="n">
        <f>5550</f>
        <v>5550.0</v>
      </c>
      <c r="U245" s="32" t="str">
        <f>"－"</f>
        <v>－</v>
      </c>
      <c r="V245" s="32" t="n">
        <f>3959082</f>
        <v>3959082.0</v>
      </c>
      <c r="W245" s="32" t="str">
        <f>"－"</f>
        <v>－</v>
      </c>
      <c r="X245" s="36" t="n">
        <f>13</f>
        <v>13.0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788</v>
      </c>
      <c r="F246" s="29" t="s">
        <v>789</v>
      </c>
      <c r="G246" s="30" t="s">
        <v>790</v>
      </c>
      <c r="H246" s="31" t="s">
        <v>791</v>
      </c>
      <c r="I246" s="31"/>
      <c r="J246" s="32" t="n">
        <v>10.0</v>
      </c>
      <c r="K246" s="33" t="n">
        <f>721</f>
        <v>721.0</v>
      </c>
      <c r="L246" s="34" t="s">
        <v>48</v>
      </c>
      <c r="M246" s="33" t="n">
        <f>723.1</f>
        <v>723.1</v>
      </c>
      <c r="N246" s="34" t="s">
        <v>85</v>
      </c>
      <c r="O246" s="33" t="n">
        <f>676.1</f>
        <v>676.1</v>
      </c>
      <c r="P246" s="34" t="s">
        <v>104</v>
      </c>
      <c r="Q246" s="33" t="n">
        <f>683.2</f>
        <v>683.2</v>
      </c>
      <c r="R246" s="34" t="s">
        <v>70</v>
      </c>
      <c r="S246" s="35" t="n">
        <f>714.01</f>
        <v>714.01</v>
      </c>
      <c r="T246" s="32" t="n">
        <f>6580</f>
        <v>6580.0</v>
      </c>
      <c r="U246" s="32" t="n">
        <f>390</f>
        <v>390.0</v>
      </c>
      <c r="V246" s="32" t="n">
        <f>4690316</f>
        <v>4690316.0</v>
      </c>
      <c r="W246" s="32" t="n">
        <f>278977</f>
        <v>278977.0</v>
      </c>
      <c r="X246" s="36" t="n">
        <f>14</f>
        <v>14.0</v>
      </c>
    </row>
    <row r="247">
      <c r="A247" s="27" t="s">
        <v>42</v>
      </c>
      <c r="B247" s="27" t="s">
        <v>792</v>
      </c>
      <c r="C247" s="27" t="s">
        <v>793</v>
      </c>
      <c r="D247" s="27" t="s">
        <v>794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2275</f>
        <v>2275.0</v>
      </c>
      <c r="L247" s="34" t="s">
        <v>48</v>
      </c>
      <c r="M247" s="33" t="n">
        <f>2290</f>
        <v>2290.0</v>
      </c>
      <c r="N247" s="34" t="s">
        <v>85</v>
      </c>
      <c r="O247" s="33" t="n">
        <f>2149</f>
        <v>2149.0</v>
      </c>
      <c r="P247" s="34" t="s">
        <v>50</v>
      </c>
      <c r="Q247" s="33" t="n">
        <f>2277</f>
        <v>2277.0</v>
      </c>
      <c r="R247" s="34" t="s">
        <v>51</v>
      </c>
      <c r="S247" s="35" t="n">
        <f>2256.14</f>
        <v>2256.14</v>
      </c>
      <c r="T247" s="32" t="n">
        <f>1954426</f>
        <v>1954426.0</v>
      </c>
      <c r="U247" s="32" t="n">
        <f>1594696</f>
        <v>1594696.0</v>
      </c>
      <c r="V247" s="32" t="n">
        <f>4398337113</f>
        <v>4.398337113E9</v>
      </c>
      <c r="W247" s="32" t="n">
        <f>3586449500</f>
        <v>3.5864495E9</v>
      </c>
      <c r="X247" s="36" t="n">
        <f>22</f>
        <v>22.0</v>
      </c>
    </row>
    <row r="248">
      <c r="A248" s="27" t="s">
        <v>42</v>
      </c>
      <c r="B248" s="27" t="s">
        <v>795</v>
      </c>
      <c r="C248" s="27" t="s">
        <v>796</v>
      </c>
      <c r="D248" s="27" t="s">
        <v>797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2745</f>
        <v>2745.0</v>
      </c>
      <c r="L248" s="34" t="s">
        <v>48</v>
      </c>
      <c r="M248" s="33" t="n">
        <f>2753</f>
        <v>2753.0</v>
      </c>
      <c r="N248" s="34" t="s">
        <v>85</v>
      </c>
      <c r="O248" s="33" t="n">
        <f>2618</f>
        <v>2618.0</v>
      </c>
      <c r="P248" s="34" t="s">
        <v>50</v>
      </c>
      <c r="Q248" s="33" t="n">
        <f>2691</f>
        <v>2691.0</v>
      </c>
      <c r="R248" s="34" t="s">
        <v>51</v>
      </c>
      <c r="S248" s="35" t="n">
        <f>2695</f>
        <v>2695.0</v>
      </c>
      <c r="T248" s="32" t="n">
        <f>5483758</f>
        <v>5483758.0</v>
      </c>
      <c r="U248" s="32" t="n">
        <f>4355646</f>
        <v>4355646.0</v>
      </c>
      <c r="V248" s="32" t="n">
        <f>14816516377</f>
        <v>1.4816516377E10</v>
      </c>
      <c r="W248" s="32" t="n">
        <f>11788049778</f>
        <v>1.1788049778E10</v>
      </c>
      <c r="X248" s="36" t="n">
        <f>22</f>
        <v>22.0</v>
      </c>
    </row>
    <row r="249">
      <c r="A249" s="27" t="s">
        <v>42</v>
      </c>
      <c r="B249" s="27" t="s">
        <v>798</v>
      </c>
      <c r="C249" s="27" t="s">
        <v>799</v>
      </c>
      <c r="D249" s="27" t="s">
        <v>800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9573</f>
        <v>9573.0</v>
      </c>
      <c r="L249" s="34" t="s">
        <v>48</v>
      </c>
      <c r="M249" s="33" t="n">
        <f>10520</f>
        <v>10520.0</v>
      </c>
      <c r="N249" s="34" t="s">
        <v>50</v>
      </c>
      <c r="O249" s="33" t="n">
        <f>9520</f>
        <v>9520.0</v>
      </c>
      <c r="P249" s="34" t="s">
        <v>85</v>
      </c>
      <c r="Q249" s="33" t="n">
        <f>9933</f>
        <v>9933.0</v>
      </c>
      <c r="R249" s="34" t="s">
        <v>51</v>
      </c>
      <c r="S249" s="35" t="n">
        <f>9904.41</f>
        <v>9904.41</v>
      </c>
      <c r="T249" s="32" t="n">
        <f>81245</f>
        <v>81245.0</v>
      </c>
      <c r="U249" s="32" t="n">
        <f>887</f>
        <v>887.0</v>
      </c>
      <c r="V249" s="32" t="n">
        <f>816534373</f>
        <v>8.16534373E8</v>
      </c>
      <c r="W249" s="32" t="n">
        <f>8801990</f>
        <v>8801990.0</v>
      </c>
      <c r="X249" s="36" t="n">
        <f>22</f>
        <v>22.0</v>
      </c>
    </row>
    <row r="250">
      <c r="A250" s="27" t="s">
        <v>42</v>
      </c>
      <c r="B250" s="27" t="s">
        <v>801</v>
      </c>
      <c r="C250" s="27" t="s">
        <v>802</v>
      </c>
      <c r="D250" s="27" t="s">
        <v>803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1855</f>
        <v>1855.0</v>
      </c>
      <c r="L250" s="34" t="s">
        <v>48</v>
      </c>
      <c r="M250" s="33" t="n">
        <f>1943</f>
        <v>1943.0</v>
      </c>
      <c r="N250" s="34" t="s">
        <v>85</v>
      </c>
      <c r="O250" s="33" t="n">
        <f>1541</f>
        <v>1541.0</v>
      </c>
      <c r="P250" s="34" t="s">
        <v>50</v>
      </c>
      <c r="Q250" s="33" t="n">
        <f>1614</f>
        <v>1614.0</v>
      </c>
      <c r="R250" s="34" t="s">
        <v>51</v>
      </c>
      <c r="S250" s="35" t="n">
        <f>1719.05</f>
        <v>1719.05</v>
      </c>
      <c r="T250" s="32" t="n">
        <f>496481</f>
        <v>496481.0</v>
      </c>
      <c r="U250" s="32" t="n">
        <f>196</f>
        <v>196.0</v>
      </c>
      <c r="V250" s="32" t="n">
        <f>848908111</f>
        <v>8.48908111E8</v>
      </c>
      <c r="W250" s="32" t="n">
        <f>378866</f>
        <v>378866.0</v>
      </c>
      <c r="X250" s="36" t="n">
        <f>22</f>
        <v>22.0</v>
      </c>
    </row>
    <row r="251">
      <c r="A251" s="27" t="s">
        <v>42</v>
      </c>
      <c r="B251" s="27" t="s">
        <v>804</v>
      </c>
      <c r="C251" s="27" t="s">
        <v>805</v>
      </c>
      <c r="D251" s="27" t="s">
        <v>806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361.2</f>
        <v>361.2</v>
      </c>
      <c r="L251" s="34" t="s">
        <v>48</v>
      </c>
      <c r="M251" s="33" t="n">
        <f>383.9</f>
        <v>383.9</v>
      </c>
      <c r="N251" s="34" t="s">
        <v>61</v>
      </c>
      <c r="O251" s="33" t="n">
        <f>343.9</f>
        <v>343.9</v>
      </c>
      <c r="P251" s="34" t="s">
        <v>50</v>
      </c>
      <c r="Q251" s="33" t="n">
        <f>369.7</f>
        <v>369.7</v>
      </c>
      <c r="R251" s="34" t="s">
        <v>51</v>
      </c>
      <c r="S251" s="35" t="n">
        <f>365.25</f>
        <v>365.25</v>
      </c>
      <c r="T251" s="32" t="n">
        <f>25420</f>
        <v>25420.0</v>
      </c>
      <c r="U251" s="32" t="n">
        <f>10</f>
        <v>10.0</v>
      </c>
      <c r="V251" s="32" t="n">
        <f>9217626</f>
        <v>9217626.0</v>
      </c>
      <c r="W251" s="32" t="n">
        <f>3661</f>
        <v>3661.0</v>
      </c>
      <c r="X251" s="36" t="n">
        <f>22</f>
        <v>22.0</v>
      </c>
    </row>
    <row r="252">
      <c r="A252" s="27" t="s">
        <v>42</v>
      </c>
      <c r="B252" s="27" t="s">
        <v>807</v>
      </c>
      <c r="C252" s="27" t="s">
        <v>808</v>
      </c>
      <c r="D252" s="27" t="s">
        <v>809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888.1</f>
        <v>888.1</v>
      </c>
      <c r="L252" s="34" t="s">
        <v>48</v>
      </c>
      <c r="M252" s="33" t="n">
        <f>901</f>
        <v>901.0</v>
      </c>
      <c r="N252" s="34" t="s">
        <v>48</v>
      </c>
      <c r="O252" s="33" t="n">
        <f>874.2</f>
        <v>874.2</v>
      </c>
      <c r="P252" s="34" t="s">
        <v>203</v>
      </c>
      <c r="Q252" s="33" t="n">
        <f>884.2</f>
        <v>884.2</v>
      </c>
      <c r="R252" s="34" t="s">
        <v>51</v>
      </c>
      <c r="S252" s="35" t="n">
        <f>883.55</f>
        <v>883.55</v>
      </c>
      <c r="T252" s="32" t="n">
        <f>4466340</f>
        <v>4466340.0</v>
      </c>
      <c r="U252" s="32" t="n">
        <f>1710010</f>
        <v>1710010.0</v>
      </c>
      <c r="V252" s="32" t="n">
        <f>3940223285</f>
        <v>3.940223285E9</v>
      </c>
      <c r="W252" s="32" t="n">
        <f>1503578735</f>
        <v>1.503578735E9</v>
      </c>
      <c r="X252" s="36" t="n">
        <f>22</f>
        <v>22.0</v>
      </c>
    </row>
    <row r="253">
      <c r="A253" s="27" t="s">
        <v>42</v>
      </c>
      <c r="B253" s="27" t="s">
        <v>810</v>
      </c>
      <c r="C253" s="27" t="s">
        <v>811</v>
      </c>
      <c r="D253" s="27" t="s">
        <v>812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1410</f>
        <v>1410.0</v>
      </c>
      <c r="L253" s="34" t="s">
        <v>48</v>
      </c>
      <c r="M253" s="33" t="n">
        <f>1508</f>
        <v>1508.0</v>
      </c>
      <c r="N253" s="34" t="s">
        <v>66</v>
      </c>
      <c r="O253" s="33" t="n">
        <f>1387</f>
        <v>1387.0</v>
      </c>
      <c r="P253" s="34" t="s">
        <v>50</v>
      </c>
      <c r="Q253" s="33" t="n">
        <f>1452</f>
        <v>1452.0</v>
      </c>
      <c r="R253" s="34" t="s">
        <v>51</v>
      </c>
      <c r="S253" s="35" t="n">
        <f>1421.32</f>
        <v>1421.32</v>
      </c>
      <c r="T253" s="32" t="n">
        <f>115856</f>
        <v>115856.0</v>
      </c>
      <c r="U253" s="32" t="str">
        <f>"－"</f>
        <v>－</v>
      </c>
      <c r="V253" s="32" t="n">
        <f>163843449</f>
        <v>1.63843449E8</v>
      </c>
      <c r="W253" s="32" t="str">
        <f>"－"</f>
        <v>－</v>
      </c>
      <c r="X253" s="36" t="n">
        <f>22</f>
        <v>22.0</v>
      </c>
    </row>
    <row r="254">
      <c r="A254" s="27" t="s">
        <v>42</v>
      </c>
      <c r="B254" s="27" t="s">
        <v>813</v>
      </c>
      <c r="C254" s="27" t="s">
        <v>814</v>
      </c>
      <c r="D254" s="27" t="s">
        <v>815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1314</f>
        <v>1314.0</v>
      </c>
      <c r="L254" s="34" t="s">
        <v>48</v>
      </c>
      <c r="M254" s="33" t="n">
        <f>1345</f>
        <v>1345.0</v>
      </c>
      <c r="N254" s="34" t="s">
        <v>72</v>
      </c>
      <c r="O254" s="33" t="n">
        <f>1290</f>
        <v>1290.0</v>
      </c>
      <c r="P254" s="34" t="s">
        <v>375</v>
      </c>
      <c r="Q254" s="33" t="n">
        <f>1343</f>
        <v>1343.0</v>
      </c>
      <c r="R254" s="34" t="s">
        <v>51</v>
      </c>
      <c r="S254" s="35" t="n">
        <f>1313.64</f>
        <v>1313.64</v>
      </c>
      <c r="T254" s="32" t="n">
        <f>385765</f>
        <v>385765.0</v>
      </c>
      <c r="U254" s="32" t="str">
        <f>"－"</f>
        <v>－</v>
      </c>
      <c r="V254" s="32" t="n">
        <f>508873050</f>
        <v>5.0887305E8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816</v>
      </c>
      <c r="C255" s="27" t="s">
        <v>817</v>
      </c>
      <c r="D255" s="27" t="s">
        <v>818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1286</f>
        <v>1286.0</v>
      </c>
      <c r="L255" s="34" t="s">
        <v>48</v>
      </c>
      <c r="M255" s="33" t="n">
        <f>1303</f>
        <v>1303.0</v>
      </c>
      <c r="N255" s="34" t="s">
        <v>48</v>
      </c>
      <c r="O255" s="33" t="n">
        <f>1123</f>
        <v>1123.0</v>
      </c>
      <c r="P255" s="34" t="s">
        <v>72</v>
      </c>
      <c r="Q255" s="33" t="n">
        <f>1175</f>
        <v>1175.0</v>
      </c>
      <c r="R255" s="34" t="s">
        <v>51</v>
      </c>
      <c r="S255" s="35" t="n">
        <f>1221.05</f>
        <v>1221.05</v>
      </c>
      <c r="T255" s="32" t="n">
        <f>1124867</f>
        <v>1124867.0</v>
      </c>
      <c r="U255" s="32" t="str">
        <f>"－"</f>
        <v>－</v>
      </c>
      <c r="V255" s="32" t="n">
        <f>1356081858</f>
        <v>1.356081858E9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819</v>
      </c>
      <c r="C256" s="27" t="s">
        <v>820</v>
      </c>
      <c r="D256" s="27" t="s">
        <v>821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208.2</f>
        <v>208.2</v>
      </c>
      <c r="L256" s="34" t="s">
        <v>48</v>
      </c>
      <c r="M256" s="33" t="n">
        <f>218</f>
        <v>218.0</v>
      </c>
      <c r="N256" s="34" t="s">
        <v>123</v>
      </c>
      <c r="O256" s="33" t="n">
        <f>207.9</f>
        <v>207.9</v>
      </c>
      <c r="P256" s="34" t="s">
        <v>62</v>
      </c>
      <c r="Q256" s="33" t="n">
        <f>217.8</f>
        <v>217.8</v>
      </c>
      <c r="R256" s="34" t="s">
        <v>51</v>
      </c>
      <c r="S256" s="35" t="n">
        <f>212.24</f>
        <v>212.24</v>
      </c>
      <c r="T256" s="32" t="n">
        <f>3424520</f>
        <v>3424520.0</v>
      </c>
      <c r="U256" s="32" t="n">
        <f>70360</f>
        <v>70360.0</v>
      </c>
      <c r="V256" s="32" t="n">
        <f>727299170</f>
        <v>7.2729917E8</v>
      </c>
      <c r="W256" s="32" t="n">
        <f>14885722</f>
        <v>1.4885722E7</v>
      </c>
      <c r="X256" s="36" t="n">
        <f>22</f>
        <v>22.0</v>
      </c>
    </row>
    <row r="257">
      <c r="A257" s="27" t="s">
        <v>42</v>
      </c>
      <c r="B257" s="27" t="s">
        <v>822</v>
      </c>
      <c r="C257" s="27" t="s">
        <v>823</v>
      </c>
      <c r="D257" s="27" t="s">
        <v>824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224.9</f>
        <v>224.9</v>
      </c>
      <c r="L257" s="34" t="s">
        <v>48</v>
      </c>
      <c r="M257" s="33" t="n">
        <f>234.9</f>
        <v>234.9</v>
      </c>
      <c r="N257" s="34" t="s">
        <v>72</v>
      </c>
      <c r="O257" s="33" t="n">
        <f>213.2</f>
        <v>213.2</v>
      </c>
      <c r="P257" s="34" t="s">
        <v>123</v>
      </c>
      <c r="Q257" s="33" t="n">
        <f>230.6</f>
        <v>230.6</v>
      </c>
      <c r="R257" s="34" t="s">
        <v>51</v>
      </c>
      <c r="S257" s="35" t="n">
        <f>226.05</f>
        <v>226.05</v>
      </c>
      <c r="T257" s="32" t="n">
        <f>3608960</f>
        <v>3608960.0</v>
      </c>
      <c r="U257" s="32" t="n">
        <f>22730</f>
        <v>22730.0</v>
      </c>
      <c r="V257" s="32" t="n">
        <f>816227724</f>
        <v>8.16227724E8</v>
      </c>
      <c r="W257" s="32" t="n">
        <f>5146056</f>
        <v>5146056.0</v>
      </c>
      <c r="X257" s="36" t="n">
        <f>22</f>
        <v>22.0</v>
      </c>
    </row>
    <row r="258">
      <c r="A258" s="27" t="s">
        <v>42</v>
      </c>
      <c r="B258" s="27" t="s">
        <v>825</v>
      </c>
      <c r="C258" s="27" t="s">
        <v>826</v>
      </c>
      <c r="D258" s="27" t="s">
        <v>827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227</f>
        <v>227.0</v>
      </c>
      <c r="L258" s="34" t="s">
        <v>48</v>
      </c>
      <c r="M258" s="33" t="n">
        <f>240</f>
        <v>240.0</v>
      </c>
      <c r="N258" s="34" t="s">
        <v>72</v>
      </c>
      <c r="O258" s="33" t="n">
        <f>226.3</f>
        <v>226.3</v>
      </c>
      <c r="P258" s="34" t="s">
        <v>104</v>
      </c>
      <c r="Q258" s="33" t="n">
        <f>232.4</f>
        <v>232.4</v>
      </c>
      <c r="R258" s="34" t="s">
        <v>51</v>
      </c>
      <c r="S258" s="35" t="n">
        <f>228.89</f>
        <v>228.89</v>
      </c>
      <c r="T258" s="32" t="n">
        <f>2057420</f>
        <v>2057420.0</v>
      </c>
      <c r="U258" s="32" t="n">
        <f>5000</f>
        <v>5000.0</v>
      </c>
      <c r="V258" s="32" t="n">
        <f>469825296</f>
        <v>4.69825296E8</v>
      </c>
      <c r="W258" s="32" t="n">
        <f>1141409</f>
        <v>1141409.0</v>
      </c>
      <c r="X258" s="36" t="n">
        <f>22</f>
        <v>22.0</v>
      </c>
    </row>
    <row r="259">
      <c r="A259" s="27" t="s">
        <v>42</v>
      </c>
      <c r="B259" s="27" t="s">
        <v>828</v>
      </c>
      <c r="C259" s="27" t="s">
        <v>829</v>
      </c>
      <c r="D259" s="27" t="s">
        <v>830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228.6</f>
        <v>228.6</v>
      </c>
      <c r="L259" s="34" t="s">
        <v>48</v>
      </c>
      <c r="M259" s="33" t="n">
        <f>233.3</f>
        <v>233.3</v>
      </c>
      <c r="N259" s="34" t="s">
        <v>51</v>
      </c>
      <c r="O259" s="33" t="n">
        <f>228.1</f>
        <v>228.1</v>
      </c>
      <c r="P259" s="34" t="s">
        <v>48</v>
      </c>
      <c r="Q259" s="33" t="n">
        <f>233.2</f>
        <v>233.2</v>
      </c>
      <c r="R259" s="34" t="s">
        <v>51</v>
      </c>
      <c r="S259" s="35" t="n">
        <f>230.4</f>
        <v>230.4</v>
      </c>
      <c r="T259" s="32" t="n">
        <f>2188630</f>
        <v>2188630.0</v>
      </c>
      <c r="U259" s="32" t="n">
        <f>5580</f>
        <v>5580.0</v>
      </c>
      <c r="V259" s="32" t="n">
        <f>505599516</f>
        <v>5.05599516E8</v>
      </c>
      <c r="W259" s="32" t="n">
        <f>1283218</f>
        <v>1283218.0</v>
      </c>
      <c r="X259" s="36" t="n">
        <f>22</f>
        <v>22.0</v>
      </c>
    </row>
    <row r="260">
      <c r="A260" s="27" t="s">
        <v>42</v>
      </c>
      <c r="B260" s="27" t="s">
        <v>831</v>
      </c>
      <c r="C260" s="27" t="s">
        <v>832</v>
      </c>
      <c r="D260" s="27" t="s">
        <v>833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189.5</f>
        <v>189.5</v>
      </c>
      <c r="L260" s="34" t="s">
        <v>48</v>
      </c>
      <c r="M260" s="33" t="n">
        <f>189.5</f>
        <v>189.5</v>
      </c>
      <c r="N260" s="34" t="s">
        <v>48</v>
      </c>
      <c r="O260" s="33" t="n">
        <f>184.4</f>
        <v>184.4</v>
      </c>
      <c r="P260" s="34" t="s">
        <v>62</v>
      </c>
      <c r="Q260" s="33" t="n">
        <f>188</f>
        <v>188.0</v>
      </c>
      <c r="R260" s="34" t="s">
        <v>51</v>
      </c>
      <c r="S260" s="35" t="n">
        <f>186.64</f>
        <v>186.64</v>
      </c>
      <c r="T260" s="32" t="n">
        <f>22330900</f>
        <v>2.23309E7</v>
      </c>
      <c r="U260" s="32" t="n">
        <f>21007990</f>
        <v>2.100799E7</v>
      </c>
      <c r="V260" s="32" t="n">
        <f>4179577397</f>
        <v>4.179577397E9</v>
      </c>
      <c r="W260" s="32" t="n">
        <f>3932110086</f>
        <v>3.932110086E9</v>
      </c>
      <c r="X260" s="36" t="n">
        <f>22</f>
        <v>22.0</v>
      </c>
    </row>
    <row r="261">
      <c r="A261" s="27" t="s">
        <v>42</v>
      </c>
      <c r="B261" s="27" t="s">
        <v>834</v>
      </c>
      <c r="C261" s="27" t="s">
        <v>835</v>
      </c>
      <c r="D261" s="27" t="s">
        <v>836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1850</f>
        <v>1850.0</v>
      </c>
      <c r="L261" s="34" t="s">
        <v>48</v>
      </c>
      <c r="M261" s="33" t="n">
        <f>1945</f>
        <v>1945.0</v>
      </c>
      <c r="N261" s="34" t="s">
        <v>123</v>
      </c>
      <c r="O261" s="33" t="n">
        <f>1805</f>
        <v>1805.0</v>
      </c>
      <c r="P261" s="34" t="s">
        <v>62</v>
      </c>
      <c r="Q261" s="33" t="n">
        <f>1914</f>
        <v>1914.0</v>
      </c>
      <c r="R261" s="34" t="s">
        <v>51</v>
      </c>
      <c r="S261" s="35" t="n">
        <f>1872.18</f>
        <v>1872.18</v>
      </c>
      <c r="T261" s="32" t="n">
        <f>229849</f>
        <v>229849.0</v>
      </c>
      <c r="U261" s="32" t="n">
        <f>47781</f>
        <v>47781.0</v>
      </c>
      <c r="V261" s="32" t="n">
        <f>430652459</f>
        <v>4.30652459E8</v>
      </c>
      <c r="W261" s="32" t="n">
        <f>90160374</f>
        <v>9.0160374E7</v>
      </c>
      <c r="X261" s="36" t="n">
        <f>22</f>
        <v>22.0</v>
      </c>
    </row>
    <row r="262">
      <c r="A262" s="27" t="s">
        <v>42</v>
      </c>
      <c r="B262" s="27" t="s">
        <v>837</v>
      </c>
      <c r="C262" s="27" t="s">
        <v>838</v>
      </c>
      <c r="D262" s="27" t="s">
        <v>839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1384</f>
        <v>1384.0</v>
      </c>
      <c r="L262" s="34" t="s">
        <v>48</v>
      </c>
      <c r="M262" s="33" t="n">
        <f>1416</f>
        <v>1416.0</v>
      </c>
      <c r="N262" s="34" t="s">
        <v>214</v>
      </c>
      <c r="O262" s="33" t="n">
        <f>1347</f>
        <v>1347.0</v>
      </c>
      <c r="P262" s="34" t="s">
        <v>158</v>
      </c>
      <c r="Q262" s="33" t="n">
        <f>1388</f>
        <v>1388.0</v>
      </c>
      <c r="R262" s="34" t="s">
        <v>51</v>
      </c>
      <c r="S262" s="35" t="n">
        <f>1368.41</f>
        <v>1368.41</v>
      </c>
      <c r="T262" s="32" t="n">
        <f>367903</f>
        <v>367903.0</v>
      </c>
      <c r="U262" s="32" t="n">
        <f>205870</f>
        <v>205870.0</v>
      </c>
      <c r="V262" s="32" t="n">
        <f>505015460</f>
        <v>5.0501546E8</v>
      </c>
      <c r="W262" s="32" t="n">
        <f>282292104</f>
        <v>2.82292104E8</v>
      </c>
      <c r="X262" s="36" t="n">
        <f>22</f>
        <v>22.0</v>
      </c>
    </row>
    <row r="263">
      <c r="A263" s="27" t="s">
        <v>42</v>
      </c>
      <c r="B263" s="27" t="s">
        <v>840</v>
      </c>
      <c r="C263" s="27" t="s">
        <v>841</v>
      </c>
      <c r="D263" s="27" t="s">
        <v>842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1331</f>
        <v>1331.0</v>
      </c>
      <c r="L263" s="34" t="s">
        <v>48</v>
      </c>
      <c r="M263" s="33" t="n">
        <f>1350</f>
        <v>1350.0</v>
      </c>
      <c r="N263" s="34" t="s">
        <v>203</v>
      </c>
      <c r="O263" s="33" t="n">
        <f>1283</f>
        <v>1283.0</v>
      </c>
      <c r="P263" s="34" t="s">
        <v>158</v>
      </c>
      <c r="Q263" s="33" t="n">
        <f>1312</f>
        <v>1312.0</v>
      </c>
      <c r="R263" s="34" t="s">
        <v>51</v>
      </c>
      <c r="S263" s="35" t="n">
        <f>1314.09</f>
        <v>1314.09</v>
      </c>
      <c r="T263" s="32" t="n">
        <f>2014876</f>
        <v>2014876.0</v>
      </c>
      <c r="U263" s="32" t="n">
        <f>1209039</f>
        <v>1209039.0</v>
      </c>
      <c r="V263" s="32" t="n">
        <f>2672322317</f>
        <v>2.672322317E9</v>
      </c>
      <c r="W263" s="32" t="n">
        <f>1615241068</f>
        <v>1.615241068E9</v>
      </c>
      <c r="X263" s="36" t="n">
        <f>22</f>
        <v>22.0</v>
      </c>
    </row>
    <row r="264">
      <c r="A264" s="27" t="s">
        <v>42</v>
      </c>
      <c r="B264" s="27" t="s">
        <v>843</v>
      </c>
      <c r="C264" s="27" t="s">
        <v>844</v>
      </c>
      <c r="D264" s="27" t="s">
        <v>845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445.3</f>
        <v>445.3</v>
      </c>
      <c r="L264" s="34" t="s">
        <v>48</v>
      </c>
      <c r="M264" s="33" t="n">
        <f>454.3</f>
        <v>454.3</v>
      </c>
      <c r="N264" s="34" t="s">
        <v>66</v>
      </c>
      <c r="O264" s="33" t="n">
        <f>442</f>
        <v>442.0</v>
      </c>
      <c r="P264" s="34" t="s">
        <v>62</v>
      </c>
      <c r="Q264" s="33" t="n">
        <f>444.9</f>
        <v>444.9</v>
      </c>
      <c r="R264" s="34" t="s">
        <v>51</v>
      </c>
      <c r="S264" s="35" t="n">
        <f>445.18</f>
        <v>445.18</v>
      </c>
      <c r="T264" s="32" t="n">
        <f>1607480</f>
        <v>1607480.0</v>
      </c>
      <c r="U264" s="32" t="n">
        <f>892250</f>
        <v>892250.0</v>
      </c>
      <c r="V264" s="32" t="n">
        <f>714819878</f>
        <v>7.14819878E8</v>
      </c>
      <c r="W264" s="32" t="n">
        <f>396689131</f>
        <v>3.96689131E8</v>
      </c>
      <c r="X264" s="36" t="n">
        <f>22</f>
        <v>22.0</v>
      </c>
    </row>
    <row r="265">
      <c r="A265" s="27" t="s">
        <v>42</v>
      </c>
      <c r="B265" s="27" t="s">
        <v>846</v>
      </c>
      <c r="C265" s="27" t="s">
        <v>847</v>
      </c>
      <c r="D265" s="27" t="s">
        <v>848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159.2</f>
        <v>159.2</v>
      </c>
      <c r="L265" s="34" t="s">
        <v>48</v>
      </c>
      <c r="M265" s="33" t="n">
        <f>169.4</f>
        <v>169.4</v>
      </c>
      <c r="N265" s="34" t="s">
        <v>51</v>
      </c>
      <c r="O265" s="33" t="n">
        <f>158.1</f>
        <v>158.1</v>
      </c>
      <c r="P265" s="34" t="s">
        <v>48</v>
      </c>
      <c r="Q265" s="33" t="n">
        <f>169.1</f>
        <v>169.1</v>
      </c>
      <c r="R265" s="34" t="s">
        <v>51</v>
      </c>
      <c r="S265" s="35" t="n">
        <f>163.17</f>
        <v>163.17</v>
      </c>
      <c r="T265" s="32" t="n">
        <f>9285050</f>
        <v>9285050.0</v>
      </c>
      <c r="U265" s="32" t="n">
        <f>90</f>
        <v>90.0</v>
      </c>
      <c r="V265" s="32" t="n">
        <f>1530839812</f>
        <v>1.530839812E9</v>
      </c>
      <c r="W265" s="32" t="n">
        <f>14418</f>
        <v>14418.0</v>
      </c>
      <c r="X265" s="36" t="n">
        <f>22</f>
        <v>22.0</v>
      </c>
    </row>
    <row r="266">
      <c r="A266" s="27" t="s">
        <v>42</v>
      </c>
      <c r="B266" s="27" t="s">
        <v>849</v>
      </c>
      <c r="C266" s="27" t="s">
        <v>850</v>
      </c>
      <c r="D266" s="27" t="s">
        <v>851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132.5</f>
        <v>132.5</v>
      </c>
      <c r="L266" s="34" t="s">
        <v>48</v>
      </c>
      <c r="M266" s="33" t="n">
        <f>138</f>
        <v>138.0</v>
      </c>
      <c r="N266" s="34" t="s">
        <v>72</v>
      </c>
      <c r="O266" s="33" t="n">
        <f>130.3</f>
        <v>130.3</v>
      </c>
      <c r="P266" s="34" t="s">
        <v>62</v>
      </c>
      <c r="Q266" s="33" t="n">
        <f>137.4</f>
        <v>137.4</v>
      </c>
      <c r="R266" s="34" t="s">
        <v>51</v>
      </c>
      <c r="S266" s="35" t="n">
        <f>133.82</f>
        <v>133.82</v>
      </c>
      <c r="T266" s="32" t="n">
        <f>7911710</f>
        <v>7911710.0</v>
      </c>
      <c r="U266" s="32" t="n">
        <f>4440</f>
        <v>4440.0</v>
      </c>
      <c r="V266" s="32" t="n">
        <f>1065011039</f>
        <v>1.065011039E9</v>
      </c>
      <c r="W266" s="32" t="n">
        <f>596034</f>
        <v>596034.0</v>
      </c>
      <c r="X266" s="36" t="n">
        <f>22</f>
        <v>22.0</v>
      </c>
    </row>
    <row r="267">
      <c r="A267" s="27" t="s">
        <v>42</v>
      </c>
      <c r="B267" s="27" t="s">
        <v>852</v>
      </c>
      <c r="C267" s="27" t="s">
        <v>853</v>
      </c>
      <c r="D267" s="27" t="s">
        <v>854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812.8</f>
        <v>812.8</v>
      </c>
      <c r="L267" s="34" t="s">
        <v>48</v>
      </c>
      <c r="M267" s="33" t="n">
        <f>819.4</f>
        <v>819.4</v>
      </c>
      <c r="N267" s="34" t="s">
        <v>51</v>
      </c>
      <c r="O267" s="33" t="n">
        <f>807.7</f>
        <v>807.7</v>
      </c>
      <c r="P267" s="34" t="s">
        <v>62</v>
      </c>
      <c r="Q267" s="33" t="n">
        <f>819.4</f>
        <v>819.4</v>
      </c>
      <c r="R267" s="34" t="s">
        <v>51</v>
      </c>
      <c r="S267" s="35" t="n">
        <f>813.85</f>
        <v>813.85</v>
      </c>
      <c r="T267" s="32" t="n">
        <f>8830530</f>
        <v>8830530.0</v>
      </c>
      <c r="U267" s="32" t="n">
        <f>6347870</f>
        <v>6347870.0</v>
      </c>
      <c r="V267" s="32" t="n">
        <f>7187262216</f>
        <v>7.187262216E9</v>
      </c>
      <c r="W267" s="32" t="n">
        <f>5167741429</f>
        <v>5.167741429E9</v>
      </c>
      <c r="X267" s="36" t="n">
        <f>22</f>
        <v>22.0</v>
      </c>
    </row>
    <row r="268">
      <c r="A268" s="27" t="s">
        <v>42</v>
      </c>
      <c r="B268" s="27" t="s">
        <v>855</v>
      </c>
      <c r="C268" s="27" t="s">
        <v>856</v>
      </c>
      <c r="D268" s="27" t="s">
        <v>857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1191</f>
        <v>1191.0</v>
      </c>
      <c r="L268" s="34" t="s">
        <v>48</v>
      </c>
      <c r="M268" s="33" t="n">
        <f>1209.5</f>
        <v>1209.5</v>
      </c>
      <c r="N268" s="34" t="s">
        <v>51</v>
      </c>
      <c r="O268" s="33" t="n">
        <f>1183.5</f>
        <v>1183.5</v>
      </c>
      <c r="P268" s="34" t="s">
        <v>50</v>
      </c>
      <c r="Q268" s="33" t="n">
        <f>1208</f>
        <v>1208.0</v>
      </c>
      <c r="R268" s="34" t="s">
        <v>51</v>
      </c>
      <c r="S268" s="35" t="n">
        <f>1195.64</f>
        <v>1195.64</v>
      </c>
      <c r="T268" s="32" t="n">
        <f>3624660</f>
        <v>3624660.0</v>
      </c>
      <c r="U268" s="32" t="n">
        <f>1036170</f>
        <v>1036170.0</v>
      </c>
      <c r="V268" s="32" t="n">
        <f>4329413056</f>
        <v>4.329413056E9</v>
      </c>
      <c r="W268" s="32" t="n">
        <f>1240970421</f>
        <v>1.240970421E9</v>
      </c>
      <c r="X268" s="36" t="n">
        <f>22</f>
        <v>22.0</v>
      </c>
    </row>
    <row r="269">
      <c r="A269" s="27" t="s">
        <v>42</v>
      </c>
      <c r="B269" s="27" t="s">
        <v>858</v>
      </c>
      <c r="C269" s="27" t="s">
        <v>859</v>
      </c>
      <c r="D269" s="27" t="s">
        <v>860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737.2</f>
        <v>737.2</v>
      </c>
      <c r="L269" s="34" t="s">
        <v>48</v>
      </c>
      <c r="M269" s="33" t="n">
        <f>741.8</f>
        <v>741.8</v>
      </c>
      <c r="N269" s="34" t="s">
        <v>72</v>
      </c>
      <c r="O269" s="33" t="n">
        <f>731.2</f>
        <v>731.2</v>
      </c>
      <c r="P269" s="34" t="s">
        <v>50</v>
      </c>
      <c r="Q269" s="33" t="n">
        <f>738.8</f>
        <v>738.8</v>
      </c>
      <c r="R269" s="34" t="s">
        <v>51</v>
      </c>
      <c r="S269" s="35" t="n">
        <f>736.04</f>
        <v>736.04</v>
      </c>
      <c r="T269" s="32" t="n">
        <f>5933140</f>
        <v>5933140.0</v>
      </c>
      <c r="U269" s="32" t="n">
        <f>3984710</f>
        <v>3984710.0</v>
      </c>
      <c r="V269" s="32" t="n">
        <f>4366679914</f>
        <v>4.366679914E9</v>
      </c>
      <c r="W269" s="32" t="n">
        <f>2933249682</f>
        <v>2.933249682E9</v>
      </c>
      <c r="X269" s="36" t="n">
        <f>22</f>
        <v>22.0</v>
      </c>
    </row>
    <row r="270">
      <c r="A270" s="27" t="s">
        <v>42</v>
      </c>
      <c r="B270" s="27" t="s">
        <v>861</v>
      </c>
      <c r="C270" s="27" t="s">
        <v>862</v>
      </c>
      <c r="D270" s="27" t="s">
        <v>863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3560</f>
        <v>3560.0</v>
      </c>
      <c r="L270" s="34" t="s">
        <v>48</v>
      </c>
      <c r="M270" s="33" t="n">
        <f>3587</f>
        <v>3587.0</v>
      </c>
      <c r="N270" s="34" t="s">
        <v>85</v>
      </c>
      <c r="O270" s="33" t="n">
        <f>3430</f>
        <v>3430.0</v>
      </c>
      <c r="P270" s="34" t="s">
        <v>50</v>
      </c>
      <c r="Q270" s="33" t="n">
        <f>3561</f>
        <v>3561.0</v>
      </c>
      <c r="R270" s="34" t="s">
        <v>51</v>
      </c>
      <c r="S270" s="35" t="n">
        <f>3544.27</f>
        <v>3544.27</v>
      </c>
      <c r="T270" s="32" t="n">
        <f>2882533</f>
        <v>2882533.0</v>
      </c>
      <c r="U270" s="32" t="n">
        <f>1951569</f>
        <v>1951569.0</v>
      </c>
      <c r="V270" s="32" t="n">
        <f>10216740833</f>
        <v>1.0216740833E10</v>
      </c>
      <c r="W270" s="32" t="n">
        <f>6921049808</f>
        <v>6.921049808E9</v>
      </c>
      <c r="X270" s="36" t="n">
        <f>22</f>
        <v>22.0</v>
      </c>
    </row>
    <row r="271">
      <c r="A271" s="27" t="s">
        <v>42</v>
      </c>
      <c r="B271" s="27" t="s">
        <v>864</v>
      </c>
      <c r="C271" s="27" t="s">
        <v>865</v>
      </c>
      <c r="D271" s="27" t="s">
        <v>866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2023</f>
        <v>2023.0</v>
      </c>
      <c r="L271" s="34" t="s">
        <v>48</v>
      </c>
      <c r="M271" s="33" t="n">
        <f>2028</f>
        <v>2028.0</v>
      </c>
      <c r="N271" s="34" t="s">
        <v>66</v>
      </c>
      <c r="O271" s="33" t="n">
        <f>1927</f>
        <v>1927.0</v>
      </c>
      <c r="P271" s="34" t="s">
        <v>50</v>
      </c>
      <c r="Q271" s="33" t="n">
        <f>1985</f>
        <v>1985.0</v>
      </c>
      <c r="R271" s="34" t="s">
        <v>51</v>
      </c>
      <c r="S271" s="35" t="n">
        <f>1992.18</f>
        <v>1992.18</v>
      </c>
      <c r="T271" s="32" t="n">
        <f>775203</f>
        <v>775203.0</v>
      </c>
      <c r="U271" s="32" t="n">
        <f>556810</f>
        <v>556810.0</v>
      </c>
      <c r="V271" s="32" t="n">
        <f>1559636805</f>
        <v>1.559636805E9</v>
      </c>
      <c r="W271" s="32" t="n">
        <f>1123916774</f>
        <v>1.123916774E9</v>
      </c>
      <c r="X271" s="36" t="n">
        <f>22</f>
        <v>22.0</v>
      </c>
    </row>
    <row r="272">
      <c r="A272" s="27" t="s">
        <v>42</v>
      </c>
      <c r="B272" s="27" t="s">
        <v>867</v>
      </c>
      <c r="C272" s="27" t="s">
        <v>868</v>
      </c>
      <c r="D272" s="27" t="s">
        <v>869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1665</f>
        <v>1665.0</v>
      </c>
      <c r="L272" s="34" t="s">
        <v>48</v>
      </c>
      <c r="M272" s="33" t="n">
        <f>1742</f>
        <v>1742.0</v>
      </c>
      <c r="N272" s="34" t="s">
        <v>51</v>
      </c>
      <c r="O272" s="33" t="n">
        <f>1624</f>
        <v>1624.0</v>
      </c>
      <c r="P272" s="34" t="s">
        <v>158</v>
      </c>
      <c r="Q272" s="33" t="n">
        <f>1742</f>
        <v>1742.0</v>
      </c>
      <c r="R272" s="34" t="s">
        <v>51</v>
      </c>
      <c r="S272" s="35" t="n">
        <f>1678.09</f>
        <v>1678.09</v>
      </c>
      <c r="T272" s="32" t="n">
        <f>1706557</f>
        <v>1706557.0</v>
      </c>
      <c r="U272" s="32" t="n">
        <f>1004784</f>
        <v>1004784.0</v>
      </c>
      <c r="V272" s="32" t="n">
        <f>2867624415</f>
        <v>2.867624415E9</v>
      </c>
      <c r="W272" s="32" t="n">
        <f>1696104476</f>
        <v>1.696104476E9</v>
      </c>
      <c r="X272" s="36" t="n">
        <f>22</f>
        <v>22.0</v>
      </c>
    </row>
    <row r="273">
      <c r="A273" s="27" t="s">
        <v>42</v>
      </c>
      <c r="B273" s="27" t="s">
        <v>870</v>
      </c>
      <c r="C273" s="27" t="s">
        <v>871</v>
      </c>
      <c r="D273" s="27" t="s">
        <v>872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642.9</f>
        <v>642.9</v>
      </c>
      <c r="L273" s="34" t="s">
        <v>48</v>
      </c>
      <c r="M273" s="33" t="n">
        <f>645</f>
        <v>645.0</v>
      </c>
      <c r="N273" s="34" t="s">
        <v>48</v>
      </c>
      <c r="O273" s="33" t="n">
        <f>538</f>
        <v>538.0</v>
      </c>
      <c r="P273" s="34" t="s">
        <v>70</v>
      </c>
      <c r="Q273" s="33" t="n">
        <f>561.5</f>
        <v>561.5</v>
      </c>
      <c r="R273" s="34" t="s">
        <v>51</v>
      </c>
      <c r="S273" s="35" t="n">
        <f>575.27</f>
        <v>575.27</v>
      </c>
      <c r="T273" s="32" t="n">
        <f>14346300</f>
        <v>1.43463E7</v>
      </c>
      <c r="U273" s="32" t="n">
        <f>967810</f>
        <v>967810.0</v>
      </c>
      <c r="V273" s="32" t="n">
        <f>8327991738</f>
        <v>8.327991738E9</v>
      </c>
      <c r="W273" s="32" t="n">
        <f>551855582</f>
        <v>5.51855582E8</v>
      </c>
      <c r="X273" s="36" t="n">
        <f>22</f>
        <v>22.0</v>
      </c>
    </row>
    <row r="274">
      <c r="A274" s="27" t="s">
        <v>42</v>
      </c>
      <c r="B274" s="27" t="s">
        <v>873</v>
      </c>
      <c r="C274" s="27" t="s">
        <v>874</v>
      </c>
      <c r="D274" s="27" t="s">
        <v>875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1109</f>
        <v>1109.0</v>
      </c>
      <c r="L274" s="34" t="s">
        <v>48</v>
      </c>
      <c r="M274" s="33" t="n">
        <f>1120</f>
        <v>1120.0</v>
      </c>
      <c r="N274" s="34" t="s">
        <v>51</v>
      </c>
      <c r="O274" s="33" t="n">
        <f>1063.5</f>
        <v>1063.5</v>
      </c>
      <c r="P274" s="34" t="s">
        <v>296</v>
      </c>
      <c r="Q274" s="33" t="n">
        <f>1108.5</f>
        <v>1108.5</v>
      </c>
      <c r="R274" s="34" t="s">
        <v>51</v>
      </c>
      <c r="S274" s="35" t="n">
        <f>1085.57</f>
        <v>1085.57</v>
      </c>
      <c r="T274" s="32" t="n">
        <f>649380</f>
        <v>649380.0</v>
      </c>
      <c r="U274" s="32" t="n">
        <f>376180</f>
        <v>376180.0</v>
      </c>
      <c r="V274" s="32" t="n">
        <f>701831984</f>
        <v>7.01831984E8</v>
      </c>
      <c r="W274" s="32" t="n">
        <f>404580914</f>
        <v>4.04580914E8</v>
      </c>
      <c r="X274" s="36" t="n">
        <f>22</f>
        <v>22.0</v>
      </c>
    </row>
    <row r="275">
      <c r="A275" s="27" t="s">
        <v>42</v>
      </c>
      <c r="B275" s="27" t="s">
        <v>876</v>
      </c>
      <c r="C275" s="27" t="s">
        <v>877</v>
      </c>
      <c r="D275" s="27" t="s">
        <v>878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2315</f>
        <v>2315.0</v>
      </c>
      <c r="L275" s="34" t="s">
        <v>48</v>
      </c>
      <c r="M275" s="33" t="n">
        <f>2538</f>
        <v>2538.0</v>
      </c>
      <c r="N275" s="34" t="s">
        <v>49</v>
      </c>
      <c r="O275" s="33" t="n">
        <f>2201</f>
        <v>2201.0</v>
      </c>
      <c r="P275" s="34" t="s">
        <v>158</v>
      </c>
      <c r="Q275" s="33" t="n">
        <f>2372</f>
        <v>2372.0</v>
      </c>
      <c r="R275" s="34" t="s">
        <v>51</v>
      </c>
      <c r="S275" s="35" t="n">
        <f>2336.27</f>
        <v>2336.27</v>
      </c>
      <c r="T275" s="32" t="n">
        <f>31065</f>
        <v>31065.0</v>
      </c>
      <c r="U275" s="32" t="str">
        <f>"－"</f>
        <v>－</v>
      </c>
      <c r="V275" s="32" t="n">
        <f>73395708</f>
        <v>7.3395708E7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879</v>
      </c>
      <c r="C276" s="27" t="s">
        <v>880</v>
      </c>
      <c r="D276" s="27" t="s">
        <v>881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1197</f>
        <v>1197.0</v>
      </c>
      <c r="L276" s="34" t="s">
        <v>48</v>
      </c>
      <c r="M276" s="33" t="n">
        <f>1285.5</f>
        <v>1285.5</v>
      </c>
      <c r="N276" s="34" t="s">
        <v>72</v>
      </c>
      <c r="O276" s="33" t="n">
        <f>1195</f>
        <v>1195.0</v>
      </c>
      <c r="P276" s="34" t="s">
        <v>48</v>
      </c>
      <c r="Q276" s="33" t="n">
        <f>1241.5</f>
        <v>1241.5</v>
      </c>
      <c r="R276" s="34" t="s">
        <v>51</v>
      </c>
      <c r="S276" s="35" t="n">
        <f>1213.77</f>
        <v>1213.77</v>
      </c>
      <c r="T276" s="32" t="n">
        <f>185350</f>
        <v>185350.0</v>
      </c>
      <c r="U276" s="32" t="n">
        <f>100970</f>
        <v>100970.0</v>
      </c>
      <c r="V276" s="32" t="n">
        <f>224908218</f>
        <v>2.24908218E8</v>
      </c>
      <c r="W276" s="32" t="n">
        <f>121976543</f>
        <v>1.21976543E8</v>
      </c>
      <c r="X276" s="36" t="n">
        <f>22</f>
        <v>22.0</v>
      </c>
    </row>
    <row r="277">
      <c r="A277" s="27" t="s">
        <v>42</v>
      </c>
      <c r="B277" s="27" t="s">
        <v>882</v>
      </c>
      <c r="C277" s="27" t="s">
        <v>883</v>
      </c>
      <c r="D277" s="27" t="s">
        <v>884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2442</f>
        <v>2442.0</v>
      </c>
      <c r="L277" s="34" t="s">
        <v>48</v>
      </c>
      <c r="M277" s="33" t="n">
        <f>2559</f>
        <v>2559.0</v>
      </c>
      <c r="N277" s="34" t="s">
        <v>61</v>
      </c>
      <c r="O277" s="33" t="n">
        <f>2270</f>
        <v>2270.0</v>
      </c>
      <c r="P277" s="34" t="s">
        <v>104</v>
      </c>
      <c r="Q277" s="33" t="n">
        <f>2450</f>
        <v>2450.0</v>
      </c>
      <c r="R277" s="34" t="s">
        <v>51</v>
      </c>
      <c r="S277" s="35" t="n">
        <f>2440.91</f>
        <v>2440.91</v>
      </c>
      <c r="T277" s="32" t="n">
        <f>439161</f>
        <v>439161.0</v>
      </c>
      <c r="U277" s="32" t="n">
        <f>38156</f>
        <v>38156.0</v>
      </c>
      <c r="V277" s="32" t="n">
        <f>1064027439</f>
        <v>1.064027439E9</v>
      </c>
      <c r="W277" s="32" t="n">
        <f>93643447</f>
        <v>9.3643447E7</v>
      </c>
      <c r="X277" s="36" t="n">
        <f>22</f>
        <v>22.0</v>
      </c>
    </row>
    <row r="278">
      <c r="A278" s="27" t="s">
        <v>42</v>
      </c>
      <c r="B278" s="27" t="s">
        <v>885</v>
      </c>
      <c r="C278" s="27" t="s">
        <v>886</v>
      </c>
      <c r="D278" s="27" t="s">
        <v>887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2156</f>
        <v>2156.0</v>
      </c>
      <c r="L278" s="34" t="s">
        <v>48</v>
      </c>
      <c r="M278" s="33" t="n">
        <f>2166</f>
        <v>2166.0</v>
      </c>
      <c r="N278" s="34" t="s">
        <v>85</v>
      </c>
      <c r="O278" s="33" t="n">
        <f>2054</f>
        <v>2054.0</v>
      </c>
      <c r="P278" s="34" t="s">
        <v>50</v>
      </c>
      <c r="Q278" s="33" t="n">
        <f>2110</f>
        <v>2110.0</v>
      </c>
      <c r="R278" s="34" t="s">
        <v>51</v>
      </c>
      <c r="S278" s="35" t="n">
        <f>2119.18</f>
        <v>2119.18</v>
      </c>
      <c r="T278" s="32" t="n">
        <f>3460204</f>
        <v>3460204.0</v>
      </c>
      <c r="U278" s="32" t="n">
        <f>2912272</f>
        <v>2912272.0</v>
      </c>
      <c r="V278" s="32" t="n">
        <f>7284363827</f>
        <v>7.284363827E9</v>
      </c>
      <c r="W278" s="32" t="n">
        <f>6117158005</f>
        <v>6.117158005E9</v>
      </c>
      <c r="X278" s="36" t="n">
        <f>22</f>
        <v>22.0</v>
      </c>
    </row>
    <row r="279">
      <c r="A279" s="27" t="s">
        <v>42</v>
      </c>
      <c r="B279" s="27" t="s">
        <v>888</v>
      </c>
      <c r="C279" s="27" t="s">
        <v>889</v>
      </c>
      <c r="D279" s="27" t="s">
        <v>890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8783</f>
        <v>8783.0</v>
      </c>
      <c r="L279" s="34" t="s">
        <v>48</v>
      </c>
      <c r="M279" s="33" t="n">
        <f>9280</f>
        <v>9280.0</v>
      </c>
      <c r="N279" s="34" t="s">
        <v>61</v>
      </c>
      <c r="O279" s="33" t="n">
        <f>8123</f>
        <v>8123.0</v>
      </c>
      <c r="P279" s="34" t="s">
        <v>50</v>
      </c>
      <c r="Q279" s="33" t="n">
        <f>9161</f>
        <v>9161.0</v>
      </c>
      <c r="R279" s="34" t="s">
        <v>51</v>
      </c>
      <c r="S279" s="35" t="n">
        <f>8843.73</f>
        <v>8843.73</v>
      </c>
      <c r="T279" s="32" t="n">
        <f>167097</f>
        <v>167097.0</v>
      </c>
      <c r="U279" s="32" t="str">
        <f>"－"</f>
        <v>－</v>
      </c>
      <c r="V279" s="32" t="n">
        <f>1468904405</f>
        <v>1.468904405E9</v>
      </c>
      <c r="W279" s="32" t="str">
        <f>"－"</f>
        <v>－</v>
      </c>
      <c r="X279" s="36" t="n">
        <f>22</f>
        <v>22.0</v>
      </c>
    </row>
    <row r="280">
      <c r="A280" s="27" t="s">
        <v>42</v>
      </c>
      <c r="B280" s="27" t="s">
        <v>891</v>
      </c>
      <c r="C280" s="27" t="s">
        <v>892</v>
      </c>
      <c r="D280" s="27" t="s">
        <v>893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3098</f>
        <v>3098.0</v>
      </c>
      <c r="L280" s="34" t="s">
        <v>158</v>
      </c>
      <c r="M280" s="33" t="n">
        <f>3300</f>
        <v>3300.0</v>
      </c>
      <c r="N280" s="34" t="s">
        <v>296</v>
      </c>
      <c r="O280" s="33" t="n">
        <f>2906</f>
        <v>2906.0</v>
      </c>
      <c r="P280" s="34" t="s">
        <v>104</v>
      </c>
      <c r="Q280" s="33" t="n">
        <f>3063</f>
        <v>3063.0</v>
      </c>
      <c r="R280" s="34" t="s">
        <v>72</v>
      </c>
      <c r="S280" s="35" t="n">
        <f>3107.29</f>
        <v>3107.29</v>
      </c>
      <c r="T280" s="32" t="n">
        <f>3540</f>
        <v>3540.0</v>
      </c>
      <c r="U280" s="32" t="str">
        <f>"－"</f>
        <v>－</v>
      </c>
      <c r="V280" s="32" t="n">
        <f>11268280</f>
        <v>1.126828E7</v>
      </c>
      <c r="W280" s="32" t="str">
        <f>"－"</f>
        <v>－</v>
      </c>
      <c r="X280" s="36" t="n">
        <f>7</f>
        <v>7.0</v>
      </c>
    </row>
    <row r="281">
      <c r="A281" s="27" t="s">
        <v>42</v>
      </c>
      <c r="B281" s="27" t="s">
        <v>894</v>
      </c>
      <c r="C281" s="27" t="s">
        <v>895</v>
      </c>
      <c r="D281" s="27" t="s">
        <v>896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4081</f>
        <v>4081.0</v>
      </c>
      <c r="L281" s="34" t="s">
        <v>48</v>
      </c>
      <c r="M281" s="33" t="n">
        <f>4337</f>
        <v>4337.0</v>
      </c>
      <c r="N281" s="34" t="s">
        <v>61</v>
      </c>
      <c r="O281" s="33" t="n">
        <f>3885</f>
        <v>3885.0</v>
      </c>
      <c r="P281" s="34" t="s">
        <v>50</v>
      </c>
      <c r="Q281" s="33" t="n">
        <f>4131</f>
        <v>4131.0</v>
      </c>
      <c r="R281" s="34" t="s">
        <v>51</v>
      </c>
      <c r="S281" s="35" t="n">
        <f>4095.64</f>
        <v>4095.64</v>
      </c>
      <c r="T281" s="32" t="n">
        <f>5376622</f>
        <v>5376622.0</v>
      </c>
      <c r="U281" s="32" t="n">
        <f>4687094</f>
        <v>4687094.0</v>
      </c>
      <c r="V281" s="32" t="n">
        <f>21906159155</f>
        <v>2.1906159155E10</v>
      </c>
      <c r="W281" s="32" t="n">
        <f>19067522897</f>
        <v>1.9067522897E10</v>
      </c>
      <c r="X281" s="36" t="n">
        <f>22</f>
        <v>22.0</v>
      </c>
    </row>
    <row r="282">
      <c r="A282" s="27" t="s">
        <v>42</v>
      </c>
      <c r="B282" s="27" t="s">
        <v>897</v>
      </c>
      <c r="C282" s="27" t="s">
        <v>898</v>
      </c>
      <c r="D282" s="27" t="s">
        <v>899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67880</f>
        <v>67880.0</v>
      </c>
      <c r="L282" s="34" t="s">
        <v>48</v>
      </c>
      <c r="M282" s="33" t="n">
        <f>76100</f>
        <v>76100.0</v>
      </c>
      <c r="N282" s="34" t="s">
        <v>123</v>
      </c>
      <c r="O282" s="33" t="n">
        <f>63260</f>
        <v>63260.0</v>
      </c>
      <c r="P282" s="34" t="s">
        <v>50</v>
      </c>
      <c r="Q282" s="33" t="n">
        <f>71420</f>
        <v>71420.0</v>
      </c>
      <c r="R282" s="34" t="s">
        <v>51</v>
      </c>
      <c r="S282" s="35" t="n">
        <f>69347.73</f>
        <v>69347.73</v>
      </c>
      <c r="T282" s="32" t="n">
        <f>219346</f>
        <v>219346.0</v>
      </c>
      <c r="U282" s="32" t="n">
        <f>65727</f>
        <v>65727.0</v>
      </c>
      <c r="V282" s="32" t="n">
        <f>15031072828</f>
        <v>1.5031072828E10</v>
      </c>
      <c r="W282" s="32" t="n">
        <f>4465872798</f>
        <v>4.465872798E9</v>
      </c>
      <c r="X282" s="36" t="n">
        <f>22</f>
        <v>22.0</v>
      </c>
    </row>
    <row r="283">
      <c r="A283" s="27" t="s">
        <v>42</v>
      </c>
      <c r="B283" s="27" t="s">
        <v>900</v>
      </c>
      <c r="C283" s="27" t="s">
        <v>901</v>
      </c>
      <c r="D283" s="27" t="s">
        <v>902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36910</f>
        <v>36910.0</v>
      </c>
      <c r="L283" s="34" t="s">
        <v>48</v>
      </c>
      <c r="M283" s="33" t="n">
        <f>37890</f>
        <v>37890.0</v>
      </c>
      <c r="N283" s="34" t="s">
        <v>61</v>
      </c>
      <c r="O283" s="33" t="n">
        <f>34930</f>
        <v>34930.0</v>
      </c>
      <c r="P283" s="34" t="s">
        <v>50</v>
      </c>
      <c r="Q283" s="33" t="n">
        <f>37100</f>
        <v>37100.0</v>
      </c>
      <c r="R283" s="34" t="s">
        <v>51</v>
      </c>
      <c r="S283" s="35" t="n">
        <f>36588.57</f>
        <v>36588.57</v>
      </c>
      <c r="T283" s="32" t="n">
        <f>33294</f>
        <v>33294.0</v>
      </c>
      <c r="U283" s="32" t="n">
        <f>11368</f>
        <v>11368.0</v>
      </c>
      <c r="V283" s="32" t="n">
        <f>1220094849</f>
        <v>1.220094849E9</v>
      </c>
      <c r="W283" s="32" t="n">
        <f>416785299</f>
        <v>4.16785299E8</v>
      </c>
      <c r="X283" s="36" t="n">
        <f>14</f>
        <v>14.0</v>
      </c>
    </row>
    <row r="284">
      <c r="A284" s="27" t="s">
        <v>42</v>
      </c>
      <c r="B284" s="27" t="s">
        <v>903</v>
      </c>
      <c r="C284" s="27" t="s">
        <v>904</v>
      </c>
      <c r="D284" s="27" t="s">
        <v>905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1130</f>
        <v>1130.0</v>
      </c>
      <c r="L284" s="34" t="s">
        <v>48</v>
      </c>
      <c r="M284" s="33" t="n">
        <f>1135</f>
        <v>1135.0</v>
      </c>
      <c r="N284" s="34" t="s">
        <v>214</v>
      </c>
      <c r="O284" s="33" t="n">
        <f>1084</f>
        <v>1084.0</v>
      </c>
      <c r="P284" s="34" t="s">
        <v>104</v>
      </c>
      <c r="Q284" s="33" t="n">
        <f>1126</f>
        <v>1126.0</v>
      </c>
      <c r="R284" s="34" t="s">
        <v>51</v>
      </c>
      <c r="S284" s="35" t="n">
        <f>1104.18</f>
        <v>1104.18</v>
      </c>
      <c r="T284" s="32" t="n">
        <f>2432313</f>
        <v>2432313.0</v>
      </c>
      <c r="U284" s="32" t="n">
        <f>1148150</f>
        <v>1148150.0</v>
      </c>
      <c r="V284" s="32" t="n">
        <f>2702612620</f>
        <v>2.70261262E9</v>
      </c>
      <c r="W284" s="32" t="n">
        <f>1275695472</f>
        <v>1.275695472E9</v>
      </c>
      <c r="X284" s="36" t="n">
        <f>22</f>
        <v>22.0</v>
      </c>
    </row>
    <row r="285">
      <c r="A285" s="27" t="s">
        <v>42</v>
      </c>
      <c r="B285" s="27" t="s">
        <v>906</v>
      </c>
      <c r="C285" s="27" t="s">
        <v>907</v>
      </c>
      <c r="D285" s="27" t="s">
        <v>908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1115</f>
        <v>1115.0</v>
      </c>
      <c r="L285" s="34" t="s">
        <v>48</v>
      </c>
      <c r="M285" s="33" t="n">
        <f>1115</f>
        <v>1115.0</v>
      </c>
      <c r="N285" s="34" t="s">
        <v>48</v>
      </c>
      <c r="O285" s="33" t="n">
        <f>1064</f>
        <v>1064.0</v>
      </c>
      <c r="P285" s="34" t="s">
        <v>104</v>
      </c>
      <c r="Q285" s="33" t="n">
        <f>1103</f>
        <v>1103.0</v>
      </c>
      <c r="R285" s="34" t="s">
        <v>51</v>
      </c>
      <c r="S285" s="35" t="n">
        <f>1081.18</f>
        <v>1081.18</v>
      </c>
      <c r="T285" s="32" t="n">
        <f>1707693</f>
        <v>1707693.0</v>
      </c>
      <c r="U285" s="32" t="n">
        <f>1548315</f>
        <v>1548315.0</v>
      </c>
      <c r="V285" s="32" t="n">
        <f>1841443137</f>
        <v>1.841443137E9</v>
      </c>
      <c r="W285" s="32" t="n">
        <f>1667210129</f>
        <v>1.667210129E9</v>
      </c>
      <c r="X285" s="36" t="n">
        <f>22</f>
        <v>22.0</v>
      </c>
    </row>
    <row r="286">
      <c r="A286" s="27" t="s">
        <v>42</v>
      </c>
      <c r="B286" s="27" t="s">
        <v>909</v>
      </c>
      <c r="C286" s="27" t="s">
        <v>910</v>
      </c>
      <c r="D286" s="27" t="s">
        <v>911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2205</f>
        <v>2205.0</v>
      </c>
      <c r="L286" s="34" t="s">
        <v>48</v>
      </c>
      <c r="M286" s="33" t="n">
        <f>2224</f>
        <v>2224.0</v>
      </c>
      <c r="N286" s="34" t="s">
        <v>203</v>
      </c>
      <c r="O286" s="33" t="n">
        <f>2130</f>
        <v>2130.0</v>
      </c>
      <c r="P286" s="34" t="s">
        <v>50</v>
      </c>
      <c r="Q286" s="33" t="n">
        <f>2176</f>
        <v>2176.0</v>
      </c>
      <c r="R286" s="34" t="s">
        <v>51</v>
      </c>
      <c r="S286" s="35" t="n">
        <f>2175.95</f>
        <v>2175.95</v>
      </c>
      <c r="T286" s="32" t="n">
        <f>439531</f>
        <v>439531.0</v>
      </c>
      <c r="U286" s="32" t="n">
        <f>118733</f>
        <v>118733.0</v>
      </c>
      <c r="V286" s="32" t="n">
        <f>956124125</f>
        <v>9.56124125E8</v>
      </c>
      <c r="W286" s="32" t="n">
        <f>258631748</f>
        <v>2.58631748E8</v>
      </c>
      <c r="X286" s="36" t="n">
        <f>22</f>
        <v>22.0</v>
      </c>
    </row>
    <row r="287">
      <c r="A287" s="27" t="s">
        <v>42</v>
      </c>
      <c r="B287" s="27" t="s">
        <v>912</v>
      </c>
      <c r="C287" s="27" t="s">
        <v>913</v>
      </c>
      <c r="D287" s="27" t="s">
        <v>914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18120</f>
        <v>18120.0</v>
      </c>
      <c r="L287" s="34" t="s">
        <v>48</v>
      </c>
      <c r="M287" s="33" t="n">
        <f>18650</f>
        <v>18650.0</v>
      </c>
      <c r="N287" s="34" t="s">
        <v>61</v>
      </c>
      <c r="O287" s="33" t="n">
        <f>17110</f>
        <v>17110.0</v>
      </c>
      <c r="P287" s="34" t="s">
        <v>62</v>
      </c>
      <c r="Q287" s="33" t="n">
        <f>18215</f>
        <v>18215.0</v>
      </c>
      <c r="R287" s="34" t="s">
        <v>51</v>
      </c>
      <c r="S287" s="35" t="n">
        <f>17913.75</f>
        <v>17913.75</v>
      </c>
      <c r="T287" s="32" t="n">
        <f>1128</f>
        <v>1128.0</v>
      </c>
      <c r="U287" s="32" t="str">
        <f>"－"</f>
        <v>－</v>
      </c>
      <c r="V287" s="32" t="n">
        <f>20164200</f>
        <v>2.01642E7</v>
      </c>
      <c r="W287" s="32" t="str">
        <f>"－"</f>
        <v>－</v>
      </c>
      <c r="X287" s="36" t="n">
        <f>20</f>
        <v>20.0</v>
      </c>
    </row>
    <row r="288">
      <c r="A288" s="27" t="s">
        <v>42</v>
      </c>
      <c r="B288" s="27" t="s">
        <v>915</v>
      </c>
      <c r="C288" s="27" t="s">
        <v>916</v>
      </c>
      <c r="D288" s="27" t="s">
        <v>917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1959</f>
        <v>1959.0</v>
      </c>
      <c r="L288" s="34" t="s">
        <v>48</v>
      </c>
      <c r="M288" s="33" t="n">
        <f>1968</f>
        <v>1968.0</v>
      </c>
      <c r="N288" s="34" t="s">
        <v>51</v>
      </c>
      <c r="O288" s="33" t="n">
        <f>1876</f>
        <v>1876.0</v>
      </c>
      <c r="P288" s="34" t="s">
        <v>195</v>
      </c>
      <c r="Q288" s="33" t="n">
        <f>1968</f>
        <v>1968.0</v>
      </c>
      <c r="R288" s="34" t="s">
        <v>51</v>
      </c>
      <c r="S288" s="35" t="n">
        <f>1918.36</f>
        <v>1918.36</v>
      </c>
      <c r="T288" s="32" t="n">
        <f>395464</f>
        <v>395464.0</v>
      </c>
      <c r="U288" s="32" t="n">
        <f>269410</f>
        <v>269410.0</v>
      </c>
      <c r="V288" s="32" t="n">
        <f>760363974</f>
        <v>7.60363974E8</v>
      </c>
      <c r="W288" s="32" t="n">
        <f>519161828</f>
        <v>5.19161828E8</v>
      </c>
      <c r="X288" s="36" t="n">
        <f>22</f>
        <v>22.0</v>
      </c>
    </row>
    <row r="289">
      <c r="A289" s="27" t="s">
        <v>42</v>
      </c>
      <c r="B289" s="27" t="s">
        <v>918</v>
      </c>
      <c r="C289" s="27" t="s">
        <v>919</v>
      </c>
      <c r="D289" s="27" t="s">
        <v>920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2630</f>
        <v>2630.0</v>
      </c>
      <c r="L289" s="34" t="s">
        <v>48</v>
      </c>
      <c r="M289" s="33" t="n">
        <f>2803.5</f>
        <v>2803.5</v>
      </c>
      <c r="N289" s="34" t="s">
        <v>61</v>
      </c>
      <c r="O289" s="33" t="n">
        <f>2416</f>
        <v>2416.0</v>
      </c>
      <c r="P289" s="34" t="s">
        <v>50</v>
      </c>
      <c r="Q289" s="33" t="n">
        <f>2777</f>
        <v>2777.0</v>
      </c>
      <c r="R289" s="34" t="s">
        <v>51</v>
      </c>
      <c r="S289" s="35" t="n">
        <f>2628.73</f>
        <v>2628.73</v>
      </c>
      <c r="T289" s="32" t="n">
        <f>53690</f>
        <v>53690.0</v>
      </c>
      <c r="U289" s="32" t="str">
        <f>"－"</f>
        <v>－</v>
      </c>
      <c r="V289" s="32" t="n">
        <f>140644785</f>
        <v>1.40644785E8</v>
      </c>
      <c r="W289" s="32" t="str">
        <f>"－"</f>
        <v>－</v>
      </c>
      <c r="X289" s="36" t="n">
        <f>22</f>
        <v>22.0</v>
      </c>
    </row>
    <row r="290">
      <c r="A290" s="27" t="s">
        <v>42</v>
      </c>
      <c r="B290" s="27" t="s">
        <v>921</v>
      </c>
      <c r="C290" s="27" t="s">
        <v>922</v>
      </c>
      <c r="D290" s="27" t="s">
        <v>923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765.3</f>
        <v>765.3</v>
      </c>
      <c r="L290" s="34" t="s">
        <v>48</v>
      </c>
      <c r="M290" s="33" t="n">
        <f>765.3</f>
        <v>765.3</v>
      </c>
      <c r="N290" s="34" t="s">
        <v>48</v>
      </c>
      <c r="O290" s="33" t="n">
        <f>730</f>
        <v>730.0</v>
      </c>
      <c r="P290" s="34" t="s">
        <v>375</v>
      </c>
      <c r="Q290" s="33" t="n">
        <f>756.9</f>
        <v>756.9</v>
      </c>
      <c r="R290" s="34" t="s">
        <v>51</v>
      </c>
      <c r="S290" s="35" t="n">
        <f>755.09</f>
        <v>755.09</v>
      </c>
      <c r="T290" s="32" t="n">
        <f>1097670</f>
        <v>1097670.0</v>
      </c>
      <c r="U290" s="32" t="n">
        <f>989440</f>
        <v>989440.0</v>
      </c>
      <c r="V290" s="32" t="n">
        <f>829227492</f>
        <v>8.29227492E8</v>
      </c>
      <c r="W290" s="32" t="n">
        <f>747512318</f>
        <v>7.47512318E8</v>
      </c>
      <c r="X290" s="36" t="n">
        <f>22</f>
        <v>22.0</v>
      </c>
    </row>
    <row r="291">
      <c r="A291" s="27" t="s">
        <v>42</v>
      </c>
      <c r="B291" s="27" t="s">
        <v>924</v>
      </c>
      <c r="C291" s="27" t="s">
        <v>925</v>
      </c>
      <c r="D291" s="27" t="s">
        <v>926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1870</f>
        <v>1870.0</v>
      </c>
      <c r="L291" s="34" t="s">
        <v>48</v>
      </c>
      <c r="M291" s="33" t="n">
        <f>1921</f>
        <v>1921.0</v>
      </c>
      <c r="N291" s="34" t="s">
        <v>72</v>
      </c>
      <c r="O291" s="33" t="n">
        <f>1805</f>
        <v>1805.0</v>
      </c>
      <c r="P291" s="34" t="s">
        <v>104</v>
      </c>
      <c r="Q291" s="33" t="n">
        <f>1870.5</f>
        <v>1870.5</v>
      </c>
      <c r="R291" s="34" t="s">
        <v>51</v>
      </c>
      <c r="S291" s="35" t="n">
        <f>1839.36</f>
        <v>1839.36</v>
      </c>
      <c r="T291" s="32" t="n">
        <f>2552660</f>
        <v>2552660.0</v>
      </c>
      <c r="U291" s="32" t="n">
        <f>1893370</f>
        <v>1893370.0</v>
      </c>
      <c r="V291" s="32" t="n">
        <f>4674319328</f>
        <v>4.674319328E9</v>
      </c>
      <c r="W291" s="32" t="n">
        <f>3462822153</f>
        <v>3.462822153E9</v>
      </c>
      <c r="X291" s="36" t="n">
        <f>22</f>
        <v>22.0</v>
      </c>
    </row>
    <row r="292">
      <c r="A292" s="27" t="s">
        <v>42</v>
      </c>
      <c r="B292" s="27" t="s">
        <v>927</v>
      </c>
      <c r="C292" s="27" t="s">
        <v>928</v>
      </c>
      <c r="D292" s="27" t="s">
        <v>929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1868.5</f>
        <v>1868.5</v>
      </c>
      <c r="L292" s="34" t="s">
        <v>48</v>
      </c>
      <c r="M292" s="33" t="n">
        <f>1888.5</f>
        <v>1888.5</v>
      </c>
      <c r="N292" s="34" t="s">
        <v>72</v>
      </c>
      <c r="O292" s="33" t="n">
        <f>1799.5</f>
        <v>1799.5</v>
      </c>
      <c r="P292" s="34" t="s">
        <v>104</v>
      </c>
      <c r="Q292" s="33" t="n">
        <f>1878.5</f>
        <v>1878.5</v>
      </c>
      <c r="R292" s="34" t="s">
        <v>51</v>
      </c>
      <c r="S292" s="35" t="n">
        <f>1836.11</f>
        <v>1836.11</v>
      </c>
      <c r="T292" s="32" t="n">
        <f>2047430</f>
        <v>2047430.0</v>
      </c>
      <c r="U292" s="32" t="n">
        <f>1075020</f>
        <v>1075020.0</v>
      </c>
      <c r="V292" s="32" t="n">
        <f>3755120556</f>
        <v>3.755120556E9</v>
      </c>
      <c r="W292" s="32" t="n">
        <f>1974558496</f>
        <v>1.974558496E9</v>
      </c>
      <c r="X292" s="36" t="n">
        <f>22</f>
        <v>22.0</v>
      </c>
    </row>
    <row r="293">
      <c r="A293" s="27" t="s">
        <v>42</v>
      </c>
      <c r="B293" s="27" t="s">
        <v>930</v>
      </c>
      <c r="C293" s="27" t="s">
        <v>931</v>
      </c>
      <c r="D293" s="27" t="s">
        <v>932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3983</f>
        <v>3983.0</v>
      </c>
      <c r="L293" s="34" t="s">
        <v>48</v>
      </c>
      <c r="M293" s="33" t="n">
        <f>4153</f>
        <v>4153.0</v>
      </c>
      <c r="N293" s="34" t="s">
        <v>49</v>
      </c>
      <c r="O293" s="33" t="n">
        <f>3821</f>
        <v>3821.0</v>
      </c>
      <c r="P293" s="34" t="s">
        <v>50</v>
      </c>
      <c r="Q293" s="33" t="n">
        <f>4058</f>
        <v>4058.0</v>
      </c>
      <c r="R293" s="34" t="s">
        <v>51</v>
      </c>
      <c r="S293" s="35" t="n">
        <f>4013</f>
        <v>4013.0</v>
      </c>
      <c r="T293" s="32" t="n">
        <f>1324380</f>
        <v>1324380.0</v>
      </c>
      <c r="U293" s="32" t="n">
        <f>1080940</f>
        <v>1080940.0</v>
      </c>
      <c r="V293" s="32" t="n">
        <f>5343265079</f>
        <v>5.343265079E9</v>
      </c>
      <c r="W293" s="32" t="n">
        <f>4366147129</f>
        <v>4.366147129E9</v>
      </c>
      <c r="X293" s="36" t="n">
        <f>22</f>
        <v>22.0</v>
      </c>
    </row>
    <row r="294">
      <c r="A294" s="27" t="s">
        <v>42</v>
      </c>
      <c r="B294" s="27" t="s">
        <v>933</v>
      </c>
      <c r="C294" s="27" t="s">
        <v>934</v>
      </c>
      <c r="D294" s="27" t="s">
        <v>935</v>
      </c>
      <c r="E294" s="28" t="s">
        <v>936</v>
      </c>
      <c r="F294" s="29" t="s">
        <v>937</v>
      </c>
      <c r="G294" s="30" t="s">
        <v>46</v>
      </c>
      <c r="H294" s="31"/>
      <c r="I294" s="31" t="s">
        <v>47</v>
      </c>
      <c r="J294" s="32" t="n">
        <v>1.0</v>
      </c>
      <c r="K294" s="33" t="n">
        <f>34860</f>
        <v>34860.0</v>
      </c>
      <c r="L294" s="34" t="s">
        <v>48</v>
      </c>
      <c r="M294" s="33" t="n">
        <f>35400</f>
        <v>35400.0</v>
      </c>
      <c r="N294" s="34" t="s">
        <v>85</v>
      </c>
      <c r="O294" s="33" t="n">
        <f>34700</f>
        <v>34700.0</v>
      </c>
      <c r="P294" s="34" t="s">
        <v>210</v>
      </c>
      <c r="Q294" s="33" t="n">
        <f>34900</f>
        <v>34900.0</v>
      </c>
      <c r="R294" s="34" t="s">
        <v>210</v>
      </c>
      <c r="S294" s="35" t="n">
        <f>34987.5</f>
        <v>34987.5</v>
      </c>
      <c r="T294" s="32" t="n">
        <f>88271</f>
        <v>88271.0</v>
      </c>
      <c r="U294" s="32" t="n">
        <f>874</f>
        <v>874.0</v>
      </c>
      <c r="V294" s="32" t="n">
        <f>3088065115</f>
        <v>3.088065115E9</v>
      </c>
      <c r="W294" s="32" t="n">
        <f>30574055</f>
        <v>3.0574055E7</v>
      </c>
      <c r="X294" s="36" t="n">
        <f>4</f>
        <v>4.0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936</v>
      </c>
      <c r="F295" s="29" t="s">
        <v>937</v>
      </c>
      <c r="G295" s="30" t="s">
        <v>46</v>
      </c>
      <c r="H295" s="31"/>
      <c r="I295" s="31" t="s">
        <v>47</v>
      </c>
      <c r="J295" s="32" t="n">
        <v>1.0</v>
      </c>
      <c r="K295" s="33" t="n">
        <f>3495</f>
        <v>3495.0</v>
      </c>
      <c r="L295" s="34" t="s">
        <v>195</v>
      </c>
      <c r="M295" s="33" t="n">
        <f>3525</f>
        <v>3525.0</v>
      </c>
      <c r="N295" s="34" t="s">
        <v>195</v>
      </c>
      <c r="O295" s="33" t="n">
        <f>3330</f>
        <v>3330.0</v>
      </c>
      <c r="P295" s="34" t="s">
        <v>50</v>
      </c>
      <c r="Q295" s="33" t="n">
        <f>3475</f>
        <v>3475.0</v>
      </c>
      <c r="R295" s="34" t="s">
        <v>51</v>
      </c>
      <c r="S295" s="35" t="n">
        <f>3439.11</f>
        <v>3439.11</v>
      </c>
      <c r="T295" s="32" t="n">
        <f>4461284</f>
        <v>4461284.0</v>
      </c>
      <c r="U295" s="32" t="n">
        <f>1236930</f>
        <v>1236930.0</v>
      </c>
      <c r="V295" s="32" t="n">
        <f>15321191313</f>
        <v>1.5321191313E10</v>
      </c>
      <c r="W295" s="32" t="n">
        <f>4240940190</f>
        <v>4.24094019E9</v>
      </c>
      <c r="X295" s="36" t="n">
        <f>18</f>
        <v>18.0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936</v>
      </c>
      <c r="F296" s="29" t="s">
        <v>937</v>
      </c>
      <c r="G296" s="30" t="s">
        <v>46</v>
      </c>
      <c r="H296" s="31"/>
      <c r="I296" s="31" t="s">
        <v>47</v>
      </c>
      <c r="J296" s="32" t="n">
        <v>1.0</v>
      </c>
      <c r="K296" s="33" t="n">
        <f>29820</f>
        <v>29820.0</v>
      </c>
      <c r="L296" s="34" t="s">
        <v>48</v>
      </c>
      <c r="M296" s="33" t="n">
        <f>30800</f>
        <v>30800.0</v>
      </c>
      <c r="N296" s="34" t="s">
        <v>210</v>
      </c>
      <c r="O296" s="33" t="n">
        <f>29820</f>
        <v>29820.0</v>
      </c>
      <c r="P296" s="34" t="s">
        <v>48</v>
      </c>
      <c r="Q296" s="33" t="n">
        <f>30550</f>
        <v>30550.0</v>
      </c>
      <c r="R296" s="34" t="s">
        <v>210</v>
      </c>
      <c r="S296" s="35" t="n">
        <f>30256.25</f>
        <v>30256.25</v>
      </c>
      <c r="T296" s="32" t="n">
        <f>195231</f>
        <v>195231.0</v>
      </c>
      <c r="U296" s="32" t="n">
        <f>5655</f>
        <v>5655.0</v>
      </c>
      <c r="V296" s="32" t="n">
        <f>5903676842</f>
        <v>5.903676842E9</v>
      </c>
      <c r="W296" s="32" t="n">
        <f>170609822</f>
        <v>1.70609822E8</v>
      </c>
      <c r="X296" s="36" t="n">
        <f>4</f>
        <v>4.0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936</v>
      </c>
      <c r="F297" s="29" t="s">
        <v>937</v>
      </c>
      <c r="G297" s="30" t="s">
        <v>46</v>
      </c>
      <c r="H297" s="31"/>
      <c r="I297" s="31" t="s">
        <v>47</v>
      </c>
      <c r="J297" s="32" t="n">
        <v>1.0</v>
      </c>
      <c r="K297" s="33" t="n">
        <f>3065</f>
        <v>3065.0</v>
      </c>
      <c r="L297" s="34" t="s">
        <v>195</v>
      </c>
      <c r="M297" s="33" t="n">
        <f>3100</f>
        <v>3100.0</v>
      </c>
      <c r="N297" s="34" t="s">
        <v>195</v>
      </c>
      <c r="O297" s="33" t="n">
        <f>2828</f>
        <v>2828.0</v>
      </c>
      <c r="P297" s="34" t="s">
        <v>50</v>
      </c>
      <c r="Q297" s="33" t="n">
        <f>2971</f>
        <v>2971.0</v>
      </c>
      <c r="R297" s="34" t="s">
        <v>51</v>
      </c>
      <c r="S297" s="35" t="n">
        <f>2956.83</f>
        <v>2956.83</v>
      </c>
      <c r="T297" s="32" t="n">
        <f>6587317</f>
        <v>6587317.0</v>
      </c>
      <c r="U297" s="32" t="n">
        <f>136887</f>
        <v>136887.0</v>
      </c>
      <c r="V297" s="32" t="n">
        <f>19476281769</f>
        <v>1.9476281769E10</v>
      </c>
      <c r="W297" s="32" t="n">
        <f>404873044</f>
        <v>4.04873044E8</v>
      </c>
      <c r="X297" s="36" t="n">
        <f>18</f>
        <v>18.0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50540</f>
        <v>50540.0</v>
      </c>
      <c r="L298" s="34" t="s">
        <v>104</v>
      </c>
      <c r="M298" s="33" t="n">
        <f>53500</f>
        <v>53500.0</v>
      </c>
      <c r="N298" s="34" t="s">
        <v>375</v>
      </c>
      <c r="O298" s="33" t="n">
        <f>49540</f>
        <v>49540.0</v>
      </c>
      <c r="P298" s="34" t="s">
        <v>71</v>
      </c>
      <c r="Q298" s="33" t="n">
        <f>53050</f>
        <v>53050.0</v>
      </c>
      <c r="R298" s="34" t="s">
        <v>123</v>
      </c>
      <c r="S298" s="35" t="n">
        <f>52258</f>
        <v>52258.0</v>
      </c>
      <c r="T298" s="32" t="n">
        <f>41</f>
        <v>41.0</v>
      </c>
      <c r="U298" s="32" t="str">
        <f>"－"</f>
        <v>－</v>
      </c>
      <c r="V298" s="32" t="n">
        <f>2121590</f>
        <v>2121590.0</v>
      </c>
      <c r="W298" s="32" t="str">
        <f>"－"</f>
        <v>－</v>
      </c>
      <c r="X298" s="36" t="n">
        <f>5</f>
        <v>5.0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2018</f>
        <v>2018.0</v>
      </c>
      <c r="L299" s="34" t="s">
        <v>48</v>
      </c>
      <c r="M299" s="33" t="n">
        <f>2041</f>
        <v>2041.0</v>
      </c>
      <c r="N299" s="34" t="s">
        <v>72</v>
      </c>
      <c r="O299" s="33" t="n">
        <f>2003</f>
        <v>2003.0</v>
      </c>
      <c r="P299" s="34" t="s">
        <v>62</v>
      </c>
      <c r="Q299" s="33" t="n">
        <f>2017</f>
        <v>2017.0</v>
      </c>
      <c r="R299" s="34" t="s">
        <v>51</v>
      </c>
      <c r="S299" s="35" t="n">
        <f>2024.59</f>
        <v>2024.59</v>
      </c>
      <c r="T299" s="32" t="n">
        <f>3065247</f>
        <v>3065247.0</v>
      </c>
      <c r="U299" s="32" t="n">
        <f>2545555</f>
        <v>2545555.0</v>
      </c>
      <c r="V299" s="32" t="n">
        <f>6193906696</f>
        <v>6.193906696E9</v>
      </c>
      <c r="W299" s="32" t="n">
        <f>5140479274</f>
        <v>5.140479274E9</v>
      </c>
      <c r="X299" s="36" t="n">
        <f>22</f>
        <v>22.0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3584</f>
        <v>3584.0</v>
      </c>
      <c r="L300" s="34" t="s">
        <v>48</v>
      </c>
      <c r="M300" s="33" t="n">
        <f>3670</f>
        <v>3670.0</v>
      </c>
      <c r="N300" s="34" t="s">
        <v>296</v>
      </c>
      <c r="O300" s="33" t="n">
        <f>3494</f>
        <v>3494.0</v>
      </c>
      <c r="P300" s="34" t="s">
        <v>50</v>
      </c>
      <c r="Q300" s="33" t="n">
        <f>3663</f>
        <v>3663.0</v>
      </c>
      <c r="R300" s="34" t="s">
        <v>51</v>
      </c>
      <c r="S300" s="35" t="n">
        <f>3606.86</f>
        <v>3606.86</v>
      </c>
      <c r="T300" s="32" t="n">
        <f>514809</f>
        <v>514809.0</v>
      </c>
      <c r="U300" s="32" t="n">
        <f>366979</f>
        <v>366979.0</v>
      </c>
      <c r="V300" s="32" t="n">
        <f>1848459072</f>
        <v>1.848459072E9</v>
      </c>
      <c r="W300" s="32" t="n">
        <f>1313618758</f>
        <v>1.313618758E9</v>
      </c>
      <c r="X300" s="36" t="n">
        <f>22</f>
        <v>22.0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404.4</f>
        <v>404.4</v>
      </c>
      <c r="L301" s="34" t="s">
        <v>48</v>
      </c>
      <c r="M301" s="33" t="n">
        <f>406.3</f>
        <v>406.3</v>
      </c>
      <c r="N301" s="34" t="s">
        <v>48</v>
      </c>
      <c r="O301" s="33" t="n">
        <f>385.4</f>
        <v>385.4</v>
      </c>
      <c r="P301" s="34" t="s">
        <v>50</v>
      </c>
      <c r="Q301" s="33" t="n">
        <f>395.7</f>
        <v>395.7</v>
      </c>
      <c r="R301" s="34" t="s">
        <v>51</v>
      </c>
      <c r="S301" s="35" t="n">
        <f>397.35</f>
        <v>397.35</v>
      </c>
      <c r="T301" s="32" t="n">
        <f>35510780</f>
        <v>3.551078E7</v>
      </c>
      <c r="U301" s="32" t="n">
        <f>15747840</f>
        <v>1.574784E7</v>
      </c>
      <c r="V301" s="32" t="n">
        <f>14144511553</f>
        <v>1.4144511553E10</v>
      </c>
      <c r="W301" s="32" t="n">
        <f>6231589216</f>
        <v>6.231589216E9</v>
      </c>
      <c r="X301" s="36" t="n">
        <f>22</f>
        <v>22.0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3347</f>
        <v>3347.0</v>
      </c>
      <c r="L302" s="34" t="s">
        <v>48</v>
      </c>
      <c r="M302" s="33" t="n">
        <f>3347</f>
        <v>3347.0</v>
      </c>
      <c r="N302" s="34" t="s">
        <v>48</v>
      </c>
      <c r="O302" s="33" t="n">
        <f>3226</f>
        <v>3226.0</v>
      </c>
      <c r="P302" s="34" t="s">
        <v>50</v>
      </c>
      <c r="Q302" s="33" t="n">
        <f>3328</f>
        <v>3328.0</v>
      </c>
      <c r="R302" s="34" t="s">
        <v>51</v>
      </c>
      <c r="S302" s="35" t="n">
        <f>3278.14</f>
        <v>3278.14</v>
      </c>
      <c r="T302" s="32" t="n">
        <f>2209631</f>
        <v>2209631.0</v>
      </c>
      <c r="U302" s="32" t="n">
        <f>643472</f>
        <v>643472.0</v>
      </c>
      <c r="V302" s="32" t="n">
        <f>7273323541</f>
        <v>7.273323541E9</v>
      </c>
      <c r="W302" s="32" t="n">
        <f>2106779134</f>
        <v>2.106779134E9</v>
      </c>
      <c r="X302" s="36" t="n">
        <f>22</f>
        <v>22.0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903</f>
        <v>903.0</v>
      </c>
      <c r="L303" s="34" t="s">
        <v>48</v>
      </c>
      <c r="M303" s="33" t="n">
        <f>910</f>
        <v>910.0</v>
      </c>
      <c r="N303" s="34" t="s">
        <v>51</v>
      </c>
      <c r="O303" s="33" t="n">
        <f>863</f>
        <v>863.0</v>
      </c>
      <c r="P303" s="34" t="s">
        <v>158</v>
      </c>
      <c r="Q303" s="33" t="n">
        <f>902</f>
        <v>902.0</v>
      </c>
      <c r="R303" s="34" t="s">
        <v>51</v>
      </c>
      <c r="S303" s="35" t="n">
        <f>883.73</f>
        <v>883.73</v>
      </c>
      <c r="T303" s="32" t="n">
        <f>424776</f>
        <v>424776.0</v>
      </c>
      <c r="U303" s="32" t="n">
        <f>18500</f>
        <v>18500.0</v>
      </c>
      <c r="V303" s="32" t="n">
        <f>373553298</f>
        <v>3.73553298E8</v>
      </c>
      <c r="W303" s="32" t="n">
        <f>16312998</f>
        <v>1.6312998E7</v>
      </c>
      <c r="X303" s="36" t="n">
        <f>22</f>
        <v>22.0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1020</f>
        <v>1020.0</v>
      </c>
      <c r="L304" s="34" t="s">
        <v>48</v>
      </c>
      <c r="M304" s="33" t="n">
        <f>1035</f>
        <v>1035.0</v>
      </c>
      <c r="N304" s="34" t="s">
        <v>51</v>
      </c>
      <c r="O304" s="33" t="n">
        <f>982</f>
        <v>982.0</v>
      </c>
      <c r="P304" s="34" t="s">
        <v>104</v>
      </c>
      <c r="Q304" s="33" t="n">
        <f>1027</f>
        <v>1027.0</v>
      </c>
      <c r="R304" s="34" t="s">
        <v>51</v>
      </c>
      <c r="S304" s="35" t="n">
        <f>1005.86</f>
        <v>1005.86</v>
      </c>
      <c r="T304" s="32" t="n">
        <f>694024</f>
        <v>694024.0</v>
      </c>
      <c r="U304" s="32" t="n">
        <f>587098</f>
        <v>587098.0</v>
      </c>
      <c r="V304" s="32" t="n">
        <f>692293919</f>
        <v>6.92293919E8</v>
      </c>
      <c r="W304" s="32" t="n">
        <f>584196019</f>
        <v>5.84196019E8</v>
      </c>
      <c r="X304" s="36" t="n">
        <f>22</f>
        <v>22.0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528</f>
        <v>528.0</v>
      </c>
      <c r="L305" s="34" t="s">
        <v>48</v>
      </c>
      <c r="M305" s="33" t="n">
        <f>550</f>
        <v>550.0</v>
      </c>
      <c r="N305" s="34" t="s">
        <v>61</v>
      </c>
      <c r="O305" s="33" t="n">
        <f>503</f>
        <v>503.0</v>
      </c>
      <c r="P305" s="34" t="s">
        <v>50</v>
      </c>
      <c r="Q305" s="33" t="n">
        <f>534.2</f>
        <v>534.2</v>
      </c>
      <c r="R305" s="34" t="s">
        <v>51</v>
      </c>
      <c r="S305" s="35" t="n">
        <f>526.62</f>
        <v>526.62</v>
      </c>
      <c r="T305" s="32" t="n">
        <f>6400</f>
        <v>6400.0</v>
      </c>
      <c r="U305" s="32" t="n">
        <f>100</f>
        <v>100.0</v>
      </c>
      <c r="V305" s="32" t="n">
        <f>3371615</f>
        <v>3371615.0</v>
      </c>
      <c r="W305" s="32" t="n">
        <f>53000</f>
        <v>53000.0</v>
      </c>
      <c r="X305" s="36" t="n">
        <f>20</f>
        <v>20.0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8322</f>
        <v>8322.0</v>
      </c>
      <c r="L306" s="34" t="s">
        <v>48</v>
      </c>
      <c r="M306" s="33" t="n">
        <f>8500</f>
        <v>8500.0</v>
      </c>
      <c r="N306" s="34" t="s">
        <v>85</v>
      </c>
      <c r="O306" s="33" t="n">
        <f>7799</f>
        <v>7799.0</v>
      </c>
      <c r="P306" s="34" t="s">
        <v>50</v>
      </c>
      <c r="Q306" s="33" t="n">
        <f>8328</f>
        <v>8328.0</v>
      </c>
      <c r="R306" s="34" t="s">
        <v>51</v>
      </c>
      <c r="S306" s="35" t="n">
        <f>8256.95</f>
        <v>8256.95</v>
      </c>
      <c r="T306" s="32" t="n">
        <f>506910</f>
        <v>506910.0</v>
      </c>
      <c r="U306" s="32" t="n">
        <f>131467</f>
        <v>131467.0</v>
      </c>
      <c r="V306" s="32" t="n">
        <f>4155545219</f>
        <v>4.155545219E9</v>
      </c>
      <c r="W306" s="32" t="n">
        <f>1064264395</f>
        <v>1.064264395E9</v>
      </c>
      <c r="X306" s="36" t="n">
        <f>22</f>
        <v>22.0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4462</f>
        <v>4462.0</v>
      </c>
      <c r="L307" s="34" t="s">
        <v>48</v>
      </c>
      <c r="M307" s="33" t="n">
        <f>4500</f>
        <v>4500.0</v>
      </c>
      <c r="N307" s="34" t="s">
        <v>85</v>
      </c>
      <c r="O307" s="33" t="n">
        <f>4152</f>
        <v>4152.0</v>
      </c>
      <c r="P307" s="34" t="s">
        <v>50</v>
      </c>
      <c r="Q307" s="33" t="n">
        <f>4374</f>
        <v>4374.0</v>
      </c>
      <c r="R307" s="34" t="s">
        <v>51</v>
      </c>
      <c r="S307" s="35" t="n">
        <f>4375.5</f>
        <v>4375.5</v>
      </c>
      <c r="T307" s="32" t="n">
        <f>4069987</f>
        <v>4069987.0</v>
      </c>
      <c r="U307" s="32" t="n">
        <f>3205679</f>
        <v>3205679.0</v>
      </c>
      <c r="V307" s="32" t="n">
        <f>17893927200</f>
        <v>1.78939272E10</v>
      </c>
      <c r="W307" s="32" t="n">
        <f>14126369068</f>
        <v>1.4126369068E10</v>
      </c>
      <c r="X307" s="36" t="n">
        <f>22</f>
        <v>22.0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3400</f>
        <v>3400.0</v>
      </c>
      <c r="L308" s="34" t="s">
        <v>48</v>
      </c>
      <c r="M308" s="33" t="n">
        <f>3699</f>
        <v>3699.0</v>
      </c>
      <c r="N308" s="34" t="s">
        <v>61</v>
      </c>
      <c r="O308" s="33" t="n">
        <f>3218</f>
        <v>3218.0</v>
      </c>
      <c r="P308" s="34" t="s">
        <v>50</v>
      </c>
      <c r="Q308" s="33" t="n">
        <f>3540</f>
        <v>3540.0</v>
      </c>
      <c r="R308" s="34" t="s">
        <v>51</v>
      </c>
      <c r="S308" s="35" t="n">
        <f>3478.23</f>
        <v>3478.23</v>
      </c>
      <c r="T308" s="32" t="n">
        <f>8192</f>
        <v>8192.0</v>
      </c>
      <c r="U308" s="32" t="str">
        <f>"－"</f>
        <v>－</v>
      </c>
      <c r="V308" s="32" t="n">
        <f>28568618</f>
        <v>2.8568618E7</v>
      </c>
      <c r="W308" s="32" t="str">
        <f>"－"</f>
        <v>－</v>
      </c>
      <c r="X308" s="36" t="n">
        <f>22</f>
        <v>22.0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2130</f>
        <v>2130.0</v>
      </c>
      <c r="L309" s="34" t="s">
        <v>48</v>
      </c>
      <c r="M309" s="33" t="n">
        <f>2165</f>
        <v>2165.0</v>
      </c>
      <c r="N309" s="34" t="s">
        <v>104</v>
      </c>
      <c r="O309" s="33" t="n">
        <f>2032</f>
        <v>2032.0</v>
      </c>
      <c r="P309" s="34" t="s">
        <v>195</v>
      </c>
      <c r="Q309" s="33" t="n">
        <f>2124</f>
        <v>2124.0</v>
      </c>
      <c r="R309" s="34" t="s">
        <v>51</v>
      </c>
      <c r="S309" s="35" t="n">
        <f>2073.59</f>
        <v>2073.59</v>
      </c>
      <c r="T309" s="32" t="n">
        <f>90721</f>
        <v>90721.0</v>
      </c>
      <c r="U309" s="32" t="str">
        <f>"－"</f>
        <v>－</v>
      </c>
      <c r="V309" s="32" t="n">
        <f>186747535</f>
        <v>1.86747535E8</v>
      </c>
      <c r="W309" s="32" t="str">
        <f>"－"</f>
        <v>－</v>
      </c>
      <c r="X309" s="36" t="n">
        <f>22</f>
        <v>22.0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369.9</f>
        <v>369.9</v>
      </c>
      <c r="L310" s="34" t="s">
        <v>48</v>
      </c>
      <c r="M310" s="33" t="n">
        <f>377.9</f>
        <v>377.9</v>
      </c>
      <c r="N310" s="34" t="s">
        <v>51</v>
      </c>
      <c r="O310" s="33" t="n">
        <f>369.9</f>
        <v>369.9</v>
      </c>
      <c r="P310" s="34" t="s">
        <v>48</v>
      </c>
      <c r="Q310" s="33" t="n">
        <f>377.6</f>
        <v>377.6</v>
      </c>
      <c r="R310" s="34" t="s">
        <v>51</v>
      </c>
      <c r="S310" s="35" t="n">
        <f>373.34</f>
        <v>373.34</v>
      </c>
      <c r="T310" s="32" t="n">
        <f>7395760</f>
        <v>7395760.0</v>
      </c>
      <c r="U310" s="32" t="n">
        <f>2194950</f>
        <v>2194950.0</v>
      </c>
      <c r="V310" s="32" t="n">
        <f>2758003640</f>
        <v>2.75800364E9</v>
      </c>
      <c r="W310" s="32" t="n">
        <f>817098574</f>
        <v>8.17098574E8</v>
      </c>
      <c r="X310" s="36" t="n">
        <f>22</f>
        <v>22.0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1044</f>
        <v>1044.0</v>
      </c>
      <c r="L311" s="34" t="s">
        <v>48</v>
      </c>
      <c r="M311" s="33" t="n">
        <f>1068</f>
        <v>1068.0</v>
      </c>
      <c r="N311" s="34" t="s">
        <v>123</v>
      </c>
      <c r="O311" s="33" t="n">
        <f>1033</f>
        <v>1033.0</v>
      </c>
      <c r="P311" s="34" t="s">
        <v>62</v>
      </c>
      <c r="Q311" s="33" t="n">
        <f>1068</f>
        <v>1068.0</v>
      </c>
      <c r="R311" s="34" t="s">
        <v>51</v>
      </c>
      <c r="S311" s="35" t="n">
        <f>1050.41</f>
        <v>1050.41</v>
      </c>
      <c r="T311" s="32" t="n">
        <f>11265470</f>
        <v>1.126547E7</v>
      </c>
      <c r="U311" s="32" t="n">
        <f>455100</f>
        <v>455100.0</v>
      </c>
      <c r="V311" s="32" t="n">
        <f>11847732006</f>
        <v>1.1847732006E10</v>
      </c>
      <c r="W311" s="32" t="n">
        <f>484888255</f>
        <v>4.84888255E8</v>
      </c>
      <c r="X311" s="36" t="n">
        <f>22</f>
        <v>22.0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1732</f>
        <v>1732.0</v>
      </c>
      <c r="L312" s="34" t="s">
        <v>48</v>
      </c>
      <c r="M312" s="33" t="n">
        <f>1764</f>
        <v>1764.0</v>
      </c>
      <c r="N312" s="34" t="s">
        <v>210</v>
      </c>
      <c r="O312" s="33" t="n">
        <f>1698</f>
        <v>1698.0</v>
      </c>
      <c r="P312" s="34" t="s">
        <v>154</v>
      </c>
      <c r="Q312" s="33" t="n">
        <f>1748</f>
        <v>1748.0</v>
      </c>
      <c r="R312" s="34" t="s">
        <v>51</v>
      </c>
      <c r="S312" s="35" t="n">
        <f>1739.73</f>
        <v>1739.73</v>
      </c>
      <c r="T312" s="32" t="n">
        <f>18656</f>
        <v>18656.0</v>
      </c>
      <c r="U312" s="32" t="str">
        <f>"－"</f>
        <v>－</v>
      </c>
      <c r="V312" s="32" t="n">
        <f>32374447</f>
        <v>3.2374447E7</v>
      </c>
      <c r="W312" s="32" t="str">
        <f>"－"</f>
        <v>－</v>
      </c>
      <c r="X312" s="36" t="n">
        <f>22</f>
        <v>22.0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1956</f>
        <v>1956.0</v>
      </c>
      <c r="L313" s="34" t="s">
        <v>48</v>
      </c>
      <c r="M313" s="33" t="n">
        <f>1998</f>
        <v>1998.0</v>
      </c>
      <c r="N313" s="34" t="s">
        <v>214</v>
      </c>
      <c r="O313" s="33" t="n">
        <f>1928</f>
        <v>1928.0</v>
      </c>
      <c r="P313" s="34" t="s">
        <v>154</v>
      </c>
      <c r="Q313" s="33" t="n">
        <f>1959</f>
        <v>1959.0</v>
      </c>
      <c r="R313" s="34" t="s">
        <v>51</v>
      </c>
      <c r="S313" s="35" t="n">
        <f>1952.41</f>
        <v>1952.41</v>
      </c>
      <c r="T313" s="32" t="n">
        <f>478161</f>
        <v>478161.0</v>
      </c>
      <c r="U313" s="32" t="n">
        <f>462000</f>
        <v>462000.0</v>
      </c>
      <c r="V313" s="32" t="n">
        <f>935227140</f>
        <v>9.3522714E8</v>
      </c>
      <c r="W313" s="32" t="n">
        <f>903644280</f>
        <v>9.0364428E8</v>
      </c>
      <c r="X313" s="36" t="n">
        <f>22</f>
        <v>22.0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6672</f>
        <v>6672.0</v>
      </c>
      <c r="L314" s="34" t="s">
        <v>48</v>
      </c>
      <c r="M314" s="33" t="n">
        <f>7335</f>
        <v>7335.0</v>
      </c>
      <c r="N314" s="34" t="s">
        <v>49</v>
      </c>
      <c r="O314" s="33" t="n">
        <f>6270</f>
        <v>6270.0</v>
      </c>
      <c r="P314" s="34" t="s">
        <v>50</v>
      </c>
      <c r="Q314" s="33" t="n">
        <f>7063</f>
        <v>7063.0</v>
      </c>
      <c r="R314" s="34" t="s">
        <v>51</v>
      </c>
      <c r="S314" s="35" t="n">
        <f>6877.59</f>
        <v>6877.59</v>
      </c>
      <c r="T314" s="32" t="n">
        <f>1466626</f>
        <v>1466626.0</v>
      </c>
      <c r="U314" s="32" t="n">
        <f>374710</f>
        <v>374710.0</v>
      </c>
      <c r="V314" s="32" t="n">
        <f>10188389020</f>
        <v>1.018838902E10</v>
      </c>
      <c r="W314" s="32" t="n">
        <f>2587272385</f>
        <v>2.587272385E9</v>
      </c>
      <c r="X314" s="36" t="n">
        <f>22</f>
        <v>22.0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3969</f>
        <v>3969.0</v>
      </c>
      <c r="L315" s="34" t="s">
        <v>48</v>
      </c>
      <c r="M315" s="33" t="n">
        <f>4118</f>
        <v>4118.0</v>
      </c>
      <c r="N315" s="34" t="s">
        <v>49</v>
      </c>
      <c r="O315" s="33" t="n">
        <f>3776</f>
        <v>3776.0</v>
      </c>
      <c r="P315" s="34" t="s">
        <v>50</v>
      </c>
      <c r="Q315" s="33" t="n">
        <f>4015</f>
        <v>4015.0</v>
      </c>
      <c r="R315" s="34" t="s">
        <v>51</v>
      </c>
      <c r="S315" s="35" t="n">
        <f>3977.68</f>
        <v>3977.68</v>
      </c>
      <c r="T315" s="32" t="n">
        <f>536637</f>
        <v>536637.0</v>
      </c>
      <c r="U315" s="32" t="n">
        <f>361476</f>
        <v>361476.0</v>
      </c>
      <c r="V315" s="32" t="n">
        <f>2123513922</f>
        <v>2.123513922E9</v>
      </c>
      <c r="W315" s="32" t="n">
        <f>1430765041</f>
        <v>1.430765041E9</v>
      </c>
      <c r="X315" s="36" t="n">
        <f>22</f>
        <v>22.0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2969</f>
        <v>2969.0</v>
      </c>
      <c r="L316" s="34" t="s">
        <v>48</v>
      </c>
      <c r="M316" s="33" t="n">
        <f>3075</f>
        <v>3075.0</v>
      </c>
      <c r="N316" s="34" t="s">
        <v>48</v>
      </c>
      <c r="O316" s="33" t="n">
        <f>2796</f>
        <v>2796.0</v>
      </c>
      <c r="P316" s="34" t="s">
        <v>70</v>
      </c>
      <c r="Q316" s="33" t="n">
        <f>2875</f>
        <v>2875.0</v>
      </c>
      <c r="R316" s="34" t="s">
        <v>51</v>
      </c>
      <c r="S316" s="35" t="n">
        <f>2902.86</f>
        <v>2902.86</v>
      </c>
      <c r="T316" s="32" t="n">
        <f>34598</f>
        <v>34598.0</v>
      </c>
      <c r="U316" s="32" t="n">
        <f>540</f>
        <v>540.0</v>
      </c>
      <c r="V316" s="32" t="n">
        <f>101188482</f>
        <v>1.01188482E8</v>
      </c>
      <c r="W316" s="32" t="n">
        <f>1600309</f>
        <v>1600309.0</v>
      </c>
      <c r="X316" s="36" t="n">
        <f>22</f>
        <v>22.0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1431</f>
        <v>1431.0</v>
      </c>
      <c r="L317" s="34" t="s">
        <v>48</v>
      </c>
      <c r="M317" s="33" t="n">
        <f>1485</f>
        <v>1485.0</v>
      </c>
      <c r="N317" s="34" t="s">
        <v>51</v>
      </c>
      <c r="O317" s="33" t="n">
        <f>1395</f>
        <v>1395.0</v>
      </c>
      <c r="P317" s="34" t="s">
        <v>214</v>
      </c>
      <c r="Q317" s="33" t="n">
        <f>1482</f>
        <v>1482.0</v>
      </c>
      <c r="R317" s="34" t="s">
        <v>51</v>
      </c>
      <c r="S317" s="35" t="n">
        <f>1423.5</f>
        <v>1423.5</v>
      </c>
      <c r="T317" s="32" t="n">
        <f>16269</f>
        <v>16269.0</v>
      </c>
      <c r="U317" s="32" t="str">
        <f>"－"</f>
        <v>－</v>
      </c>
      <c r="V317" s="32" t="n">
        <f>23569666</f>
        <v>2.3569666E7</v>
      </c>
      <c r="W317" s="32" t="str">
        <f>"－"</f>
        <v>－</v>
      </c>
      <c r="X317" s="36" t="n">
        <f>22</f>
        <v>22.0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3950</f>
        <v>3950.0</v>
      </c>
      <c r="L318" s="34" t="s">
        <v>48</v>
      </c>
      <c r="M318" s="33" t="n">
        <f>5110</f>
        <v>5110.0</v>
      </c>
      <c r="N318" s="34" t="s">
        <v>51</v>
      </c>
      <c r="O318" s="33" t="n">
        <f>3595</f>
        <v>3595.0</v>
      </c>
      <c r="P318" s="34" t="s">
        <v>104</v>
      </c>
      <c r="Q318" s="33" t="n">
        <f>5060</f>
        <v>5060.0</v>
      </c>
      <c r="R318" s="34" t="s">
        <v>51</v>
      </c>
      <c r="S318" s="35" t="n">
        <f>4161.18</f>
        <v>4161.18</v>
      </c>
      <c r="T318" s="32" t="n">
        <f>307218</f>
        <v>307218.0</v>
      </c>
      <c r="U318" s="32" t="str">
        <f>"－"</f>
        <v>－</v>
      </c>
      <c r="V318" s="32" t="n">
        <f>1288013558</f>
        <v>1.288013558E9</v>
      </c>
      <c r="W318" s="32" t="str">
        <f>"－"</f>
        <v>－</v>
      </c>
      <c r="X318" s="36" t="n">
        <f>22</f>
        <v>22.0</v>
      </c>
    </row>
    <row r="319">
      <c r="A319" s="27" t="s">
        <v>42</v>
      </c>
      <c r="B319" s="27" t="s">
        <v>1004</v>
      </c>
      <c r="C319" s="27" t="s">
        <v>1005</v>
      </c>
      <c r="D319" s="27" t="s">
        <v>1006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3782</f>
        <v>3782.0</v>
      </c>
      <c r="L319" s="34" t="s">
        <v>48</v>
      </c>
      <c r="M319" s="33" t="n">
        <f>3860</f>
        <v>3860.0</v>
      </c>
      <c r="N319" s="34" t="s">
        <v>85</v>
      </c>
      <c r="O319" s="33" t="n">
        <f>3603</f>
        <v>3603.0</v>
      </c>
      <c r="P319" s="34" t="s">
        <v>50</v>
      </c>
      <c r="Q319" s="33" t="n">
        <f>3769</f>
        <v>3769.0</v>
      </c>
      <c r="R319" s="34" t="s">
        <v>51</v>
      </c>
      <c r="S319" s="35" t="n">
        <f>3743.09</f>
        <v>3743.09</v>
      </c>
      <c r="T319" s="32" t="n">
        <f>17687</f>
        <v>17687.0</v>
      </c>
      <c r="U319" s="32" t="str">
        <f>"－"</f>
        <v>－</v>
      </c>
      <c r="V319" s="32" t="n">
        <f>66397972</f>
        <v>6.6397972E7</v>
      </c>
      <c r="W319" s="32" t="str">
        <f>"－"</f>
        <v>－</v>
      </c>
      <c r="X319" s="36" t="n">
        <f>22</f>
        <v>22.0</v>
      </c>
    </row>
    <row r="320">
      <c r="A320" s="27" t="s">
        <v>42</v>
      </c>
      <c r="B320" s="27" t="s">
        <v>1007</v>
      </c>
      <c r="C320" s="27" t="s">
        <v>1008</v>
      </c>
      <c r="D320" s="27" t="s">
        <v>1009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16050</f>
        <v>16050.0</v>
      </c>
      <c r="L320" s="34" t="s">
        <v>48</v>
      </c>
      <c r="M320" s="33" t="n">
        <f>16195</f>
        <v>16195.0</v>
      </c>
      <c r="N320" s="34" t="s">
        <v>85</v>
      </c>
      <c r="O320" s="33" t="n">
        <f>15235</f>
        <v>15235.0</v>
      </c>
      <c r="P320" s="34" t="s">
        <v>50</v>
      </c>
      <c r="Q320" s="33" t="n">
        <f>15645</f>
        <v>15645.0</v>
      </c>
      <c r="R320" s="34" t="s">
        <v>51</v>
      </c>
      <c r="S320" s="35" t="n">
        <f>15727.95</f>
        <v>15727.95</v>
      </c>
      <c r="T320" s="32" t="n">
        <f>369532</f>
        <v>369532.0</v>
      </c>
      <c r="U320" s="32" t="n">
        <f>293518</f>
        <v>293518.0</v>
      </c>
      <c r="V320" s="32" t="n">
        <f>5793505736</f>
        <v>5.793505736E9</v>
      </c>
      <c r="W320" s="32" t="n">
        <f>4593488686</f>
        <v>4.593488686E9</v>
      </c>
      <c r="X320" s="36" t="n">
        <f>22</f>
        <v>22.0</v>
      </c>
    </row>
    <row r="321">
      <c r="A321" s="27" t="s">
        <v>42</v>
      </c>
      <c r="B321" s="27" t="s">
        <v>1010</v>
      </c>
      <c r="C321" s="27" t="s">
        <v>1011</v>
      </c>
      <c r="D321" s="27" t="s">
        <v>1012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34710</f>
        <v>34710.0</v>
      </c>
      <c r="L321" s="34" t="s">
        <v>48</v>
      </c>
      <c r="M321" s="33" t="n">
        <f>35240</f>
        <v>35240.0</v>
      </c>
      <c r="N321" s="34" t="s">
        <v>85</v>
      </c>
      <c r="O321" s="33" t="n">
        <f>32500</f>
        <v>32500.0</v>
      </c>
      <c r="P321" s="34" t="s">
        <v>50</v>
      </c>
      <c r="Q321" s="33" t="n">
        <f>34500</f>
        <v>34500.0</v>
      </c>
      <c r="R321" s="34" t="s">
        <v>51</v>
      </c>
      <c r="S321" s="35" t="n">
        <f>34345.91</f>
        <v>34345.91</v>
      </c>
      <c r="T321" s="32" t="n">
        <f>533680</f>
        <v>533680.0</v>
      </c>
      <c r="U321" s="32" t="n">
        <f>14381</f>
        <v>14381.0</v>
      </c>
      <c r="V321" s="32" t="n">
        <f>18360060016</f>
        <v>1.8360060016E10</v>
      </c>
      <c r="W321" s="32" t="n">
        <f>482365496</f>
        <v>4.82365496E8</v>
      </c>
      <c r="X321" s="36" t="n">
        <f>22</f>
        <v>22.0</v>
      </c>
    </row>
    <row r="322">
      <c r="A322" s="27" t="s">
        <v>42</v>
      </c>
      <c r="B322" s="27" t="s">
        <v>1013</v>
      </c>
      <c r="C322" s="27" t="s">
        <v>1014</v>
      </c>
      <c r="D322" s="27" t="s">
        <v>1015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18650</f>
        <v>18650.0</v>
      </c>
      <c r="L322" s="34" t="s">
        <v>48</v>
      </c>
      <c r="M322" s="33" t="n">
        <f>18805</f>
        <v>18805.0</v>
      </c>
      <c r="N322" s="34" t="s">
        <v>85</v>
      </c>
      <c r="O322" s="33" t="n">
        <f>17320</f>
        <v>17320.0</v>
      </c>
      <c r="P322" s="34" t="s">
        <v>50</v>
      </c>
      <c r="Q322" s="33" t="n">
        <f>18240</f>
        <v>18240.0</v>
      </c>
      <c r="R322" s="34" t="s">
        <v>51</v>
      </c>
      <c r="S322" s="35" t="n">
        <f>18305.91</f>
        <v>18305.91</v>
      </c>
      <c r="T322" s="32" t="n">
        <f>197235</f>
        <v>197235.0</v>
      </c>
      <c r="U322" s="32" t="n">
        <f>123496</f>
        <v>123496.0</v>
      </c>
      <c r="V322" s="32" t="n">
        <f>3639051308</f>
        <v>3.639051308E9</v>
      </c>
      <c r="W322" s="32" t="n">
        <f>2296996123</f>
        <v>2.296996123E9</v>
      </c>
      <c r="X322" s="36" t="n">
        <f>22</f>
        <v>22.0</v>
      </c>
    </row>
    <row r="323">
      <c r="A323" s="27" t="s">
        <v>42</v>
      </c>
      <c r="B323" s="27" t="s">
        <v>1016</v>
      </c>
      <c r="C323" s="27" t="s">
        <v>1017</v>
      </c>
      <c r="D323" s="27" t="s">
        <v>1018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557.7</f>
        <v>557.7</v>
      </c>
      <c r="L323" s="34" t="s">
        <v>48</v>
      </c>
      <c r="M323" s="33" t="n">
        <f>561.7</f>
        <v>561.7</v>
      </c>
      <c r="N323" s="34" t="s">
        <v>85</v>
      </c>
      <c r="O323" s="33" t="n">
        <f>535.9</f>
        <v>535.9</v>
      </c>
      <c r="P323" s="34" t="s">
        <v>50</v>
      </c>
      <c r="Q323" s="33" t="n">
        <f>557.9</f>
        <v>557.9</v>
      </c>
      <c r="R323" s="34" t="s">
        <v>51</v>
      </c>
      <c r="S323" s="35" t="n">
        <f>553.22</f>
        <v>553.22</v>
      </c>
      <c r="T323" s="32" t="n">
        <f>10676980</f>
        <v>1.067698E7</v>
      </c>
      <c r="U323" s="32" t="n">
        <f>7408970</f>
        <v>7408970.0</v>
      </c>
      <c r="V323" s="32" t="n">
        <f>5880307295</f>
        <v>5.880307295E9</v>
      </c>
      <c r="W323" s="32" t="n">
        <f>4072296304</f>
        <v>4.072296304E9</v>
      </c>
      <c r="X323" s="36" t="n">
        <f>22</f>
        <v>22.0</v>
      </c>
    </row>
    <row r="324">
      <c r="A324" s="27" t="s">
        <v>42</v>
      </c>
      <c r="B324" s="27" t="s">
        <v>1019</v>
      </c>
      <c r="C324" s="27" t="s">
        <v>1020</v>
      </c>
      <c r="D324" s="27" t="s">
        <v>1021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3155</f>
        <v>3155.0</v>
      </c>
      <c r="L324" s="34" t="s">
        <v>48</v>
      </c>
      <c r="M324" s="33" t="n">
        <f>3288</f>
        <v>3288.0</v>
      </c>
      <c r="N324" s="34" t="s">
        <v>66</v>
      </c>
      <c r="O324" s="33" t="n">
        <f>3004</f>
        <v>3004.0</v>
      </c>
      <c r="P324" s="34" t="s">
        <v>50</v>
      </c>
      <c r="Q324" s="33" t="n">
        <f>3096</f>
        <v>3096.0</v>
      </c>
      <c r="R324" s="34" t="s">
        <v>51</v>
      </c>
      <c r="S324" s="35" t="n">
        <f>3096.59</f>
        <v>3096.59</v>
      </c>
      <c r="T324" s="32" t="n">
        <f>6160604</f>
        <v>6160604.0</v>
      </c>
      <c r="U324" s="32" t="n">
        <f>5453623</f>
        <v>5453623.0</v>
      </c>
      <c r="V324" s="32" t="n">
        <f>19180716252</f>
        <v>1.9180716252E10</v>
      </c>
      <c r="W324" s="32" t="n">
        <f>16980497572</f>
        <v>1.6980497572E10</v>
      </c>
      <c r="X324" s="36" t="n">
        <f>22</f>
        <v>22.0</v>
      </c>
    </row>
    <row r="325">
      <c r="A325" s="27" t="s">
        <v>42</v>
      </c>
      <c r="B325" s="27" t="s">
        <v>1022</v>
      </c>
      <c r="C325" s="27" t="s">
        <v>1023</v>
      </c>
      <c r="D325" s="27" t="s">
        <v>1024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4888</f>
        <v>4888.0</v>
      </c>
      <c r="L325" s="34" t="s">
        <v>48</v>
      </c>
      <c r="M325" s="33" t="n">
        <f>5055</f>
        <v>5055.0</v>
      </c>
      <c r="N325" s="34" t="s">
        <v>61</v>
      </c>
      <c r="O325" s="33" t="n">
        <f>4545</f>
        <v>4545.0</v>
      </c>
      <c r="P325" s="34" t="s">
        <v>50</v>
      </c>
      <c r="Q325" s="33" t="n">
        <f>4965</f>
        <v>4965.0</v>
      </c>
      <c r="R325" s="34" t="s">
        <v>51</v>
      </c>
      <c r="S325" s="35" t="n">
        <f>4844.95</f>
        <v>4844.95</v>
      </c>
      <c r="T325" s="32" t="n">
        <f>4085</f>
        <v>4085.0</v>
      </c>
      <c r="U325" s="32" t="n">
        <f>100</f>
        <v>100.0</v>
      </c>
      <c r="V325" s="32" t="n">
        <f>19678230</f>
        <v>1.967823E7</v>
      </c>
      <c r="W325" s="32" t="n">
        <f>488150</f>
        <v>488150.0</v>
      </c>
      <c r="X325" s="36" t="n">
        <f>22</f>
        <v>22.0</v>
      </c>
    </row>
    <row r="326">
      <c r="A326" s="27" t="s">
        <v>42</v>
      </c>
      <c r="B326" s="27" t="s">
        <v>1025</v>
      </c>
      <c r="C326" s="27" t="s">
        <v>1026</v>
      </c>
      <c r="D326" s="27" t="s">
        <v>1027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3199</f>
        <v>3199.0</v>
      </c>
      <c r="L326" s="34" t="s">
        <v>48</v>
      </c>
      <c r="M326" s="33" t="n">
        <f>3670</f>
        <v>3670.0</v>
      </c>
      <c r="N326" s="34" t="s">
        <v>49</v>
      </c>
      <c r="O326" s="33" t="n">
        <f>2820</f>
        <v>2820.0</v>
      </c>
      <c r="P326" s="34" t="s">
        <v>50</v>
      </c>
      <c r="Q326" s="33" t="n">
        <f>3405</f>
        <v>3405.0</v>
      </c>
      <c r="R326" s="34" t="s">
        <v>51</v>
      </c>
      <c r="S326" s="35" t="n">
        <f>3266.55</f>
        <v>3266.55</v>
      </c>
      <c r="T326" s="32" t="n">
        <f>459631</f>
        <v>459631.0</v>
      </c>
      <c r="U326" s="32" t="n">
        <f>80520</f>
        <v>80520.0</v>
      </c>
      <c r="V326" s="32" t="n">
        <f>1506244106</f>
        <v>1.506244106E9</v>
      </c>
      <c r="W326" s="32" t="n">
        <f>269653357</f>
        <v>2.69653357E8</v>
      </c>
      <c r="X326" s="36" t="n">
        <f>22</f>
        <v>22.0</v>
      </c>
    </row>
    <row r="327">
      <c r="A327" s="27" t="s">
        <v>42</v>
      </c>
      <c r="B327" s="27" t="s">
        <v>1028</v>
      </c>
      <c r="C327" s="27" t="s">
        <v>1029</v>
      </c>
      <c r="D327" s="27" t="s">
        <v>1030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2895</f>
        <v>2895.0</v>
      </c>
      <c r="L327" s="34" t="s">
        <v>48</v>
      </c>
      <c r="M327" s="33" t="n">
        <f>2924</f>
        <v>2924.0</v>
      </c>
      <c r="N327" s="34" t="s">
        <v>48</v>
      </c>
      <c r="O327" s="33" t="n">
        <f>2527</f>
        <v>2527.0</v>
      </c>
      <c r="P327" s="34" t="s">
        <v>50</v>
      </c>
      <c r="Q327" s="33" t="n">
        <f>2722</f>
        <v>2722.0</v>
      </c>
      <c r="R327" s="34" t="s">
        <v>51</v>
      </c>
      <c r="S327" s="35" t="n">
        <f>2742.59</f>
        <v>2742.59</v>
      </c>
      <c r="T327" s="32" t="n">
        <f>2284749</f>
        <v>2284749.0</v>
      </c>
      <c r="U327" s="32" t="n">
        <f>215770</f>
        <v>215770.0</v>
      </c>
      <c r="V327" s="32" t="n">
        <f>6289608681</f>
        <v>6.289608681E9</v>
      </c>
      <c r="W327" s="32" t="n">
        <f>590278313</f>
        <v>5.90278313E8</v>
      </c>
      <c r="X327" s="36" t="n">
        <f>22</f>
        <v>22.0</v>
      </c>
    </row>
    <row r="328">
      <c r="A328" s="27" t="s">
        <v>42</v>
      </c>
      <c r="B328" s="27" t="s">
        <v>1031</v>
      </c>
      <c r="C328" s="27" t="s">
        <v>1032</v>
      </c>
      <c r="D328" s="27" t="s">
        <v>1033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1699</f>
        <v>1699.0</v>
      </c>
      <c r="L328" s="34" t="s">
        <v>48</v>
      </c>
      <c r="M328" s="33" t="n">
        <f>1702</f>
        <v>1702.0</v>
      </c>
      <c r="N328" s="34" t="s">
        <v>50</v>
      </c>
      <c r="O328" s="33" t="n">
        <f>1572</f>
        <v>1572.0</v>
      </c>
      <c r="P328" s="34" t="s">
        <v>61</v>
      </c>
      <c r="Q328" s="33" t="n">
        <f>1626</f>
        <v>1626.0</v>
      </c>
      <c r="R328" s="34" t="s">
        <v>51</v>
      </c>
      <c r="S328" s="35" t="n">
        <f>1637.05</f>
        <v>1637.05</v>
      </c>
      <c r="T328" s="32" t="n">
        <f>20412</f>
        <v>20412.0</v>
      </c>
      <c r="U328" s="32" t="n">
        <f>20</f>
        <v>20.0</v>
      </c>
      <c r="V328" s="32" t="n">
        <f>33276202</f>
        <v>3.3276202E7</v>
      </c>
      <c r="W328" s="32" t="n">
        <f>32460</f>
        <v>32460.0</v>
      </c>
      <c r="X328" s="36" t="n">
        <f>22</f>
        <v>22.0</v>
      </c>
    </row>
    <row r="329">
      <c r="A329" s="27" t="s">
        <v>42</v>
      </c>
      <c r="B329" s="27" t="s">
        <v>1034</v>
      </c>
      <c r="C329" s="27" t="s">
        <v>1035</v>
      </c>
      <c r="D329" s="27" t="s">
        <v>1036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3520</f>
        <v>3520.0</v>
      </c>
      <c r="L329" s="34" t="s">
        <v>48</v>
      </c>
      <c r="M329" s="33" t="n">
        <f>3633</f>
        <v>3633.0</v>
      </c>
      <c r="N329" s="34" t="s">
        <v>158</v>
      </c>
      <c r="O329" s="33" t="n">
        <f>3258</f>
        <v>3258.0</v>
      </c>
      <c r="P329" s="34" t="s">
        <v>70</v>
      </c>
      <c r="Q329" s="33" t="n">
        <f>3390</f>
        <v>3390.0</v>
      </c>
      <c r="R329" s="34" t="s">
        <v>51</v>
      </c>
      <c r="S329" s="35" t="n">
        <f>3454.32</f>
        <v>3454.32</v>
      </c>
      <c r="T329" s="32" t="n">
        <f>513930</f>
        <v>513930.0</v>
      </c>
      <c r="U329" s="32" t="n">
        <f>65573</f>
        <v>65573.0</v>
      </c>
      <c r="V329" s="32" t="n">
        <f>1765547898</f>
        <v>1.765547898E9</v>
      </c>
      <c r="W329" s="32" t="n">
        <f>222471673</f>
        <v>2.22471673E8</v>
      </c>
      <c r="X329" s="36" t="n">
        <f>22</f>
        <v>22.0</v>
      </c>
    </row>
    <row r="330">
      <c r="A330" s="27" t="s">
        <v>42</v>
      </c>
      <c r="B330" s="27" t="s">
        <v>1037</v>
      </c>
      <c r="C330" s="27" t="s">
        <v>1038</v>
      </c>
      <c r="D330" s="27" t="s">
        <v>1039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4528</f>
        <v>4528.0</v>
      </c>
      <c r="L330" s="34" t="s">
        <v>48</v>
      </c>
      <c r="M330" s="33" t="n">
        <f>4528</f>
        <v>4528.0</v>
      </c>
      <c r="N330" s="34" t="s">
        <v>48</v>
      </c>
      <c r="O330" s="33" t="n">
        <f>4162</f>
        <v>4162.0</v>
      </c>
      <c r="P330" s="34" t="s">
        <v>50</v>
      </c>
      <c r="Q330" s="33" t="n">
        <f>4255</f>
        <v>4255.0</v>
      </c>
      <c r="R330" s="34" t="s">
        <v>51</v>
      </c>
      <c r="S330" s="35" t="n">
        <f>4331.45</f>
        <v>4331.45</v>
      </c>
      <c r="T330" s="32" t="n">
        <f>746155</f>
        <v>746155.0</v>
      </c>
      <c r="U330" s="32" t="n">
        <f>381111</f>
        <v>381111.0</v>
      </c>
      <c r="V330" s="32" t="n">
        <f>3228887539</f>
        <v>3.228887539E9</v>
      </c>
      <c r="W330" s="32" t="n">
        <f>1645675456</f>
        <v>1.645675456E9</v>
      </c>
      <c r="X330" s="36" t="n">
        <f>22</f>
        <v>22.0</v>
      </c>
    </row>
    <row r="331">
      <c r="A331" s="27" t="s">
        <v>42</v>
      </c>
      <c r="B331" s="27" t="s">
        <v>1040</v>
      </c>
      <c r="C331" s="27" t="s">
        <v>1041</v>
      </c>
      <c r="D331" s="27" t="s">
        <v>1042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52310</f>
        <v>52310.0</v>
      </c>
      <c r="L331" s="34" t="s">
        <v>48</v>
      </c>
      <c r="M331" s="33" t="n">
        <f>54220</f>
        <v>54220.0</v>
      </c>
      <c r="N331" s="34" t="s">
        <v>49</v>
      </c>
      <c r="O331" s="33" t="n">
        <f>50640</f>
        <v>50640.0</v>
      </c>
      <c r="P331" s="34" t="s">
        <v>62</v>
      </c>
      <c r="Q331" s="33" t="n">
        <f>53100</f>
        <v>53100.0</v>
      </c>
      <c r="R331" s="34" t="s">
        <v>51</v>
      </c>
      <c r="S331" s="35" t="n">
        <f>52454.12</f>
        <v>52454.12</v>
      </c>
      <c r="T331" s="32" t="n">
        <f>155</f>
        <v>155.0</v>
      </c>
      <c r="U331" s="32" t="str">
        <f>"－"</f>
        <v>－</v>
      </c>
      <c r="V331" s="32" t="n">
        <f>8240410</f>
        <v>8240410.0</v>
      </c>
      <c r="W331" s="32" t="str">
        <f>"－"</f>
        <v>－</v>
      </c>
      <c r="X331" s="36" t="n">
        <f>17</f>
        <v>17.0</v>
      </c>
    </row>
    <row r="332">
      <c r="A332" s="27" t="s">
        <v>42</v>
      </c>
      <c r="B332" s="27" t="s">
        <v>1043</v>
      </c>
      <c r="C332" s="27" t="s">
        <v>1044</v>
      </c>
      <c r="D332" s="27" t="s">
        <v>1045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4006</f>
        <v>4006.0</v>
      </c>
      <c r="L332" s="34" t="s">
        <v>48</v>
      </c>
      <c r="M332" s="33" t="n">
        <f>4373</f>
        <v>4373.0</v>
      </c>
      <c r="N332" s="34" t="s">
        <v>375</v>
      </c>
      <c r="O332" s="33" t="n">
        <f>3800</f>
        <v>3800.0</v>
      </c>
      <c r="P332" s="34" t="s">
        <v>50</v>
      </c>
      <c r="Q332" s="33" t="n">
        <f>4260</f>
        <v>4260.0</v>
      </c>
      <c r="R332" s="34" t="s">
        <v>51</v>
      </c>
      <c r="S332" s="35" t="n">
        <f>4196.36</f>
        <v>4196.36</v>
      </c>
      <c r="T332" s="32" t="n">
        <f>24786</f>
        <v>24786.0</v>
      </c>
      <c r="U332" s="32" t="str">
        <f>"－"</f>
        <v>－</v>
      </c>
      <c r="V332" s="32" t="n">
        <f>103904771</f>
        <v>1.03904771E8</v>
      </c>
      <c r="W332" s="32" t="str">
        <f>"－"</f>
        <v>－</v>
      </c>
      <c r="X332" s="36" t="n">
        <f>22</f>
        <v>22.0</v>
      </c>
    </row>
    <row r="333">
      <c r="A333" s="27" t="s">
        <v>42</v>
      </c>
      <c r="B333" s="27" t="s">
        <v>1046</v>
      </c>
      <c r="C333" s="27" t="s">
        <v>1047</v>
      </c>
      <c r="D333" s="27" t="s">
        <v>1048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4194</f>
        <v>4194.0</v>
      </c>
      <c r="L333" s="34" t="s">
        <v>48</v>
      </c>
      <c r="M333" s="33" t="n">
        <f>5188</f>
        <v>5188.0</v>
      </c>
      <c r="N333" s="34" t="s">
        <v>61</v>
      </c>
      <c r="O333" s="33" t="n">
        <f>3865</f>
        <v>3865.0</v>
      </c>
      <c r="P333" s="34" t="s">
        <v>50</v>
      </c>
      <c r="Q333" s="33" t="n">
        <f>4940</f>
        <v>4940.0</v>
      </c>
      <c r="R333" s="34" t="s">
        <v>51</v>
      </c>
      <c r="S333" s="35" t="n">
        <f>4548.09</f>
        <v>4548.09</v>
      </c>
      <c r="T333" s="32" t="n">
        <f>79958832</f>
        <v>7.9958832E7</v>
      </c>
      <c r="U333" s="32" t="n">
        <f>583939</f>
        <v>583939.0</v>
      </c>
      <c r="V333" s="32" t="n">
        <f>358053418144</f>
        <v>3.58053418144E11</v>
      </c>
      <c r="W333" s="32" t="n">
        <f>2601889487</f>
        <v>2.601889487E9</v>
      </c>
      <c r="X333" s="36" t="n">
        <f>22</f>
        <v>22.0</v>
      </c>
    </row>
    <row r="334">
      <c r="A334" s="27" t="s">
        <v>42</v>
      </c>
      <c r="B334" s="27" t="s">
        <v>1049</v>
      </c>
      <c r="C334" s="27" t="s">
        <v>1050</v>
      </c>
      <c r="D334" s="27" t="s">
        <v>1051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2687</f>
        <v>2687.0</v>
      </c>
      <c r="L334" s="34" t="s">
        <v>48</v>
      </c>
      <c r="M334" s="33" t="n">
        <f>2873</f>
        <v>2873.0</v>
      </c>
      <c r="N334" s="34" t="s">
        <v>51</v>
      </c>
      <c r="O334" s="33" t="n">
        <f>2648</f>
        <v>2648.0</v>
      </c>
      <c r="P334" s="34" t="s">
        <v>50</v>
      </c>
      <c r="Q334" s="33" t="n">
        <f>2860</f>
        <v>2860.0</v>
      </c>
      <c r="R334" s="34" t="s">
        <v>51</v>
      </c>
      <c r="S334" s="35" t="n">
        <f>2760.55</f>
        <v>2760.55</v>
      </c>
      <c r="T334" s="32" t="n">
        <f>5021</f>
        <v>5021.0</v>
      </c>
      <c r="U334" s="32" t="str">
        <f>"－"</f>
        <v>－</v>
      </c>
      <c r="V334" s="32" t="n">
        <f>13861498</f>
        <v>1.3861498E7</v>
      </c>
      <c r="W334" s="32" t="str">
        <f>"－"</f>
        <v>－</v>
      </c>
      <c r="X334" s="36" t="n">
        <f>22</f>
        <v>22.0</v>
      </c>
    </row>
    <row r="335">
      <c r="A335" s="27" t="s">
        <v>42</v>
      </c>
      <c r="B335" s="27" t="s">
        <v>1052</v>
      </c>
      <c r="C335" s="27" t="s">
        <v>1053</v>
      </c>
      <c r="D335" s="27" t="s">
        <v>1054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4142</f>
        <v>4142.0</v>
      </c>
      <c r="L335" s="34" t="s">
        <v>48</v>
      </c>
      <c r="M335" s="33" t="n">
        <f>4346</f>
        <v>4346.0</v>
      </c>
      <c r="N335" s="34" t="s">
        <v>61</v>
      </c>
      <c r="O335" s="33" t="n">
        <f>3401</f>
        <v>3401.0</v>
      </c>
      <c r="P335" s="34" t="s">
        <v>50</v>
      </c>
      <c r="Q335" s="33" t="n">
        <f>3790</f>
        <v>3790.0</v>
      </c>
      <c r="R335" s="34" t="s">
        <v>51</v>
      </c>
      <c r="S335" s="35" t="n">
        <f>3933.59</f>
        <v>3933.59</v>
      </c>
      <c r="T335" s="32" t="n">
        <f>428044</f>
        <v>428044.0</v>
      </c>
      <c r="U335" s="32" t="n">
        <f>12237</f>
        <v>12237.0</v>
      </c>
      <c r="V335" s="32" t="n">
        <f>1687384515</f>
        <v>1.687384515E9</v>
      </c>
      <c r="W335" s="32" t="n">
        <f>47961869</f>
        <v>4.7961869E7</v>
      </c>
      <c r="X335" s="36" t="n">
        <f>22</f>
        <v>22.0</v>
      </c>
    </row>
    <row r="336">
      <c r="A336" s="27" t="s">
        <v>42</v>
      </c>
      <c r="B336" s="27" t="s">
        <v>1055</v>
      </c>
      <c r="C336" s="27" t="s">
        <v>1056</v>
      </c>
      <c r="D336" s="27" t="s">
        <v>1057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6047</f>
        <v>6047.0</v>
      </c>
      <c r="L336" s="34" t="s">
        <v>48</v>
      </c>
      <c r="M336" s="33" t="n">
        <f>6111</f>
        <v>6111.0</v>
      </c>
      <c r="N336" s="34" t="s">
        <v>199</v>
      </c>
      <c r="O336" s="33" t="n">
        <f>5913</f>
        <v>5913.0</v>
      </c>
      <c r="P336" s="34" t="s">
        <v>104</v>
      </c>
      <c r="Q336" s="33" t="n">
        <f>6099</f>
        <v>6099.0</v>
      </c>
      <c r="R336" s="34" t="s">
        <v>51</v>
      </c>
      <c r="S336" s="35" t="n">
        <f>5989.68</f>
        <v>5989.68</v>
      </c>
      <c r="T336" s="32" t="n">
        <f>660839</f>
        <v>660839.0</v>
      </c>
      <c r="U336" s="32" t="n">
        <f>649984</f>
        <v>649984.0</v>
      </c>
      <c r="V336" s="32" t="n">
        <f>3994807266</f>
        <v>3.994807266E9</v>
      </c>
      <c r="W336" s="32" t="n">
        <f>3929711756</f>
        <v>3.929711756E9</v>
      </c>
      <c r="X336" s="36" t="n">
        <f>22</f>
        <v>22.0</v>
      </c>
    </row>
    <row r="337">
      <c r="A337" s="27" t="s">
        <v>42</v>
      </c>
      <c r="B337" s="27" t="s">
        <v>1058</v>
      </c>
      <c r="C337" s="27" t="s">
        <v>1059</v>
      </c>
      <c r="D337" s="27" t="s">
        <v>1060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3460</f>
        <v>3460.0</v>
      </c>
      <c r="L337" s="34" t="s">
        <v>48</v>
      </c>
      <c r="M337" s="33" t="n">
        <f>3460</f>
        <v>3460.0</v>
      </c>
      <c r="N337" s="34" t="s">
        <v>48</v>
      </c>
      <c r="O337" s="33" t="n">
        <f>3319</f>
        <v>3319.0</v>
      </c>
      <c r="P337" s="34" t="s">
        <v>199</v>
      </c>
      <c r="Q337" s="33" t="n">
        <f>3415</f>
        <v>3415.0</v>
      </c>
      <c r="R337" s="34" t="s">
        <v>51</v>
      </c>
      <c r="S337" s="35" t="n">
        <f>3395.05</f>
        <v>3395.05</v>
      </c>
      <c r="T337" s="32" t="n">
        <f>352271</f>
        <v>352271.0</v>
      </c>
      <c r="U337" s="32" t="n">
        <f>260000</f>
        <v>260000.0</v>
      </c>
      <c r="V337" s="32" t="n">
        <f>1193726476</f>
        <v>1.193726476E9</v>
      </c>
      <c r="W337" s="32" t="n">
        <f>880452400</f>
        <v>8.804524E8</v>
      </c>
      <c r="X337" s="36" t="n">
        <f>22</f>
        <v>22.0</v>
      </c>
    </row>
    <row r="338">
      <c r="A338" s="27" t="s">
        <v>42</v>
      </c>
      <c r="B338" s="27" t="s">
        <v>1061</v>
      </c>
      <c r="C338" s="27" t="s">
        <v>1062</v>
      </c>
      <c r="D338" s="27" t="s">
        <v>1063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10.0</v>
      </c>
      <c r="K338" s="33" t="n">
        <f>591</f>
        <v>591.0</v>
      </c>
      <c r="L338" s="34" t="s">
        <v>158</v>
      </c>
      <c r="M338" s="33" t="n">
        <f>599.2</f>
        <v>599.2</v>
      </c>
      <c r="N338" s="34" t="s">
        <v>61</v>
      </c>
      <c r="O338" s="33" t="n">
        <f>585.5</f>
        <v>585.5</v>
      </c>
      <c r="P338" s="34" t="s">
        <v>104</v>
      </c>
      <c r="Q338" s="33" t="n">
        <f>592.9</f>
        <v>592.9</v>
      </c>
      <c r="R338" s="34" t="s">
        <v>51</v>
      </c>
      <c r="S338" s="35" t="n">
        <f>589.55</f>
        <v>589.55</v>
      </c>
      <c r="T338" s="32" t="n">
        <f>5410</f>
        <v>5410.0</v>
      </c>
      <c r="U338" s="32" t="n">
        <f>70</f>
        <v>70.0</v>
      </c>
      <c r="V338" s="32" t="n">
        <f>3194770</f>
        <v>3194770.0</v>
      </c>
      <c r="W338" s="32" t="n">
        <f>41237</f>
        <v>41237.0</v>
      </c>
      <c r="X338" s="36" t="n">
        <f>19</f>
        <v>19.0</v>
      </c>
    </row>
    <row r="339">
      <c r="A339" s="27" t="s">
        <v>42</v>
      </c>
      <c r="B339" s="27" t="s">
        <v>1064</v>
      </c>
      <c r="C339" s="27" t="s">
        <v>1065</v>
      </c>
      <c r="D339" s="27" t="s">
        <v>1066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9950</f>
        <v>9950.0</v>
      </c>
      <c r="L339" s="34" t="s">
        <v>48</v>
      </c>
      <c r="M339" s="33" t="n">
        <f>10150</f>
        <v>10150.0</v>
      </c>
      <c r="N339" s="34" t="s">
        <v>66</v>
      </c>
      <c r="O339" s="33" t="n">
        <f>9802</f>
        <v>9802.0</v>
      </c>
      <c r="P339" s="34" t="s">
        <v>62</v>
      </c>
      <c r="Q339" s="33" t="n">
        <f>9860</f>
        <v>9860.0</v>
      </c>
      <c r="R339" s="34" t="s">
        <v>51</v>
      </c>
      <c r="S339" s="35" t="n">
        <f>9978.23</f>
        <v>9978.23</v>
      </c>
      <c r="T339" s="32" t="n">
        <f>3743</f>
        <v>3743.0</v>
      </c>
      <c r="U339" s="32" t="str">
        <f>"－"</f>
        <v>－</v>
      </c>
      <c r="V339" s="32" t="n">
        <f>37440957</f>
        <v>3.7440957E7</v>
      </c>
      <c r="W339" s="32" t="str">
        <f>"－"</f>
        <v>－</v>
      </c>
      <c r="X339" s="36" t="n">
        <f>22</f>
        <v>22.0</v>
      </c>
    </row>
    <row r="340">
      <c r="A340" s="27" t="s">
        <v>42</v>
      </c>
      <c r="B340" s="27" t="s">
        <v>1067</v>
      </c>
      <c r="C340" s="27" t="s">
        <v>1068</v>
      </c>
      <c r="D340" s="27" t="s">
        <v>1069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2535</f>
        <v>2535.0</v>
      </c>
      <c r="L340" s="34" t="s">
        <v>48</v>
      </c>
      <c r="M340" s="33" t="n">
        <f>3464</f>
        <v>3464.0</v>
      </c>
      <c r="N340" s="34" t="s">
        <v>61</v>
      </c>
      <c r="O340" s="33" t="n">
        <f>2410</f>
        <v>2410.0</v>
      </c>
      <c r="P340" s="34" t="s">
        <v>104</v>
      </c>
      <c r="Q340" s="33" t="n">
        <f>3150</f>
        <v>3150.0</v>
      </c>
      <c r="R340" s="34" t="s">
        <v>51</v>
      </c>
      <c r="S340" s="35" t="n">
        <f>2940.14</f>
        <v>2940.14</v>
      </c>
      <c r="T340" s="32" t="n">
        <f>12329556</f>
        <v>1.2329556E7</v>
      </c>
      <c r="U340" s="32" t="n">
        <f>723407</f>
        <v>723407.0</v>
      </c>
      <c r="V340" s="32" t="n">
        <f>37056822382</f>
        <v>3.7056822382E10</v>
      </c>
      <c r="W340" s="32" t="n">
        <f>1984211590</f>
        <v>1.98421159E9</v>
      </c>
      <c r="X340" s="36" t="n">
        <f>22</f>
        <v>22.0</v>
      </c>
    </row>
    <row r="341">
      <c r="A341" s="27" t="s">
        <v>42</v>
      </c>
      <c r="B341" s="27" t="s">
        <v>1070</v>
      </c>
      <c r="C341" s="27" t="s">
        <v>1071</v>
      </c>
      <c r="D341" s="27" t="s">
        <v>1072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2950</f>
        <v>2950.0</v>
      </c>
      <c r="L341" s="34" t="s">
        <v>48</v>
      </c>
      <c r="M341" s="33" t="n">
        <f>2980</f>
        <v>2980.0</v>
      </c>
      <c r="N341" s="34" t="s">
        <v>71</v>
      </c>
      <c r="O341" s="33" t="n">
        <f>2729</f>
        <v>2729.0</v>
      </c>
      <c r="P341" s="34" t="s">
        <v>123</v>
      </c>
      <c r="Q341" s="33" t="n">
        <f>2872</f>
        <v>2872.0</v>
      </c>
      <c r="R341" s="34" t="s">
        <v>51</v>
      </c>
      <c r="S341" s="35" t="n">
        <f>2822</f>
        <v>2822.0</v>
      </c>
      <c r="T341" s="32" t="n">
        <f>3618</f>
        <v>3618.0</v>
      </c>
      <c r="U341" s="32" t="str">
        <f>"－"</f>
        <v>－</v>
      </c>
      <c r="V341" s="32" t="n">
        <f>10215996</f>
        <v>1.0215996E7</v>
      </c>
      <c r="W341" s="32" t="str">
        <f>"－"</f>
        <v>－</v>
      </c>
      <c r="X341" s="36" t="n">
        <f>22</f>
        <v>22.0</v>
      </c>
    </row>
    <row r="342">
      <c r="A342" s="27" t="s">
        <v>42</v>
      </c>
      <c r="B342" s="27" t="s">
        <v>1073</v>
      </c>
      <c r="C342" s="27" t="s">
        <v>1074</v>
      </c>
      <c r="D342" s="27" t="s">
        <v>1075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4763</f>
        <v>4763.0</v>
      </c>
      <c r="L342" s="34" t="s">
        <v>48</v>
      </c>
      <c r="M342" s="33" t="n">
        <f>6600</f>
        <v>6600.0</v>
      </c>
      <c r="N342" s="34" t="s">
        <v>49</v>
      </c>
      <c r="O342" s="33" t="n">
        <f>4736</f>
        <v>4736.0</v>
      </c>
      <c r="P342" s="34" t="s">
        <v>50</v>
      </c>
      <c r="Q342" s="33" t="n">
        <f>5806</f>
        <v>5806.0</v>
      </c>
      <c r="R342" s="34" t="s">
        <v>51</v>
      </c>
      <c r="S342" s="35" t="n">
        <f>5592.55</f>
        <v>5592.55</v>
      </c>
      <c r="T342" s="32" t="n">
        <f>1470626</f>
        <v>1470626.0</v>
      </c>
      <c r="U342" s="32" t="n">
        <f>59340</f>
        <v>59340.0</v>
      </c>
      <c r="V342" s="32" t="n">
        <f>8456305182</f>
        <v>8.456305182E9</v>
      </c>
      <c r="W342" s="32" t="n">
        <f>380294063</f>
        <v>3.80294063E8</v>
      </c>
      <c r="X342" s="36" t="n">
        <f>22</f>
        <v>22.0</v>
      </c>
    </row>
    <row r="343">
      <c r="A343" s="27" t="s">
        <v>42</v>
      </c>
      <c r="B343" s="27" t="s">
        <v>1076</v>
      </c>
      <c r="C343" s="27" t="s">
        <v>1077</v>
      </c>
      <c r="D343" s="27" t="s">
        <v>1078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8850</f>
        <v>8850.0</v>
      </c>
      <c r="L343" s="34" t="s">
        <v>48</v>
      </c>
      <c r="M343" s="33" t="n">
        <f>9090</f>
        <v>9090.0</v>
      </c>
      <c r="N343" s="34" t="s">
        <v>51</v>
      </c>
      <c r="O343" s="33" t="n">
        <f>8805</f>
        <v>8805.0</v>
      </c>
      <c r="P343" s="34" t="s">
        <v>71</v>
      </c>
      <c r="Q343" s="33" t="n">
        <f>9084</f>
        <v>9084.0</v>
      </c>
      <c r="R343" s="34" t="s">
        <v>51</v>
      </c>
      <c r="S343" s="35" t="n">
        <f>8933.33</f>
        <v>8933.33</v>
      </c>
      <c r="T343" s="32" t="n">
        <f>126729</f>
        <v>126729.0</v>
      </c>
      <c r="U343" s="32" t="n">
        <f>101227</f>
        <v>101227.0</v>
      </c>
      <c r="V343" s="32" t="n">
        <f>1129629238</f>
        <v>1.129629238E9</v>
      </c>
      <c r="W343" s="32" t="n">
        <f>899891462</f>
        <v>8.99891462E8</v>
      </c>
      <c r="X343" s="36" t="n">
        <f>21</f>
        <v>21.0</v>
      </c>
    </row>
    <row r="344">
      <c r="A344" s="27" t="s">
        <v>42</v>
      </c>
      <c r="B344" s="27" t="s">
        <v>1079</v>
      </c>
      <c r="C344" s="27" t="s">
        <v>1080</v>
      </c>
      <c r="D344" s="27" t="s">
        <v>1081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5085</f>
        <v>5085.0</v>
      </c>
      <c r="L344" s="34" t="s">
        <v>48</v>
      </c>
      <c r="M344" s="33" t="n">
        <f>5113</f>
        <v>5113.0</v>
      </c>
      <c r="N344" s="34" t="s">
        <v>51</v>
      </c>
      <c r="O344" s="33" t="n">
        <f>5030</f>
        <v>5030.0</v>
      </c>
      <c r="P344" s="34" t="s">
        <v>104</v>
      </c>
      <c r="Q344" s="33" t="n">
        <f>5109</f>
        <v>5109.0</v>
      </c>
      <c r="R344" s="34" t="s">
        <v>51</v>
      </c>
      <c r="S344" s="35" t="n">
        <f>5073.36</f>
        <v>5073.36</v>
      </c>
      <c r="T344" s="32" t="n">
        <f>43938</f>
        <v>43938.0</v>
      </c>
      <c r="U344" s="32" t="n">
        <f>30020</f>
        <v>30020.0</v>
      </c>
      <c r="V344" s="32" t="n">
        <f>223744344</f>
        <v>2.23744344E8</v>
      </c>
      <c r="W344" s="32" t="n">
        <f>152903291</f>
        <v>1.52903291E8</v>
      </c>
      <c r="X344" s="36" t="n">
        <f>22</f>
        <v>22.0</v>
      </c>
    </row>
    <row r="345">
      <c r="A345" s="27" t="s">
        <v>42</v>
      </c>
      <c r="B345" s="27" t="s">
        <v>1082</v>
      </c>
      <c r="C345" s="27" t="s">
        <v>1083</v>
      </c>
      <c r="D345" s="27" t="s">
        <v>1084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1396</f>
        <v>1396.0</v>
      </c>
      <c r="L345" s="34" t="s">
        <v>48</v>
      </c>
      <c r="M345" s="33" t="n">
        <f>1442</f>
        <v>1442.0</v>
      </c>
      <c r="N345" s="34" t="s">
        <v>85</v>
      </c>
      <c r="O345" s="33" t="n">
        <f>1280</f>
        <v>1280.0</v>
      </c>
      <c r="P345" s="34" t="s">
        <v>50</v>
      </c>
      <c r="Q345" s="33" t="n">
        <f>1390</f>
        <v>1390.0</v>
      </c>
      <c r="R345" s="34" t="s">
        <v>51</v>
      </c>
      <c r="S345" s="35" t="n">
        <f>1389</f>
        <v>1389.0</v>
      </c>
      <c r="T345" s="32" t="n">
        <f>751069</f>
        <v>751069.0</v>
      </c>
      <c r="U345" s="32" t="str">
        <f>"－"</f>
        <v>－</v>
      </c>
      <c r="V345" s="32" t="n">
        <f>1047113001</f>
        <v>1.047113001E9</v>
      </c>
      <c r="W345" s="32" t="str">
        <f>"－"</f>
        <v>－</v>
      </c>
      <c r="X345" s="36" t="n">
        <f>22</f>
        <v>22.0</v>
      </c>
    </row>
    <row r="346">
      <c r="A346" s="27" t="s">
        <v>42</v>
      </c>
      <c r="B346" s="27" t="s">
        <v>1085</v>
      </c>
      <c r="C346" s="27" t="s">
        <v>1086</v>
      </c>
      <c r="D346" s="27" t="s">
        <v>1087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2795</f>
        <v>2795.0</v>
      </c>
      <c r="L346" s="34" t="s">
        <v>48</v>
      </c>
      <c r="M346" s="33" t="n">
        <f>2833</f>
        <v>2833.0</v>
      </c>
      <c r="N346" s="34" t="s">
        <v>49</v>
      </c>
      <c r="O346" s="33" t="n">
        <f>2619</f>
        <v>2619.0</v>
      </c>
      <c r="P346" s="34" t="s">
        <v>50</v>
      </c>
      <c r="Q346" s="33" t="n">
        <f>2795</f>
        <v>2795.0</v>
      </c>
      <c r="R346" s="34" t="s">
        <v>51</v>
      </c>
      <c r="S346" s="35" t="n">
        <f>2767.14</f>
        <v>2767.14</v>
      </c>
      <c r="T346" s="32" t="n">
        <f>6537037</f>
        <v>6537037.0</v>
      </c>
      <c r="U346" s="32" t="n">
        <f>495285</f>
        <v>495285.0</v>
      </c>
      <c r="V346" s="32" t="n">
        <f>18022740935</f>
        <v>1.8022740935E10</v>
      </c>
      <c r="W346" s="32" t="n">
        <f>1363118241</f>
        <v>1.363118241E9</v>
      </c>
      <c r="X346" s="36" t="n">
        <f>22</f>
        <v>22.0</v>
      </c>
    </row>
    <row r="347">
      <c r="A347" s="27" t="s">
        <v>42</v>
      </c>
      <c r="B347" s="27" t="s">
        <v>1088</v>
      </c>
      <c r="C347" s="27" t="s">
        <v>1089</v>
      </c>
      <c r="D347" s="27" t="s">
        <v>1090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1759</f>
        <v>1759.0</v>
      </c>
      <c r="L347" s="34" t="s">
        <v>48</v>
      </c>
      <c r="M347" s="33" t="n">
        <f>1773</f>
        <v>1773.0</v>
      </c>
      <c r="N347" s="34" t="s">
        <v>85</v>
      </c>
      <c r="O347" s="33" t="n">
        <f>1632</f>
        <v>1632.0</v>
      </c>
      <c r="P347" s="34" t="s">
        <v>50</v>
      </c>
      <c r="Q347" s="33" t="n">
        <f>1723</f>
        <v>1723.0</v>
      </c>
      <c r="R347" s="34" t="s">
        <v>51</v>
      </c>
      <c r="S347" s="35" t="n">
        <f>1723.32</f>
        <v>1723.32</v>
      </c>
      <c r="T347" s="32" t="n">
        <f>3916046</f>
        <v>3916046.0</v>
      </c>
      <c r="U347" s="32" t="n">
        <f>1972866</f>
        <v>1972866.0</v>
      </c>
      <c r="V347" s="32" t="n">
        <f>6803403021</f>
        <v>6.803403021E9</v>
      </c>
      <c r="W347" s="32" t="n">
        <f>3437959068</f>
        <v>3.437959068E9</v>
      </c>
      <c r="X347" s="36" t="n">
        <f>22</f>
        <v>22.0</v>
      </c>
    </row>
    <row r="348">
      <c r="A348" s="27" t="s">
        <v>42</v>
      </c>
      <c r="B348" s="27" t="s">
        <v>1091</v>
      </c>
      <c r="C348" s="27" t="s">
        <v>1092</v>
      </c>
      <c r="D348" s="27" t="s">
        <v>1093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11885</f>
        <v>11885.0</v>
      </c>
      <c r="L348" s="34" t="s">
        <v>48</v>
      </c>
      <c r="M348" s="33" t="n">
        <f>12770</f>
        <v>12770.0</v>
      </c>
      <c r="N348" s="34" t="s">
        <v>50</v>
      </c>
      <c r="O348" s="33" t="n">
        <f>11755</f>
        <v>11755.0</v>
      </c>
      <c r="P348" s="34" t="s">
        <v>85</v>
      </c>
      <c r="Q348" s="33" t="n">
        <f>12025</f>
        <v>12025.0</v>
      </c>
      <c r="R348" s="34" t="s">
        <v>51</v>
      </c>
      <c r="S348" s="35" t="n">
        <f>12045</f>
        <v>12045.0</v>
      </c>
      <c r="T348" s="32" t="n">
        <f>164463</f>
        <v>164463.0</v>
      </c>
      <c r="U348" s="32" t="n">
        <f>1181</f>
        <v>1181.0</v>
      </c>
      <c r="V348" s="32" t="n">
        <f>1994919534</f>
        <v>1.994919534E9</v>
      </c>
      <c r="W348" s="32" t="n">
        <f>14318409</f>
        <v>1.4318409E7</v>
      </c>
      <c r="X348" s="36" t="n">
        <f>22</f>
        <v>22.0</v>
      </c>
    </row>
    <row r="349">
      <c r="A349" s="27" t="s">
        <v>42</v>
      </c>
      <c r="B349" s="27" t="s">
        <v>1094</v>
      </c>
      <c r="C349" s="27" t="s">
        <v>1095</v>
      </c>
      <c r="D349" s="27" t="s">
        <v>1096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3800</f>
        <v>3800.0</v>
      </c>
      <c r="L349" s="34" t="s">
        <v>48</v>
      </c>
      <c r="M349" s="33" t="n">
        <f>3800</f>
        <v>3800.0</v>
      </c>
      <c r="N349" s="34" t="s">
        <v>48</v>
      </c>
      <c r="O349" s="33" t="n">
        <f>3725</f>
        <v>3725.0</v>
      </c>
      <c r="P349" s="34" t="s">
        <v>104</v>
      </c>
      <c r="Q349" s="33" t="n">
        <f>3788</f>
        <v>3788.0</v>
      </c>
      <c r="R349" s="34" t="s">
        <v>51</v>
      </c>
      <c r="S349" s="35" t="n">
        <f>3757.72</f>
        <v>3757.72</v>
      </c>
      <c r="T349" s="32" t="n">
        <f>289909</f>
        <v>289909.0</v>
      </c>
      <c r="U349" s="32" t="n">
        <f>269910</f>
        <v>269910.0</v>
      </c>
      <c r="V349" s="32" t="n">
        <f>1093327615</f>
        <v>1.093327615E9</v>
      </c>
      <c r="W349" s="32" t="n">
        <f>1018064803</f>
        <v>1.018064803E9</v>
      </c>
      <c r="X349" s="36" t="n">
        <f>18</f>
        <v>18.0</v>
      </c>
    </row>
    <row r="350">
      <c r="A350" s="27" t="s">
        <v>42</v>
      </c>
      <c r="B350" s="27" t="s">
        <v>1097</v>
      </c>
      <c r="C350" s="27" t="s">
        <v>1098</v>
      </c>
      <c r="D350" s="27" t="s">
        <v>1099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5700</f>
        <v>5700.0</v>
      </c>
      <c r="L350" s="34" t="s">
        <v>48</v>
      </c>
      <c r="M350" s="33" t="n">
        <f>5709</f>
        <v>5709.0</v>
      </c>
      <c r="N350" s="34" t="s">
        <v>48</v>
      </c>
      <c r="O350" s="33" t="n">
        <f>5584</f>
        <v>5584.0</v>
      </c>
      <c r="P350" s="34" t="s">
        <v>50</v>
      </c>
      <c r="Q350" s="33" t="n">
        <f>5642</f>
        <v>5642.0</v>
      </c>
      <c r="R350" s="34" t="s">
        <v>51</v>
      </c>
      <c r="S350" s="35" t="n">
        <f>5656.41</f>
        <v>5656.41</v>
      </c>
      <c r="T350" s="32" t="n">
        <f>1362748</f>
        <v>1362748.0</v>
      </c>
      <c r="U350" s="32" t="n">
        <f>1314620</f>
        <v>1314620.0</v>
      </c>
      <c r="V350" s="32" t="n">
        <f>7685759759</f>
        <v>7.685759759E9</v>
      </c>
      <c r="W350" s="32" t="n">
        <f>7414192113</f>
        <v>7.414192113E9</v>
      </c>
      <c r="X350" s="36" t="n">
        <f>22</f>
        <v>22.0</v>
      </c>
    </row>
    <row r="351">
      <c r="A351" s="27" t="s">
        <v>42</v>
      </c>
      <c r="B351" s="27" t="s">
        <v>1100</v>
      </c>
      <c r="C351" s="27" t="s">
        <v>1101</v>
      </c>
      <c r="D351" s="27" t="s">
        <v>1102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3677</f>
        <v>3677.0</v>
      </c>
      <c r="L351" s="34" t="s">
        <v>48</v>
      </c>
      <c r="M351" s="33" t="n">
        <f>3788</f>
        <v>3788.0</v>
      </c>
      <c r="N351" s="34" t="s">
        <v>66</v>
      </c>
      <c r="O351" s="33" t="n">
        <f>3420</f>
        <v>3420.0</v>
      </c>
      <c r="P351" s="34" t="s">
        <v>50</v>
      </c>
      <c r="Q351" s="33" t="n">
        <f>3608</f>
        <v>3608.0</v>
      </c>
      <c r="R351" s="34" t="s">
        <v>51</v>
      </c>
      <c r="S351" s="35" t="n">
        <f>3615.55</f>
        <v>3615.55</v>
      </c>
      <c r="T351" s="32" t="n">
        <f>1212880</f>
        <v>1212880.0</v>
      </c>
      <c r="U351" s="32" t="n">
        <f>821624</f>
        <v>821624.0</v>
      </c>
      <c r="V351" s="32" t="n">
        <f>4319858207</f>
        <v>4.319858207E9</v>
      </c>
      <c r="W351" s="32" t="n">
        <f>2908184602</f>
        <v>2.908184602E9</v>
      </c>
      <c r="X351" s="36" t="n">
        <f>22</f>
        <v>22.0</v>
      </c>
    </row>
    <row r="352">
      <c r="A352" s="27" t="s">
        <v>42</v>
      </c>
      <c r="B352" s="27" t="s">
        <v>1103</v>
      </c>
      <c r="C352" s="27" t="s">
        <v>1104</v>
      </c>
      <c r="D352" s="27" t="s">
        <v>1105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2478</f>
        <v>2478.0</v>
      </c>
      <c r="L352" s="34" t="s">
        <v>48</v>
      </c>
      <c r="M352" s="33" t="n">
        <f>2539</f>
        <v>2539.0</v>
      </c>
      <c r="N352" s="34" t="s">
        <v>51</v>
      </c>
      <c r="O352" s="33" t="n">
        <f>2417</f>
        <v>2417.0</v>
      </c>
      <c r="P352" s="34" t="s">
        <v>50</v>
      </c>
      <c r="Q352" s="33" t="n">
        <f>2533</f>
        <v>2533.0</v>
      </c>
      <c r="R352" s="34" t="s">
        <v>51</v>
      </c>
      <c r="S352" s="35" t="n">
        <f>2495.64</f>
        <v>2495.64</v>
      </c>
      <c r="T352" s="32" t="n">
        <f>849621</f>
        <v>849621.0</v>
      </c>
      <c r="U352" s="32" t="n">
        <f>646753</f>
        <v>646753.0</v>
      </c>
      <c r="V352" s="32" t="n">
        <f>2108210593</f>
        <v>2.108210593E9</v>
      </c>
      <c r="W352" s="32" t="n">
        <f>1604495516</f>
        <v>1.604495516E9</v>
      </c>
      <c r="X352" s="36" t="n">
        <f>22</f>
        <v>22.0</v>
      </c>
    </row>
    <row r="353">
      <c r="A353" s="27" t="s">
        <v>42</v>
      </c>
      <c r="B353" s="27" t="s">
        <v>1106</v>
      </c>
      <c r="C353" s="27" t="s">
        <v>1107</v>
      </c>
      <c r="D353" s="27" t="s">
        <v>1108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3280</f>
        <v>3280.0</v>
      </c>
      <c r="L353" s="34" t="s">
        <v>48</v>
      </c>
      <c r="M353" s="33" t="n">
        <f>3550</f>
        <v>3550.0</v>
      </c>
      <c r="N353" s="34" t="s">
        <v>48</v>
      </c>
      <c r="O353" s="33" t="n">
        <f>2876</f>
        <v>2876.0</v>
      </c>
      <c r="P353" s="34" t="s">
        <v>154</v>
      </c>
      <c r="Q353" s="33" t="n">
        <f>2998</f>
        <v>2998.0</v>
      </c>
      <c r="R353" s="34" t="s">
        <v>51</v>
      </c>
      <c r="S353" s="35" t="n">
        <f>3086.27</f>
        <v>3086.27</v>
      </c>
      <c r="T353" s="32" t="n">
        <f>116461</f>
        <v>116461.0</v>
      </c>
      <c r="U353" s="32" t="n">
        <f>65855</f>
        <v>65855.0</v>
      </c>
      <c r="V353" s="32" t="n">
        <f>358170819</f>
        <v>3.58170819E8</v>
      </c>
      <c r="W353" s="32" t="n">
        <f>199997025</f>
        <v>1.99997025E8</v>
      </c>
      <c r="X353" s="36" t="n">
        <f>22</f>
        <v>22.0</v>
      </c>
    </row>
    <row r="354">
      <c r="A354" s="27" t="s">
        <v>42</v>
      </c>
      <c r="B354" s="27" t="s">
        <v>1109</v>
      </c>
      <c r="C354" s="27" t="s">
        <v>1110</v>
      </c>
      <c r="D354" s="27" t="s">
        <v>1111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2997</f>
        <v>2997.0</v>
      </c>
      <c r="L354" s="34" t="s">
        <v>48</v>
      </c>
      <c r="M354" s="33" t="n">
        <f>3199</f>
        <v>3199.0</v>
      </c>
      <c r="N354" s="34" t="s">
        <v>70</v>
      </c>
      <c r="O354" s="33" t="n">
        <f>2860</f>
        <v>2860.0</v>
      </c>
      <c r="P354" s="34" t="s">
        <v>50</v>
      </c>
      <c r="Q354" s="33" t="n">
        <f>3063</f>
        <v>3063.0</v>
      </c>
      <c r="R354" s="34" t="s">
        <v>51</v>
      </c>
      <c r="S354" s="35" t="n">
        <f>3030.81</f>
        <v>3030.81</v>
      </c>
      <c r="T354" s="32" t="n">
        <f>3596</f>
        <v>3596.0</v>
      </c>
      <c r="U354" s="32" t="str">
        <f>"－"</f>
        <v>－</v>
      </c>
      <c r="V354" s="32" t="n">
        <f>10952964</f>
        <v>1.0952964E7</v>
      </c>
      <c r="W354" s="32" t="str">
        <f>"－"</f>
        <v>－</v>
      </c>
      <c r="X354" s="36" t="n">
        <f>21</f>
        <v>21.0</v>
      </c>
    </row>
    <row r="355">
      <c r="A355" s="27" t="s">
        <v>42</v>
      </c>
      <c r="B355" s="27" t="s">
        <v>1112</v>
      </c>
      <c r="C355" s="27" t="s">
        <v>1113</v>
      </c>
      <c r="D355" s="27" t="s">
        <v>1114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5366</f>
        <v>5366.0</v>
      </c>
      <c r="L355" s="34" t="s">
        <v>48</v>
      </c>
      <c r="M355" s="33" t="n">
        <f>5381</f>
        <v>5381.0</v>
      </c>
      <c r="N355" s="34" t="s">
        <v>51</v>
      </c>
      <c r="O355" s="33" t="n">
        <f>5093</f>
        <v>5093.0</v>
      </c>
      <c r="P355" s="34" t="s">
        <v>158</v>
      </c>
      <c r="Q355" s="33" t="n">
        <f>5357</f>
        <v>5357.0</v>
      </c>
      <c r="R355" s="34" t="s">
        <v>51</v>
      </c>
      <c r="S355" s="35" t="n">
        <f>5240.95</f>
        <v>5240.95</v>
      </c>
      <c r="T355" s="32" t="n">
        <f>34555</f>
        <v>34555.0</v>
      </c>
      <c r="U355" s="32" t="n">
        <f>19000</f>
        <v>19000.0</v>
      </c>
      <c r="V355" s="32" t="n">
        <f>181642883</f>
        <v>1.81642883E8</v>
      </c>
      <c r="W355" s="32" t="n">
        <f>100444830</f>
        <v>1.0044483E8</v>
      </c>
      <c r="X355" s="36" t="n">
        <f>22</f>
        <v>22.0</v>
      </c>
    </row>
    <row r="356">
      <c r="A356" s="27" t="s">
        <v>42</v>
      </c>
      <c r="B356" s="27" t="s">
        <v>1115</v>
      </c>
      <c r="C356" s="27" t="s">
        <v>1116</v>
      </c>
      <c r="D356" s="27" t="s">
        <v>1117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379.9</f>
        <v>379.9</v>
      </c>
      <c r="L356" s="34" t="s">
        <v>48</v>
      </c>
      <c r="M356" s="33" t="n">
        <f>402.6</f>
        <v>402.6</v>
      </c>
      <c r="N356" s="34" t="s">
        <v>66</v>
      </c>
      <c r="O356" s="33" t="n">
        <f>370.2</f>
        <v>370.2</v>
      </c>
      <c r="P356" s="34" t="s">
        <v>104</v>
      </c>
      <c r="Q356" s="33" t="n">
        <f>394.2</f>
        <v>394.2</v>
      </c>
      <c r="R356" s="34" t="s">
        <v>51</v>
      </c>
      <c r="S356" s="35" t="n">
        <f>386.31</f>
        <v>386.31</v>
      </c>
      <c r="T356" s="32" t="n">
        <f>112800</f>
        <v>112800.0</v>
      </c>
      <c r="U356" s="32" t="n">
        <f>140</f>
        <v>140.0</v>
      </c>
      <c r="V356" s="32" t="n">
        <f>44672141</f>
        <v>4.4672141E7</v>
      </c>
      <c r="W356" s="32" t="n">
        <f>53769</f>
        <v>53769.0</v>
      </c>
      <c r="X356" s="36" t="n">
        <f>22</f>
        <v>22.0</v>
      </c>
    </row>
    <row r="357">
      <c r="A357" s="27" t="s">
        <v>42</v>
      </c>
      <c r="B357" s="27" t="s">
        <v>1118</v>
      </c>
      <c r="C357" s="27" t="s">
        <v>1119</v>
      </c>
      <c r="D357" s="27" t="s">
        <v>1120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176.9</f>
        <v>176.9</v>
      </c>
      <c r="L357" s="34" t="s">
        <v>48</v>
      </c>
      <c r="M357" s="33" t="n">
        <f>178.1</f>
        <v>178.1</v>
      </c>
      <c r="N357" s="34" t="s">
        <v>51</v>
      </c>
      <c r="O357" s="33" t="n">
        <f>169.8</f>
        <v>169.8</v>
      </c>
      <c r="P357" s="34" t="s">
        <v>104</v>
      </c>
      <c r="Q357" s="33" t="n">
        <f>177.1</f>
        <v>177.1</v>
      </c>
      <c r="R357" s="34" t="s">
        <v>51</v>
      </c>
      <c r="S357" s="35" t="n">
        <f>173.1</f>
        <v>173.1</v>
      </c>
      <c r="T357" s="32" t="n">
        <f>1673890</f>
        <v>1673890.0</v>
      </c>
      <c r="U357" s="32" t="n">
        <f>730270</f>
        <v>730270.0</v>
      </c>
      <c r="V357" s="32" t="n">
        <f>289481059</f>
        <v>2.89481059E8</v>
      </c>
      <c r="W357" s="32" t="n">
        <f>126615098</f>
        <v>1.26615098E8</v>
      </c>
      <c r="X357" s="36" t="n">
        <f>22</f>
        <v>22.0</v>
      </c>
    </row>
    <row r="358">
      <c r="A358" s="27" t="s">
        <v>42</v>
      </c>
      <c r="B358" s="27" t="s">
        <v>1121</v>
      </c>
      <c r="C358" s="27" t="s">
        <v>1122</v>
      </c>
      <c r="D358" s="27" t="s">
        <v>1123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624.1</f>
        <v>624.1</v>
      </c>
      <c r="L358" s="34" t="s">
        <v>48</v>
      </c>
      <c r="M358" s="33" t="n">
        <f>635.8</f>
        <v>635.8</v>
      </c>
      <c r="N358" s="34" t="s">
        <v>154</v>
      </c>
      <c r="O358" s="33" t="n">
        <f>621.3</f>
        <v>621.3</v>
      </c>
      <c r="P358" s="34" t="s">
        <v>214</v>
      </c>
      <c r="Q358" s="33" t="n">
        <f>628.6</f>
        <v>628.6</v>
      </c>
      <c r="R358" s="34" t="s">
        <v>51</v>
      </c>
      <c r="S358" s="35" t="n">
        <f>628.26</f>
        <v>628.26</v>
      </c>
      <c r="T358" s="32" t="n">
        <f>19350</f>
        <v>19350.0</v>
      </c>
      <c r="U358" s="32" t="str">
        <f>"－"</f>
        <v>－</v>
      </c>
      <c r="V358" s="32" t="n">
        <f>12188336</f>
        <v>1.2188336E7</v>
      </c>
      <c r="W358" s="32" t="str">
        <f>"－"</f>
        <v>－</v>
      </c>
      <c r="X358" s="36" t="n">
        <f>14</f>
        <v>14.0</v>
      </c>
    </row>
    <row r="359">
      <c r="A359" s="27" t="s">
        <v>42</v>
      </c>
      <c r="B359" s="27" t="s">
        <v>1124</v>
      </c>
      <c r="C359" s="27" t="s">
        <v>1125</v>
      </c>
      <c r="D359" s="27" t="s">
        <v>1126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2564</f>
        <v>2564.0</v>
      </c>
      <c r="L359" s="34" t="s">
        <v>48</v>
      </c>
      <c r="M359" s="33" t="n">
        <f>2886</f>
        <v>2886.0</v>
      </c>
      <c r="N359" s="34" t="s">
        <v>49</v>
      </c>
      <c r="O359" s="33" t="n">
        <f>2450</f>
        <v>2450.0</v>
      </c>
      <c r="P359" s="34" t="s">
        <v>50</v>
      </c>
      <c r="Q359" s="33" t="n">
        <f>2884</f>
        <v>2884.0</v>
      </c>
      <c r="R359" s="34" t="s">
        <v>51</v>
      </c>
      <c r="S359" s="35" t="n">
        <f>2703.09</f>
        <v>2703.09</v>
      </c>
      <c r="T359" s="32" t="n">
        <f>1903192</f>
        <v>1903192.0</v>
      </c>
      <c r="U359" s="32" t="n">
        <f>4750</f>
        <v>4750.0</v>
      </c>
      <c r="V359" s="32" t="n">
        <f>5124582407</f>
        <v>5.124582407E9</v>
      </c>
      <c r="W359" s="32" t="n">
        <f>12596101</f>
        <v>1.2596101E7</v>
      </c>
      <c r="X359" s="36" t="n">
        <f>22</f>
        <v>22.0</v>
      </c>
    </row>
    <row r="360">
      <c r="A360" s="27" t="s">
        <v>42</v>
      </c>
      <c r="B360" s="27" t="s">
        <v>1127</v>
      </c>
      <c r="C360" s="27" t="s">
        <v>1128</v>
      </c>
      <c r="D360" s="27" t="s">
        <v>1129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955</f>
        <v>955.0</v>
      </c>
      <c r="L360" s="34" t="s">
        <v>48</v>
      </c>
      <c r="M360" s="33" t="n">
        <f>969</f>
        <v>969.0</v>
      </c>
      <c r="N360" s="34" t="s">
        <v>51</v>
      </c>
      <c r="O360" s="33" t="n">
        <f>913</f>
        <v>913.0</v>
      </c>
      <c r="P360" s="34" t="s">
        <v>104</v>
      </c>
      <c r="Q360" s="33" t="n">
        <f>969</f>
        <v>969.0</v>
      </c>
      <c r="R360" s="34" t="s">
        <v>51</v>
      </c>
      <c r="S360" s="35" t="n">
        <f>935.36</f>
        <v>935.36</v>
      </c>
      <c r="T360" s="32" t="n">
        <f>137567</f>
        <v>137567.0</v>
      </c>
      <c r="U360" s="32" t="n">
        <f>20</f>
        <v>20.0</v>
      </c>
      <c r="V360" s="32" t="n">
        <f>128224162</f>
        <v>1.28224162E8</v>
      </c>
      <c r="W360" s="32" t="n">
        <f>18980</f>
        <v>18980.0</v>
      </c>
      <c r="X360" s="36" t="n">
        <f>22</f>
        <v>22.0</v>
      </c>
    </row>
    <row r="361">
      <c r="A361" s="27" t="s">
        <v>42</v>
      </c>
      <c r="B361" s="27" t="s">
        <v>1130</v>
      </c>
      <c r="C361" s="27" t="s">
        <v>1131</v>
      </c>
      <c r="D361" s="27" t="s">
        <v>1132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657.9</f>
        <v>657.9</v>
      </c>
      <c r="L361" s="34" t="s">
        <v>48</v>
      </c>
      <c r="M361" s="33" t="n">
        <f>661.6</f>
        <v>661.6</v>
      </c>
      <c r="N361" s="34" t="s">
        <v>72</v>
      </c>
      <c r="O361" s="33" t="n">
        <f>653.8</f>
        <v>653.8</v>
      </c>
      <c r="P361" s="34" t="s">
        <v>104</v>
      </c>
      <c r="Q361" s="33" t="n">
        <f>659.4</f>
        <v>659.4</v>
      </c>
      <c r="R361" s="34" t="s">
        <v>51</v>
      </c>
      <c r="S361" s="35" t="n">
        <f>657.04</f>
        <v>657.04</v>
      </c>
      <c r="T361" s="32" t="n">
        <f>2400080</f>
        <v>2400080.0</v>
      </c>
      <c r="U361" s="32" t="n">
        <f>1642110</f>
        <v>1642110.0</v>
      </c>
      <c r="V361" s="32" t="n">
        <f>1575887591</f>
        <v>1.575887591E9</v>
      </c>
      <c r="W361" s="32" t="n">
        <f>1078136880</f>
        <v>1.07813688E9</v>
      </c>
      <c r="X361" s="36" t="n">
        <f>22</f>
        <v>22.0</v>
      </c>
    </row>
    <row r="362">
      <c r="A362" s="27" t="s">
        <v>42</v>
      </c>
      <c r="B362" s="27" t="s">
        <v>1133</v>
      </c>
      <c r="C362" s="27" t="s">
        <v>1134</v>
      </c>
      <c r="D362" s="27" t="s">
        <v>1135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635.2</f>
        <v>635.2</v>
      </c>
      <c r="L362" s="34" t="s">
        <v>48</v>
      </c>
      <c r="M362" s="33" t="n">
        <f>639.9</f>
        <v>639.9</v>
      </c>
      <c r="N362" s="34" t="s">
        <v>123</v>
      </c>
      <c r="O362" s="33" t="n">
        <f>623.3</f>
        <v>623.3</v>
      </c>
      <c r="P362" s="34" t="s">
        <v>154</v>
      </c>
      <c r="Q362" s="33" t="n">
        <f>638.7</f>
        <v>638.7</v>
      </c>
      <c r="R362" s="34" t="s">
        <v>72</v>
      </c>
      <c r="S362" s="35" t="n">
        <f>634.49</f>
        <v>634.49</v>
      </c>
      <c r="T362" s="32" t="n">
        <f>1219670</f>
        <v>1219670.0</v>
      </c>
      <c r="U362" s="32" t="n">
        <f>327860</f>
        <v>327860.0</v>
      </c>
      <c r="V362" s="32" t="n">
        <f>774124106</f>
        <v>7.74124106E8</v>
      </c>
      <c r="W362" s="32" t="n">
        <f>208278263</f>
        <v>2.08278263E8</v>
      </c>
      <c r="X362" s="36" t="n">
        <f>21</f>
        <v>21.0</v>
      </c>
    </row>
    <row r="363">
      <c r="A363" s="27" t="s">
        <v>42</v>
      </c>
      <c r="B363" s="27" t="s">
        <v>1136</v>
      </c>
      <c r="C363" s="27" t="s">
        <v>1137</v>
      </c>
      <c r="D363" s="27" t="s">
        <v>1138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1482</f>
        <v>1482.0</v>
      </c>
      <c r="L363" s="34" t="s">
        <v>48</v>
      </c>
      <c r="M363" s="33" t="n">
        <f>1543</f>
        <v>1543.0</v>
      </c>
      <c r="N363" s="34" t="s">
        <v>214</v>
      </c>
      <c r="O363" s="33" t="n">
        <f>1450</f>
        <v>1450.0</v>
      </c>
      <c r="P363" s="34" t="s">
        <v>48</v>
      </c>
      <c r="Q363" s="33" t="n">
        <f>1516</f>
        <v>1516.0</v>
      </c>
      <c r="R363" s="34" t="s">
        <v>51</v>
      </c>
      <c r="S363" s="35" t="n">
        <f>1500.05</f>
        <v>1500.05</v>
      </c>
      <c r="T363" s="32" t="n">
        <f>40824</f>
        <v>40824.0</v>
      </c>
      <c r="U363" s="32" t="str">
        <f>"－"</f>
        <v>－</v>
      </c>
      <c r="V363" s="32" t="n">
        <f>61399216</f>
        <v>6.1399216E7</v>
      </c>
      <c r="W363" s="32" t="str">
        <f>"－"</f>
        <v>－</v>
      </c>
      <c r="X363" s="36" t="n">
        <f>22</f>
        <v>22.0</v>
      </c>
    </row>
    <row r="364">
      <c r="A364" s="27" t="s">
        <v>42</v>
      </c>
      <c r="B364" s="27" t="s">
        <v>1139</v>
      </c>
      <c r="C364" s="27" t="s">
        <v>1140</v>
      </c>
      <c r="D364" s="27" t="s">
        <v>1141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3115</f>
        <v>3115.0</v>
      </c>
      <c r="L364" s="34" t="s">
        <v>48</v>
      </c>
      <c r="M364" s="33" t="n">
        <f>3179</f>
        <v>3179.0</v>
      </c>
      <c r="N364" s="34" t="s">
        <v>375</v>
      </c>
      <c r="O364" s="33" t="n">
        <f>2994</f>
        <v>2994.0</v>
      </c>
      <c r="P364" s="34" t="s">
        <v>104</v>
      </c>
      <c r="Q364" s="33" t="n">
        <f>3154</f>
        <v>3154.0</v>
      </c>
      <c r="R364" s="34" t="s">
        <v>51</v>
      </c>
      <c r="S364" s="35" t="n">
        <f>3109.32</f>
        <v>3109.32</v>
      </c>
      <c r="T364" s="32" t="n">
        <f>152743</f>
        <v>152743.0</v>
      </c>
      <c r="U364" s="32" t="n">
        <f>66000</f>
        <v>66000.0</v>
      </c>
      <c r="V364" s="32" t="n">
        <f>471252934</f>
        <v>4.71252934E8</v>
      </c>
      <c r="W364" s="32" t="n">
        <f>203712133</f>
        <v>2.03712133E8</v>
      </c>
      <c r="X364" s="36" t="n">
        <f>22</f>
        <v>22.0</v>
      </c>
    </row>
    <row r="365">
      <c r="A365" s="27" t="s">
        <v>42</v>
      </c>
      <c r="B365" s="27" t="s">
        <v>1142</v>
      </c>
      <c r="C365" s="27" t="s">
        <v>1143</v>
      </c>
      <c r="D365" s="27" t="s">
        <v>1144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3195</f>
        <v>3195.0</v>
      </c>
      <c r="L365" s="34" t="s">
        <v>48</v>
      </c>
      <c r="M365" s="33" t="n">
        <f>3221</f>
        <v>3221.0</v>
      </c>
      <c r="N365" s="34" t="s">
        <v>48</v>
      </c>
      <c r="O365" s="33" t="n">
        <f>3024</f>
        <v>3024.0</v>
      </c>
      <c r="P365" s="34" t="s">
        <v>50</v>
      </c>
      <c r="Q365" s="33" t="n">
        <f>3122</f>
        <v>3122.0</v>
      </c>
      <c r="R365" s="34" t="s">
        <v>51</v>
      </c>
      <c r="S365" s="35" t="n">
        <f>3133.18</f>
        <v>3133.18</v>
      </c>
      <c r="T365" s="32" t="n">
        <f>46740</f>
        <v>46740.0</v>
      </c>
      <c r="U365" s="32" t="n">
        <f>460</f>
        <v>460.0</v>
      </c>
      <c r="V365" s="32" t="n">
        <f>146877475</f>
        <v>1.46877475E8</v>
      </c>
      <c r="W365" s="32" t="n">
        <f>1432066</f>
        <v>1432066.0</v>
      </c>
      <c r="X365" s="36" t="n">
        <f>22</f>
        <v>22.0</v>
      </c>
    </row>
    <row r="366">
      <c r="A366" s="27" t="s">
        <v>42</v>
      </c>
      <c r="B366" s="27" t="s">
        <v>1145</v>
      </c>
      <c r="C366" s="27" t="s">
        <v>1146</v>
      </c>
      <c r="D366" s="27" t="s">
        <v>1147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5900</f>
        <v>5900.0</v>
      </c>
      <c r="L366" s="34" t="s">
        <v>48</v>
      </c>
      <c r="M366" s="33" t="n">
        <f>5998</f>
        <v>5998.0</v>
      </c>
      <c r="N366" s="34" t="s">
        <v>375</v>
      </c>
      <c r="O366" s="33" t="n">
        <f>5758</f>
        <v>5758.0</v>
      </c>
      <c r="P366" s="34" t="s">
        <v>62</v>
      </c>
      <c r="Q366" s="33" t="n">
        <f>5872</f>
        <v>5872.0</v>
      </c>
      <c r="R366" s="34" t="s">
        <v>51</v>
      </c>
      <c r="S366" s="35" t="n">
        <f>5862.14</f>
        <v>5862.14</v>
      </c>
      <c r="T366" s="32" t="n">
        <f>6153</f>
        <v>6153.0</v>
      </c>
      <c r="U366" s="32" t="str">
        <f>"－"</f>
        <v>－</v>
      </c>
      <c r="V366" s="32" t="n">
        <f>35982892</f>
        <v>3.5982892E7</v>
      </c>
      <c r="W366" s="32" t="str">
        <f>"－"</f>
        <v>－</v>
      </c>
      <c r="X366" s="36" t="n">
        <f>22</f>
        <v>22.0</v>
      </c>
    </row>
    <row r="367">
      <c r="A367" s="27" t="s">
        <v>42</v>
      </c>
      <c r="B367" s="27" t="s">
        <v>1148</v>
      </c>
      <c r="C367" s="27" t="s">
        <v>1149</v>
      </c>
      <c r="D367" s="27" t="s">
        <v>1150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3959</f>
        <v>3959.0</v>
      </c>
      <c r="L367" s="34" t="s">
        <v>210</v>
      </c>
      <c r="M367" s="33" t="n">
        <f>3998</f>
        <v>3998.0</v>
      </c>
      <c r="N367" s="34" t="s">
        <v>51</v>
      </c>
      <c r="O367" s="33" t="n">
        <f>3929</f>
        <v>3929.0</v>
      </c>
      <c r="P367" s="34" t="s">
        <v>62</v>
      </c>
      <c r="Q367" s="33" t="n">
        <f>3998</f>
        <v>3998.0</v>
      </c>
      <c r="R367" s="34" t="s">
        <v>51</v>
      </c>
      <c r="S367" s="35" t="n">
        <f>3976.75</f>
        <v>3976.75</v>
      </c>
      <c r="T367" s="32" t="n">
        <f>150153</f>
        <v>150153.0</v>
      </c>
      <c r="U367" s="32" t="n">
        <f>148940</f>
        <v>148940.0</v>
      </c>
      <c r="V367" s="32" t="n">
        <f>597697199</f>
        <v>5.97697199E8</v>
      </c>
      <c r="W367" s="32" t="n">
        <f>592866095</f>
        <v>5.92866095E8</v>
      </c>
      <c r="X367" s="36" t="n">
        <f>8</f>
        <v>8.0</v>
      </c>
    </row>
    <row r="368">
      <c r="A368" s="27" t="s">
        <v>42</v>
      </c>
      <c r="B368" s="27" t="s">
        <v>1151</v>
      </c>
      <c r="C368" s="27" t="s">
        <v>1152</v>
      </c>
      <c r="D368" s="27" t="s">
        <v>1153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1444</f>
        <v>1444.0</v>
      </c>
      <c r="L368" s="34" t="s">
        <v>48</v>
      </c>
      <c r="M368" s="33" t="n">
        <f>1500</f>
        <v>1500.0</v>
      </c>
      <c r="N368" s="34" t="s">
        <v>85</v>
      </c>
      <c r="O368" s="33" t="n">
        <f>1389</f>
        <v>1389.0</v>
      </c>
      <c r="P368" s="34" t="s">
        <v>210</v>
      </c>
      <c r="Q368" s="33" t="n">
        <f>1441</f>
        <v>1441.0</v>
      </c>
      <c r="R368" s="34" t="s">
        <v>51</v>
      </c>
      <c r="S368" s="35" t="n">
        <f>1421.77</f>
        <v>1421.77</v>
      </c>
      <c r="T368" s="32" t="n">
        <f>54979</f>
        <v>54979.0</v>
      </c>
      <c r="U368" s="32" t="str">
        <f>"－"</f>
        <v>－</v>
      </c>
      <c r="V368" s="32" t="n">
        <f>77463569</f>
        <v>7.7463569E7</v>
      </c>
      <c r="W368" s="32" t="str">
        <f>"－"</f>
        <v>－</v>
      </c>
      <c r="X368" s="36" t="n">
        <f>22</f>
        <v>22.0</v>
      </c>
    </row>
    <row r="369">
      <c r="A369" s="27" t="s">
        <v>42</v>
      </c>
      <c r="B369" s="27" t="s">
        <v>1154</v>
      </c>
      <c r="C369" s="27" t="s">
        <v>1155</v>
      </c>
      <c r="D369" s="27" t="s">
        <v>1156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1276</f>
        <v>1276.0</v>
      </c>
      <c r="L369" s="34" t="s">
        <v>48</v>
      </c>
      <c r="M369" s="33" t="n">
        <f>1309</f>
        <v>1309.0</v>
      </c>
      <c r="N369" s="34" t="s">
        <v>49</v>
      </c>
      <c r="O369" s="33" t="n">
        <f>1236</f>
        <v>1236.0</v>
      </c>
      <c r="P369" s="34" t="s">
        <v>50</v>
      </c>
      <c r="Q369" s="33" t="n">
        <f>1307</f>
        <v>1307.0</v>
      </c>
      <c r="R369" s="34" t="s">
        <v>51</v>
      </c>
      <c r="S369" s="35" t="n">
        <f>1281.27</f>
        <v>1281.27</v>
      </c>
      <c r="T369" s="32" t="n">
        <f>9200574</f>
        <v>9200574.0</v>
      </c>
      <c r="U369" s="32" t="n">
        <f>1470</f>
        <v>1470.0</v>
      </c>
      <c r="V369" s="32" t="n">
        <f>11814102965</f>
        <v>1.1814102965E10</v>
      </c>
      <c r="W369" s="32" t="n">
        <f>1884352</f>
        <v>1884352.0</v>
      </c>
      <c r="X369" s="36" t="n">
        <f>22</f>
        <v>22.0</v>
      </c>
    </row>
    <row r="370">
      <c r="A370" s="27" t="s">
        <v>42</v>
      </c>
      <c r="B370" s="27" t="s">
        <v>1157</v>
      </c>
      <c r="C370" s="27" t="s">
        <v>1158</v>
      </c>
      <c r="D370" s="27" t="s">
        <v>1159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1017</f>
        <v>1017.0</v>
      </c>
      <c r="L370" s="34" t="s">
        <v>48</v>
      </c>
      <c r="M370" s="33" t="n">
        <f>1028</f>
        <v>1028.0</v>
      </c>
      <c r="N370" s="34" t="s">
        <v>158</v>
      </c>
      <c r="O370" s="33" t="n">
        <f>1000</f>
        <v>1000.0</v>
      </c>
      <c r="P370" s="34" t="s">
        <v>50</v>
      </c>
      <c r="Q370" s="33" t="n">
        <f>1016</f>
        <v>1016.0</v>
      </c>
      <c r="R370" s="34" t="s">
        <v>51</v>
      </c>
      <c r="S370" s="35" t="n">
        <f>1015.14</f>
        <v>1015.14</v>
      </c>
      <c r="T370" s="32" t="n">
        <f>665857</f>
        <v>665857.0</v>
      </c>
      <c r="U370" s="32" t="str">
        <f>"－"</f>
        <v>－</v>
      </c>
      <c r="V370" s="32" t="n">
        <f>677327614</f>
        <v>6.77327614E8</v>
      </c>
      <c r="W370" s="32" t="str">
        <f>"－"</f>
        <v>－</v>
      </c>
      <c r="X370" s="36" t="n">
        <f>22</f>
        <v>22.0</v>
      </c>
    </row>
    <row r="371">
      <c r="A371" s="27" t="s">
        <v>42</v>
      </c>
      <c r="B371" s="27" t="s">
        <v>1160</v>
      </c>
      <c r="C371" s="27" t="s">
        <v>1161</v>
      </c>
      <c r="D371" s="27" t="s">
        <v>1162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2157</f>
        <v>2157.0</v>
      </c>
      <c r="L371" s="34" t="s">
        <v>48</v>
      </c>
      <c r="M371" s="33" t="n">
        <f>2552</f>
        <v>2552.0</v>
      </c>
      <c r="N371" s="34" t="s">
        <v>104</v>
      </c>
      <c r="O371" s="33" t="n">
        <f>1880</f>
        <v>1880.0</v>
      </c>
      <c r="P371" s="34" t="s">
        <v>72</v>
      </c>
      <c r="Q371" s="33" t="n">
        <f>1923</f>
        <v>1923.0</v>
      </c>
      <c r="R371" s="34" t="s">
        <v>51</v>
      </c>
      <c r="S371" s="35" t="n">
        <f>2012.18</f>
        <v>2012.18</v>
      </c>
      <c r="T371" s="32" t="n">
        <f>167261</f>
        <v>167261.0</v>
      </c>
      <c r="U371" s="32" t="str">
        <f>"－"</f>
        <v>－</v>
      </c>
      <c r="V371" s="32" t="n">
        <f>340494309</f>
        <v>3.40494309E8</v>
      </c>
      <c r="W371" s="32" t="str">
        <f>"－"</f>
        <v>－</v>
      </c>
      <c r="X371" s="36" t="n">
        <f>22</f>
        <v>22.0</v>
      </c>
    </row>
    <row r="372">
      <c r="A372" s="27" t="s">
        <v>42</v>
      </c>
      <c r="B372" s="27" t="s">
        <v>1163</v>
      </c>
      <c r="C372" s="27" t="s">
        <v>1164</v>
      </c>
      <c r="D372" s="27" t="s">
        <v>1165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1132</f>
        <v>1132.0</v>
      </c>
      <c r="L372" s="34" t="s">
        <v>48</v>
      </c>
      <c r="M372" s="33" t="n">
        <f>1147</f>
        <v>1147.0</v>
      </c>
      <c r="N372" s="34" t="s">
        <v>66</v>
      </c>
      <c r="O372" s="33" t="n">
        <f>1104</f>
        <v>1104.0</v>
      </c>
      <c r="P372" s="34" t="s">
        <v>50</v>
      </c>
      <c r="Q372" s="33" t="n">
        <f>1146</f>
        <v>1146.0</v>
      </c>
      <c r="R372" s="34" t="s">
        <v>51</v>
      </c>
      <c r="S372" s="35" t="n">
        <f>1132.14</f>
        <v>1132.14</v>
      </c>
      <c r="T372" s="32" t="n">
        <f>1148130</f>
        <v>1148130.0</v>
      </c>
      <c r="U372" s="32" t="n">
        <f>353</f>
        <v>353.0</v>
      </c>
      <c r="V372" s="32" t="n">
        <f>1295879443</f>
        <v>1.295879443E9</v>
      </c>
      <c r="W372" s="32" t="n">
        <f>398618</f>
        <v>398618.0</v>
      </c>
      <c r="X372" s="36" t="n">
        <f>22</f>
        <v>22.0</v>
      </c>
    </row>
    <row r="373">
      <c r="A373" s="27" t="s">
        <v>42</v>
      </c>
      <c r="B373" s="27" t="s">
        <v>1166</v>
      </c>
      <c r="C373" s="27" t="s">
        <v>1167</v>
      </c>
      <c r="D373" s="27" t="s">
        <v>1168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81040</f>
        <v>81040.0</v>
      </c>
      <c r="L373" s="34" t="s">
        <v>48</v>
      </c>
      <c r="M373" s="33" t="n">
        <f>82350</f>
        <v>82350.0</v>
      </c>
      <c r="N373" s="34" t="s">
        <v>85</v>
      </c>
      <c r="O373" s="33" t="n">
        <f>69800</f>
        <v>69800.0</v>
      </c>
      <c r="P373" s="34" t="s">
        <v>50</v>
      </c>
      <c r="Q373" s="33" t="n">
        <f>77120</f>
        <v>77120.0</v>
      </c>
      <c r="R373" s="34" t="s">
        <v>51</v>
      </c>
      <c r="S373" s="35" t="n">
        <f>77716.36</f>
        <v>77716.36</v>
      </c>
      <c r="T373" s="32" t="n">
        <f>458907</f>
        <v>458907.0</v>
      </c>
      <c r="U373" s="32" t="n">
        <f>4814</f>
        <v>4814.0</v>
      </c>
      <c r="V373" s="32" t="n">
        <f>35686349671</f>
        <v>3.5686349671E10</v>
      </c>
      <c r="W373" s="32" t="n">
        <f>371256531</f>
        <v>3.71256531E8</v>
      </c>
      <c r="X373" s="36" t="n">
        <f>22</f>
        <v>22.0</v>
      </c>
    </row>
    <row r="374">
      <c r="A374" s="27" t="s">
        <v>42</v>
      </c>
      <c r="B374" s="27" t="s">
        <v>1169</v>
      </c>
      <c r="C374" s="27" t="s">
        <v>1170</v>
      </c>
      <c r="D374" s="27" t="s">
        <v>1171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7330</f>
        <v>7330.0</v>
      </c>
      <c r="L374" s="34" t="s">
        <v>48</v>
      </c>
      <c r="M374" s="33" t="n">
        <f>8400</f>
        <v>8400.0</v>
      </c>
      <c r="N374" s="34" t="s">
        <v>50</v>
      </c>
      <c r="O374" s="33" t="n">
        <f>7187</f>
        <v>7187.0</v>
      </c>
      <c r="P374" s="34" t="s">
        <v>214</v>
      </c>
      <c r="Q374" s="33" t="n">
        <f>7470</f>
        <v>7470.0</v>
      </c>
      <c r="R374" s="34" t="s">
        <v>51</v>
      </c>
      <c r="S374" s="35" t="n">
        <f>7541.59</f>
        <v>7541.59</v>
      </c>
      <c r="T374" s="32" t="n">
        <f>636954</f>
        <v>636954.0</v>
      </c>
      <c r="U374" s="32" t="n">
        <f>4181</f>
        <v>4181.0</v>
      </c>
      <c r="V374" s="32" t="n">
        <f>4873102329</f>
        <v>4.873102329E9</v>
      </c>
      <c r="W374" s="32" t="n">
        <f>31542372</f>
        <v>3.1542372E7</v>
      </c>
      <c r="X374" s="36" t="n">
        <f>22</f>
        <v>22.0</v>
      </c>
    </row>
    <row r="375">
      <c r="A375" s="27" t="s">
        <v>42</v>
      </c>
      <c r="B375" s="27" t="s">
        <v>1172</v>
      </c>
      <c r="C375" s="27" t="s">
        <v>1173</v>
      </c>
      <c r="D375" s="27" t="s">
        <v>1174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2923</f>
        <v>2923.0</v>
      </c>
      <c r="L375" s="34" t="s">
        <v>85</v>
      </c>
      <c r="M375" s="33" t="n">
        <f>3070</f>
        <v>3070.0</v>
      </c>
      <c r="N375" s="34" t="s">
        <v>49</v>
      </c>
      <c r="O375" s="33" t="n">
        <f>2769</f>
        <v>2769.0</v>
      </c>
      <c r="P375" s="34" t="s">
        <v>50</v>
      </c>
      <c r="Q375" s="33" t="n">
        <f>2953</f>
        <v>2953.0</v>
      </c>
      <c r="R375" s="34" t="s">
        <v>51</v>
      </c>
      <c r="S375" s="35" t="n">
        <f>2924.53</f>
        <v>2924.53</v>
      </c>
      <c r="T375" s="32" t="n">
        <f>931</f>
        <v>931.0</v>
      </c>
      <c r="U375" s="32" t="str">
        <f>"－"</f>
        <v>－</v>
      </c>
      <c r="V375" s="32" t="n">
        <f>2678538</f>
        <v>2678538.0</v>
      </c>
      <c r="W375" s="32" t="str">
        <f>"－"</f>
        <v>－</v>
      </c>
      <c r="X375" s="36" t="n">
        <f>19</f>
        <v>19.0</v>
      </c>
    </row>
    <row r="376">
      <c r="A376" s="27" t="s">
        <v>42</v>
      </c>
      <c r="B376" s="27" t="s">
        <v>1175</v>
      </c>
      <c r="C376" s="27" t="s">
        <v>1176</v>
      </c>
      <c r="D376" s="27" t="s">
        <v>1177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10010</f>
        <v>10010.0</v>
      </c>
      <c r="L376" s="34" t="s">
        <v>48</v>
      </c>
      <c r="M376" s="33" t="n">
        <f>10550</f>
        <v>10550.0</v>
      </c>
      <c r="N376" s="34" t="s">
        <v>66</v>
      </c>
      <c r="O376" s="33" t="n">
        <f>9847</f>
        <v>9847.0</v>
      </c>
      <c r="P376" s="34" t="s">
        <v>158</v>
      </c>
      <c r="Q376" s="33" t="n">
        <f>9920</f>
        <v>9920.0</v>
      </c>
      <c r="R376" s="34" t="s">
        <v>51</v>
      </c>
      <c r="S376" s="35" t="n">
        <f>10082.95</f>
        <v>10082.95</v>
      </c>
      <c r="T376" s="32" t="n">
        <f>2756</f>
        <v>2756.0</v>
      </c>
      <c r="U376" s="32" t="str">
        <f>"－"</f>
        <v>－</v>
      </c>
      <c r="V376" s="32" t="n">
        <f>27899477</f>
        <v>2.7899477E7</v>
      </c>
      <c r="W376" s="32" t="str">
        <f>"－"</f>
        <v>－</v>
      </c>
      <c r="X376" s="36" t="n">
        <f>21</f>
        <v>21.0</v>
      </c>
    </row>
    <row r="377">
      <c r="A377" s="27" t="s">
        <v>42</v>
      </c>
      <c r="B377" s="27" t="s">
        <v>1178</v>
      </c>
      <c r="C377" s="27" t="s">
        <v>1179</v>
      </c>
      <c r="D377" s="27" t="s">
        <v>1180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117600</f>
        <v>117600.0</v>
      </c>
      <c r="L377" s="34" t="s">
        <v>48</v>
      </c>
      <c r="M377" s="33" t="n">
        <f>117700</f>
        <v>117700.0</v>
      </c>
      <c r="N377" s="34" t="s">
        <v>48</v>
      </c>
      <c r="O377" s="33" t="n">
        <f>111600</f>
        <v>111600.0</v>
      </c>
      <c r="P377" s="34" t="s">
        <v>210</v>
      </c>
      <c r="Q377" s="33" t="n">
        <f>115700</f>
        <v>115700.0</v>
      </c>
      <c r="R377" s="34" t="s">
        <v>51</v>
      </c>
      <c r="S377" s="35" t="n">
        <f>114036.36</f>
        <v>114036.36</v>
      </c>
      <c r="T377" s="32" t="n">
        <f>20037</f>
        <v>20037.0</v>
      </c>
      <c r="U377" s="32" t="n">
        <f>4881</f>
        <v>4881.0</v>
      </c>
      <c r="V377" s="32" t="n">
        <f>2276354436</f>
        <v>2.276354436E9</v>
      </c>
      <c r="W377" s="32" t="n">
        <f>548486236</f>
        <v>5.48486236E8</v>
      </c>
      <c r="X377" s="36" t="n">
        <f>22</f>
        <v>22.0</v>
      </c>
    </row>
    <row r="378">
      <c r="A378" s="27" t="s">
        <v>42</v>
      </c>
      <c r="B378" s="27" t="s">
        <v>1181</v>
      </c>
      <c r="C378" s="27" t="s">
        <v>1182</v>
      </c>
      <c r="D378" s="27" t="s">
        <v>1183</v>
      </c>
      <c r="E378" s="28" t="s">
        <v>46</v>
      </c>
      <c r="F378" s="29" t="s">
        <v>46</v>
      </c>
      <c r="G378" s="30" t="s">
        <v>46</v>
      </c>
      <c r="H378" s="31"/>
      <c r="I378" s="31" t="s">
        <v>418</v>
      </c>
      <c r="J378" s="32" t="n">
        <v>1.0</v>
      </c>
      <c r="K378" s="33" t="n">
        <f>121900</f>
        <v>121900.0</v>
      </c>
      <c r="L378" s="34" t="s">
        <v>48</v>
      </c>
      <c r="M378" s="33" t="n">
        <f>122800</f>
        <v>122800.0</v>
      </c>
      <c r="N378" s="34" t="s">
        <v>48</v>
      </c>
      <c r="O378" s="33" t="n">
        <f>112500</f>
        <v>112500.0</v>
      </c>
      <c r="P378" s="34" t="s">
        <v>71</v>
      </c>
      <c r="Q378" s="33" t="n">
        <f>113900</f>
        <v>113900.0</v>
      </c>
      <c r="R378" s="34" t="s">
        <v>51</v>
      </c>
      <c r="S378" s="35" t="n">
        <f>115877.27</f>
        <v>115877.27</v>
      </c>
      <c r="T378" s="32" t="n">
        <f>51498</f>
        <v>51498.0</v>
      </c>
      <c r="U378" s="32" t="n">
        <f>8028</f>
        <v>8028.0</v>
      </c>
      <c r="V378" s="32" t="n">
        <f>5965838765</f>
        <v>5.965838765E9</v>
      </c>
      <c r="W378" s="32" t="n">
        <f>929693065</f>
        <v>9.29693065E8</v>
      </c>
      <c r="X378" s="36" t="n">
        <f>22</f>
        <v>22.0</v>
      </c>
    </row>
    <row r="379">
      <c r="A379" s="27" t="s">
        <v>42</v>
      </c>
      <c r="B379" s="27" t="s">
        <v>1184</v>
      </c>
      <c r="C379" s="27" t="s">
        <v>1185</v>
      </c>
      <c r="D379" s="27" t="s">
        <v>1186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114500</f>
        <v>114500.0</v>
      </c>
      <c r="L379" s="34" t="s">
        <v>48</v>
      </c>
      <c r="M379" s="33" t="n">
        <f>116600</f>
        <v>116600.0</v>
      </c>
      <c r="N379" s="34" t="s">
        <v>85</v>
      </c>
      <c r="O379" s="33" t="n">
        <f>108500</f>
        <v>108500.0</v>
      </c>
      <c r="P379" s="34" t="s">
        <v>49</v>
      </c>
      <c r="Q379" s="33" t="n">
        <f>113400</f>
        <v>113400.0</v>
      </c>
      <c r="R379" s="34" t="s">
        <v>51</v>
      </c>
      <c r="S379" s="35" t="n">
        <f>112590.91</f>
        <v>112590.91</v>
      </c>
      <c r="T379" s="32" t="n">
        <f>60569</f>
        <v>60569.0</v>
      </c>
      <c r="U379" s="32" t="n">
        <f>10243</f>
        <v>10243.0</v>
      </c>
      <c r="V379" s="32" t="n">
        <f>6815701050</f>
        <v>6.81570105E9</v>
      </c>
      <c r="W379" s="32" t="n">
        <f>1151289150</f>
        <v>1.15128915E9</v>
      </c>
      <c r="X379" s="36" t="n">
        <f>22</f>
        <v>22.0</v>
      </c>
    </row>
    <row r="380">
      <c r="A380" s="27" t="s">
        <v>42</v>
      </c>
      <c r="B380" s="27" t="s">
        <v>1187</v>
      </c>
      <c r="C380" s="27" t="s">
        <v>1188</v>
      </c>
      <c r="D380" s="27" t="s">
        <v>1189</v>
      </c>
      <c r="E380" s="28" t="s">
        <v>46</v>
      </c>
      <c r="F380" s="29" t="s">
        <v>46</v>
      </c>
      <c r="G380" s="30" t="s">
        <v>46</v>
      </c>
      <c r="H380" s="31"/>
      <c r="I380" s="31" t="s">
        <v>418</v>
      </c>
      <c r="J380" s="32" t="n">
        <v>1.0</v>
      </c>
      <c r="K380" s="33" t="n">
        <f>102900</f>
        <v>102900.0</v>
      </c>
      <c r="L380" s="34" t="s">
        <v>48</v>
      </c>
      <c r="M380" s="33" t="n">
        <f>103500</f>
        <v>103500.0</v>
      </c>
      <c r="N380" s="34" t="s">
        <v>72</v>
      </c>
      <c r="O380" s="33" t="n">
        <f>98900</f>
        <v>98900.0</v>
      </c>
      <c r="P380" s="34" t="s">
        <v>195</v>
      </c>
      <c r="Q380" s="33" t="n">
        <f>103200</f>
        <v>103200.0</v>
      </c>
      <c r="R380" s="34" t="s">
        <v>51</v>
      </c>
      <c r="S380" s="35" t="n">
        <f>101427.27</f>
        <v>101427.27</v>
      </c>
      <c r="T380" s="32" t="n">
        <f>34396</f>
        <v>34396.0</v>
      </c>
      <c r="U380" s="32" t="n">
        <f>3759</f>
        <v>3759.0</v>
      </c>
      <c r="V380" s="32" t="n">
        <f>3480242055</f>
        <v>3.480242055E9</v>
      </c>
      <c r="W380" s="32" t="n">
        <f>381714655</f>
        <v>3.81714655E8</v>
      </c>
      <c r="X380" s="36" t="n">
        <f>22</f>
        <v>22.0</v>
      </c>
    </row>
    <row r="381">
      <c r="A381" s="27" t="s">
        <v>42</v>
      </c>
      <c r="B381" s="27" t="s">
        <v>1190</v>
      </c>
      <c r="C381" s="27" t="s">
        <v>1191</v>
      </c>
      <c r="D381" s="27" t="s">
        <v>1192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269.4</f>
        <v>269.4</v>
      </c>
      <c r="L381" s="34" t="s">
        <v>48</v>
      </c>
      <c r="M381" s="33" t="n">
        <f>272</f>
        <v>272.0</v>
      </c>
      <c r="N381" s="34" t="s">
        <v>85</v>
      </c>
      <c r="O381" s="33" t="n">
        <f>250.7</f>
        <v>250.7</v>
      </c>
      <c r="P381" s="34" t="s">
        <v>70</v>
      </c>
      <c r="Q381" s="33" t="n">
        <f>260.3</f>
        <v>260.3</v>
      </c>
      <c r="R381" s="34" t="s">
        <v>51</v>
      </c>
      <c r="S381" s="35" t="n">
        <f>262.76</f>
        <v>262.76</v>
      </c>
      <c r="T381" s="32" t="n">
        <f>5873260</f>
        <v>5873260.0</v>
      </c>
      <c r="U381" s="32" t="str">
        <f>"－"</f>
        <v>－</v>
      </c>
      <c r="V381" s="32" t="n">
        <f>1540745186</f>
        <v>1.540745186E9</v>
      </c>
      <c r="W381" s="32" t="str">
        <f>"－"</f>
        <v>－</v>
      </c>
      <c r="X381" s="36" t="n">
        <f>22</f>
        <v>22.0</v>
      </c>
    </row>
    <row r="382">
      <c r="A382" s="27" t="s">
        <v>42</v>
      </c>
      <c r="B382" s="27" t="s">
        <v>1193</v>
      </c>
      <c r="C382" s="27" t="s">
        <v>1194</v>
      </c>
      <c r="D382" s="27" t="s">
        <v>1195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342.6</f>
        <v>342.6</v>
      </c>
      <c r="L382" s="34" t="s">
        <v>48</v>
      </c>
      <c r="M382" s="33" t="n">
        <f>343.1</f>
        <v>343.1</v>
      </c>
      <c r="N382" s="34" t="s">
        <v>48</v>
      </c>
      <c r="O382" s="33" t="n">
        <f>303.1</f>
        <v>303.1</v>
      </c>
      <c r="P382" s="34" t="s">
        <v>51</v>
      </c>
      <c r="Q382" s="33" t="n">
        <f>308</f>
        <v>308.0</v>
      </c>
      <c r="R382" s="34" t="s">
        <v>51</v>
      </c>
      <c r="S382" s="35" t="n">
        <f>323.21</f>
        <v>323.21</v>
      </c>
      <c r="T382" s="32" t="n">
        <f>96441530</f>
        <v>9.644153E7</v>
      </c>
      <c r="U382" s="32" t="n">
        <f>7690830</f>
        <v>7690830.0</v>
      </c>
      <c r="V382" s="32" t="n">
        <f>31004660310</f>
        <v>3.100466031E10</v>
      </c>
      <c r="W382" s="32" t="n">
        <f>2512517119</f>
        <v>2.512517119E9</v>
      </c>
      <c r="X382" s="36" t="n">
        <f>22</f>
        <v>22.0</v>
      </c>
    </row>
    <row r="383">
      <c r="A383" s="27" t="s">
        <v>42</v>
      </c>
      <c r="B383" s="27" t="s">
        <v>1196</v>
      </c>
      <c r="C383" s="27" t="s">
        <v>1197</v>
      </c>
      <c r="D383" s="27" t="s">
        <v>1198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1652</f>
        <v>1652.0</v>
      </c>
      <c r="L383" s="34" t="s">
        <v>48</v>
      </c>
      <c r="M383" s="33" t="n">
        <f>1864</f>
        <v>1864.0</v>
      </c>
      <c r="N383" s="34" t="s">
        <v>61</v>
      </c>
      <c r="O383" s="33" t="n">
        <f>1616</f>
        <v>1616.0</v>
      </c>
      <c r="P383" s="34" t="s">
        <v>158</v>
      </c>
      <c r="Q383" s="33" t="n">
        <f>1760</f>
        <v>1760.0</v>
      </c>
      <c r="R383" s="34" t="s">
        <v>51</v>
      </c>
      <c r="S383" s="35" t="n">
        <f>1756.68</f>
        <v>1756.68</v>
      </c>
      <c r="T383" s="32" t="n">
        <f>3956111</f>
        <v>3956111.0</v>
      </c>
      <c r="U383" s="32" t="n">
        <f>231068</f>
        <v>231068.0</v>
      </c>
      <c r="V383" s="32" t="n">
        <f>6980746901</f>
        <v>6.980746901E9</v>
      </c>
      <c r="W383" s="32" t="n">
        <f>408870006</f>
        <v>4.08870006E8</v>
      </c>
      <c r="X383" s="36" t="n">
        <f>22</f>
        <v>22.0</v>
      </c>
    </row>
    <row r="384">
      <c r="A384" s="27" t="s">
        <v>42</v>
      </c>
      <c r="B384" s="27" t="s">
        <v>1199</v>
      </c>
      <c r="C384" s="27" t="s">
        <v>1200</v>
      </c>
      <c r="D384" s="27" t="s">
        <v>1201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2710</f>
        <v>2710.0</v>
      </c>
      <c r="L384" s="34" t="s">
        <v>48</v>
      </c>
      <c r="M384" s="33" t="n">
        <f>2753</f>
        <v>2753.0</v>
      </c>
      <c r="N384" s="34" t="s">
        <v>158</v>
      </c>
      <c r="O384" s="33" t="n">
        <f>2404</f>
        <v>2404.0</v>
      </c>
      <c r="P384" s="34" t="s">
        <v>70</v>
      </c>
      <c r="Q384" s="33" t="n">
        <f>2527</f>
        <v>2527.0</v>
      </c>
      <c r="R384" s="34" t="s">
        <v>51</v>
      </c>
      <c r="S384" s="35" t="n">
        <f>2575.27</f>
        <v>2575.27</v>
      </c>
      <c r="T384" s="32" t="n">
        <f>10935766</f>
        <v>1.0935766E7</v>
      </c>
      <c r="U384" s="32" t="n">
        <f>1176</f>
        <v>1176.0</v>
      </c>
      <c r="V384" s="32" t="n">
        <f>28205992294</f>
        <v>2.8205992294E10</v>
      </c>
      <c r="W384" s="32" t="n">
        <f>2973314</f>
        <v>2973314.0</v>
      </c>
      <c r="X384" s="36" t="n">
        <f>22</f>
        <v>22.0</v>
      </c>
    </row>
    <row r="385">
      <c r="A385" s="27" t="s">
        <v>42</v>
      </c>
      <c r="B385" s="27" t="s">
        <v>1202</v>
      </c>
      <c r="C385" s="27" t="s">
        <v>1203</v>
      </c>
      <c r="D385" s="27" t="s">
        <v>1204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487</f>
        <v>487.0</v>
      </c>
      <c r="L385" s="34" t="s">
        <v>48</v>
      </c>
      <c r="M385" s="33" t="n">
        <f>558.6</f>
        <v>558.6</v>
      </c>
      <c r="N385" s="34" t="s">
        <v>50</v>
      </c>
      <c r="O385" s="33" t="n">
        <f>452.1</f>
        <v>452.1</v>
      </c>
      <c r="P385" s="34" t="s">
        <v>375</v>
      </c>
      <c r="Q385" s="33" t="n">
        <f>461.5</f>
        <v>461.5</v>
      </c>
      <c r="R385" s="34" t="s">
        <v>51</v>
      </c>
      <c r="S385" s="35" t="n">
        <f>484.85</f>
        <v>484.85</v>
      </c>
      <c r="T385" s="32" t="n">
        <f>25532760</f>
        <v>2.553276E7</v>
      </c>
      <c r="U385" s="32" t="n">
        <f>2180</f>
        <v>2180.0</v>
      </c>
      <c r="V385" s="32" t="n">
        <f>12548400569</f>
        <v>1.2548400569E10</v>
      </c>
      <c r="W385" s="32" t="n">
        <f>1067102</f>
        <v>1067102.0</v>
      </c>
      <c r="X385" s="36" t="n">
        <f>22</f>
        <v>22.0</v>
      </c>
    </row>
    <row r="386">
      <c r="A386" s="27" t="s">
        <v>42</v>
      </c>
      <c r="B386" s="27" t="s">
        <v>1205</v>
      </c>
      <c r="C386" s="27" t="s">
        <v>1206</v>
      </c>
      <c r="D386" s="27" t="s">
        <v>1207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125800</f>
        <v>125800.0</v>
      </c>
      <c r="L386" s="34" t="s">
        <v>48</v>
      </c>
      <c r="M386" s="33" t="n">
        <f>125900</f>
        <v>125900.0</v>
      </c>
      <c r="N386" s="34" t="s">
        <v>48</v>
      </c>
      <c r="O386" s="33" t="n">
        <f>118900</f>
        <v>118900.0</v>
      </c>
      <c r="P386" s="34" t="s">
        <v>375</v>
      </c>
      <c r="Q386" s="33" t="n">
        <f>121900</f>
        <v>121900.0</v>
      </c>
      <c r="R386" s="34" t="s">
        <v>51</v>
      </c>
      <c r="S386" s="35" t="n">
        <f>121354.55</f>
        <v>121354.55</v>
      </c>
      <c r="T386" s="32" t="n">
        <f>170900</f>
        <v>170900.0</v>
      </c>
      <c r="U386" s="32" t="n">
        <f>41254</f>
        <v>41254.0</v>
      </c>
      <c r="V386" s="32" t="n">
        <f>20759012044</f>
        <v>2.0759012044E10</v>
      </c>
      <c r="W386" s="32" t="n">
        <f>5011365944</f>
        <v>5.011365944E9</v>
      </c>
      <c r="X386" s="36" t="n">
        <f>22</f>
        <v>22.0</v>
      </c>
    </row>
    <row r="387">
      <c r="A387" s="27" t="s">
        <v>42</v>
      </c>
      <c r="B387" s="27" t="s">
        <v>1208</v>
      </c>
      <c r="C387" s="27" t="s">
        <v>1209</v>
      </c>
      <c r="D387" s="27" t="s">
        <v>1210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129600</f>
        <v>129600.0</v>
      </c>
      <c r="L387" s="34" t="s">
        <v>48</v>
      </c>
      <c r="M387" s="33" t="n">
        <f>130300</f>
        <v>130300.0</v>
      </c>
      <c r="N387" s="34" t="s">
        <v>51</v>
      </c>
      <c r="O387" s="33" t="n">
        <f>123800</f>
        <v>123800.0</v>
      </c>
      <c r="P387" s="34" t="s">
        <v>104</v>
      </c>
      <c r="Q387" s="33" t="n">
        <f>128600</f>
        <v>128600.0</v>
      </c>
      <c r="R387" s="34" t="s">
        <v>51</v>
      </c>
      <c r="S387" s="35" t="n">
        <f>126831.82</f>
        <v>126831.82</v>
      </c>
      <c r="T387" s="32" t="n">
        <f>101313</f>
        <v>101313.0</v>
      </c>
      <c r="U387" s="32" t="n">
        <f>20918</f>
        <v>20918.0</v>
      </c>
      <c r="V387" s="32" t="n">
        <f>12853711150</f>
        <v>1.285371115E10</v>
      </c>
      <c r="W387" s="32" t="n">
        <f>2657835250</f>
        <v>2.65783525E9</v>
      </c>
      <c r="X387" s="36" t="n">
        <f>22</f>
        <v>22.0</v>
      </c>
    </row>
    <row r="388">
      <c r="A388" s="27" t="s">
        <v>42</v>
      </c>
      <c r="B388" s="27" t="s">
        <v>1211</v>
      </c>
      <c r="C388" s="27" t="s">
        <v>1212</v>
      </c>
      <c r="D388" s="27" t="s">
        <v>1213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140500</f>
        <v>140500.0</v>
      </c>
      <c r="L388" s="34" t="s">
        <v>48</v>
      </c>
      <c r="M388" s="33" t="n">
        <f>144300</f>
        <v>144300.0</v>
      </c>
      <c r="N388" s="34" t="s">
        <v>72</v>
      </c>
      <c r="O388" s="33" t="n">
        <f>135800</f>
        <v>135800.0</v>
      </c>
      <c r="P388" s="34" t="s">
        <v>158</v>
      </c>
      <c r="Q388" s="33" t="n">
        <f>141900</f>
        <v>141900.0</v>
      </c>
      <c r="R388" s="34" t="s">
        <v>51</v>
      </c>
      <c r="S388" s="35" t="n">
        <f>140681.82</f>
        <v>140681.82</v>
      </c>
      <c r="T388" s="32" t="n">
        <f>237203</f>
        <v>237203.0</v>
      </c>
      <c r="U388" s="32" t="n">
        <f>49436</f>
        <v>49436.0</v>
      </c>
      <c r="V388" s="32" t="n">
        <f>33353807493</f>
        <v>3.3353807493E10</v>
      </c>
      <c r="W388" s="32" t="n">
        <f>6965522793</f>
        <v>6.965522793E9</v>
      </c>
      <c r="X388" s="36" t="n">
        <f>22</f>
        <v>22.0</v>
      </c>
    </row>
    <row r="389">
      <c r="A389" s="27" t="s">
        <v>42</v>
      </c>
      <c r="B389" s="27" t="s">
        <v>1214</v>
      </c>
      <c r="C389" s="27" t="s">
        <v>1215</v>
      </c>
      <c r="D389" s="27" t="s">
        <v>1216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153400</f>
        <v>153400.0</v>
      </c>
      <c r="L389" s="34" t="s">
        <v>48</v>
      </c>
      <c r="M389" s="33" t="n">
        <f>153800</f>
        <v>153800.0</v>
      </c>
      <c r="N389" s="34" t="s">
        <v>203</v>
      </c>
      <c r="O389" s="33" t="n">
        <f>146900</f>
        <v>146900.0</v>
      </c>
      <c r="P389" s="34" t="s">
        <v>61</v>
      </c>
      <c r="Q389" s="33" t="n">
        <f>150400</f>
        <v>150400.0</v>
      </c>
      <c r="R389" s="34" t="s">
        <v>51</v>
      </c>
      <c r="S389" s="35" t="n">
        <f>149722.73</f>
        <v>149722.73</v>
      </c>
      <c r="T389" s="32" t="n">
        <f>209523</f>
        <v>209523.0</v>
      </c>
      <c r="U389" s="32" t="n">
        <f>42728</f>
        <v>42728.0</v>
      </c>
      <c r="V389" s="32" t="n">
        <f>31368441848</f>
        <v>3.1368441848E10</v>
      </c>
      <c r="W389" s="32" t="n">
        <f>6390369248</f>
        <v>6.390369248E9</v>
      </c>
      <c r="X389" s="36" t="n">
        <f>22</f>
        <v>22.0</v>
      </c>
    </row>
    <row r="390">
      <c r="A390" s="27" t="s">
        <v>42</v>
      </c>
      <c r="B390" s="27" t="s">
        <v>1217</v>
      </c>
      <c r="C390" s="27" t="s">
        <v>1218</v>
      </c>
      <c r="D390" s="27" t="s">
        <v>1219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131200</f>
        <v>131200.0</v>
      </c>
      <c r="L390" s="34" t="s">
        <v>48</v>
      </c>
      <c r="M390" s="33" t="n">
        <f>138900</f>
        <v>138900.0</v>
      </c>
      <c r="N390" s="34" t="s">
        <v>70</v>
      </c>
      <c r="O390" s="33" t="n">
        <f>127300</f>
        <v>127300.0</v>
      </c>
      <c r="P390" s="34" t="s">
        <v>158</v>
      </c>
      <c r="Q390" s="33" t="n">
        <f>137100</f>
        <v>137100.0</v>
      </c>
      <c r="R390" s="34" t="s">
        <v>51</v>
      </c>
      <c r="S390" s="35" t="n">
        <f>133527.27</f>
        <v>133527.27</v>
      </c>
      <c r="T390" s="32" t="n">
        <f>197998</f>
        <v>197998.0</v>
      </c>
      <c r="U390" s="32" t="n">
        <f>49178</f>
        <v>49178.0</v>
      </c>
      <c r="V390" s="32" t="n">
        <f>26460238218</f>
        <v>2.6460238218E10</v>
      </c>
      <c r="W390" s="32" t="n">
        <f>6615707418</f>
        <v>6.615707418E9</v>
      </c>
      <c r="X390" s="36" t="n">
        <f>22</f>
        <v>22.0</v>
      </c>
    </row>
    <row r="391">
      <c r="A391" s="27" t="s">
        <v>42</v>
      </c>
      <c r="B391" s="27" t="s">
        <v>1220</v>
      </c>
      <c r="C391" s="27" t="s">
        <v>1221</v>
      </c>
      <c r="D391" s="27" t="s">
        <v>1222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134100</f>
        <v>134100.0</v>
      </c>
      <c r="L391" s="34" t="s">
        <v>48</v>
      </c>
      <c r="M391" s="33" t="n">
        <f>140500</f>
        <v>140500.0</v>
      </c>
      <c r="N391" s="34" t="s">
        <v>72</v>
      </c>
      <c r="O391" s="33" t="n">
        <f>129600</f>
        <v>129600.0</v>
      </c>
      <c r="P391" s="34" t="s">
        <v>104</v>
      </c>
      <c r="Q391" s="33" t="n">
        <f>137400</f>
        <v>137400.0</v>
      </c>
      <c r="R391" s="34" t="s">
        <v>51</v>
      </c>
      <c r="S391" s="35" t="n">
        <f>134163.64</f>
        <v>134163.64</v>
      </c>
      <c r="T391" s="32" t="n">
        <f>421948</f>
        <v>421948.0</v>
      </c>
      <c r="U391" s="32" t="n">
        <f>93046</f>
        <v>93046.0</v>
      </c>
      <c r="V391" s="32" t="n">
        <f>56717833232</f>
        <v>5.6717833232E10</v>
      </c>
      <c r="W391" s="32" t="n">
        <f>12520328532</f>
        <v>1.2520328532E10</v>
      </c>
      <c r="X391" s="36" t="n">
        <f>22</f>
        <v>22.0</v>
      </c>
    </row>
    <row r="392">
      <c r="A392" s="27" t="s">
        <v>42</v>
      </c>
      <c r="B392" s="27" t="s">
        <v>1223</v>
      </c>
      <c r="C392" s="27" t="s">
        <v>1224</v>
      </c>
      <c r="D392" s="27" t="s">
        <v>1225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105600</f>
        <v>105600.0</v>
      </c>
      <c r="L392" s="34" t="s">
        <v>48</v>
      </c>
      <c r="M392" s="33" t="n">
        <f>105600</f>
        <v>105600.0</v>
      </c>
      <c r="N392" s="34" t="s">
        <v>48</v>
      </c>
      <c r="O392" s="33" t="n">
        <f>99900</f>
        <v>99900.0</v>
      </c>
      <c r="P392" s="34" t="s">
        <v>375</v>
      </c>
      <c r="Q392" s="33" t="n">
        <f>103300</f>
        <v>103300.0</v>
      </c>
      <c r="R392" s="34" t="s">
        <v>51</v>
      </c>
      <c r="S392" s="35" t="n">
        <f>102172.73</f>
        <v>102172.73</v>
      </c>
      <c r="T392" s="32" t="n">
        <f>161314</f>
        <v>161314.0</v>
      </c>
      <c r="U392" s="32" t="n">
        <f>33272</f>
        <v>33272.0</v>
      </c>
      <c r="V392" s="32" t="n">
        <f>16507587284</f>
        <v>1.6507587284E10</v>
      </c>
      <c r="W392" s="32" t="n">
        <f>3404196384</f>
        <v>3.404196384E9</v>
      </c>
      <c r="X392" s="36" t="n">
        <f>22</f>
        <v>22.0</v>
      </c>
    </row>
    <row r="393">
      <c r="A393" s="27" t="s">
        <v>42</v>
      </c>
      <c r="B393" s="27" t="s">
        <v>1226</v>
      </c>
      <c r="C393" s="27" t="s">
        <v>1227</v>
      </c>
      <c r="D393" s="27" t="s">
        <v>1228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85300</f>
        <v>85300.0</v>
      </c>
      <c r="L393" s="34" t="s">
        <v>48</v>
      </c>
      <c r="M393" s="33" t="n">
        <f>88300</f>
        <v>88300.0</v>
      </c>
      <c r="N393" s="34" t="s">
        <v>51</v>
      </c>
      <c r="O393" s="33" t="n">
        <f>82100</f>
        <v>82100.0</v>
      </c>
      <c r="P393" s="34" t="s">
        <v>195</v>
      </c>
      <c r="Q393" s="33" t="n">
        <f>86800</f>
        <v>86800.0</v>
      </c>
      <c r="R393" s="34" t="s">
        <v>51</v>
      </c>
      <c r="S393" s="35" t="n">
        <f>84500</f>
        <v>84500.0</v>
      </c>
      <c r="T393" s="32" t="n">
        <f>445856</f>
        <v>445856.0</v>
      </c>
      <c r="U393" s="32" t="n">
        <f>106101</f>
        <v>106101.0</v>
      </c>
      <c r="V393" s="32" t="n">
        <f>37739031455</f>
        <v>3.7739031455E10</v>
      </c>
      <c r="W393" s="32" t="n">
        <f>8994794855</f>
        <v>8.994794855E9</v>
      </c>
      <c r="X393" s="36" t="n">
        <f>22</f>
        <v>22.0</v>
      </c>
    </row>
    <row r="394">
      <c r="A394" s="27" t="s">
        <v>42</v>
      </c>
      <c r="B394" s="27" t="s">
        <v>1229</v>
      </c>
      <c r="C394" s="27" t="s">
        <v>1230</v>
      </c>
      <c r="D394" s="27" t="s">
        <v>1231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241000</f>
        <v>241000.0</v>
      </c>
      <c r="L394" s="34" t="s">
        <v>48</v>
      </c>
      <c r="M394" s="33" t="n">
        <f>242200</f>
        <v>242200.0</v>
      </c>
      <c r="N394" s="34" t="s">
        <v>51</v>
      </c>
      <c r="O394" s="33" t="n">
        <f>227300</f>
        <v>227300.0</v>
      </c>
      <c r="P394" s="34" t="s">
        <v>214</v>
      </c>
      <c r="Q394" s="33" t="n">
        <f>239800</f>
        <v>239800.0</v>
      </c>
      <c r="R394" s="34" t="s">
        <v>51</v>
      </c>
      <c r="S394" s="35" t="n">
        <f>235363.64</f>
        <v>235363.64</v>
      </c>
      <c r="T394" s="32" t="n">
        <f>64309</f>
        <v>64309.0</v>
      </c>
      <c r="U394" s="32" t="n">
        <f>12002</f>
        <v>12002.0</v>
      </c>
      <c r="V394" s="32" t="n">
        <f>15110979478</f>
        <v>1.5110979478E10</v>
      </c>
      <c r="W394" s="32" t="n">
        <f>2818979478</f>
        <v>2.818979478E9</v>
      </c>
      <c r="X394" s="36" t="n">
        <f>22</f>
        <v>22.0</v>
      </c>
    </row>
    <row r="395">
      <c r="A395" s="27" t="s">
        <v>42</v>
      </c>
      <c r="B395" s="27" t="s">
        <v>1232</v>
      </c>
      <c r="C395" s="27" t="s">
        <v>1233</v>
      </c>
      <c r="D395" s="27" t="s">
        <v>1234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1400</f>
        <v>1400.0</v>
      </c>
      <c r="L395" s="34" t="s">
        <v>48</v>
      </c>
      <c r="M395" s="33" t="n">
        <f>1484</f>
        <v>1484.0</v>
      </c>
      <c r="N395" s="34" t="s">
        <v>85</v>
      </c>
      <c r="O395" s="33" t="n">
        <f>1300</f>
        <v>1300.0</v>
      </c>
      <c r="P395" s="34" t="s">
        <v>50</v>
      </c>
      <c r="Q395" s="33" t="n">
        <f>1380</f>
        <v>1380.0</v>
      </c>
      <c r="R395" s="34" t="s">
        <v>51</v>
      </c>
      <c r="S395" s="35" t="n">
        <f>1375.68</f>
        <v>1375.68</v>
      </c>
      <c r="T395" s="32" t="n">
        <f>62753</f>
        <v>62753.0</v>
      </c>
      <c r="U395" s="32" t="str">
        <f>"－"</f>
        <v>－</v>
      </c>
      <c r="V395" s="32" t="n">
        <f>86065288</f>
        <v>8.6065288E7</v>
      </c>
      <c r="W395" s="32" t="str">
        <f>"－"</f>
        <v>－</v>
      </c>
      <c r="X395" s="36" t="n">
        <f>22</f>
        <v>22.0</v>
      </c>
    </row>
    <row r="396">
      <c r="A396" s="27" t="s">
        <v>42</v>
      </c>
      <c r="B396" s="27" t="s">
        <v>1235</v>
      </c>
      <c r="C396" s="27" t="s">
        <v>1236</v>
      </c>
      <c r="D396" s="27" t="s">
        <v>1237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76200</f>
        <v>76200.0</v>
      </c>
      <c r="L396" s="34" t="s">
        <v>48</v>
      </c>
      <c r="M396" s="33" t="n">
        <f>76400</f>
        <v>76400.0</v>
      </c>
      <c r="N396" s="34" t="s">
        <v>48</v>
      </c>
      <c r="O396" s="33" t="n">
        <f>72500</f>
        <v>72500.0</v>
      </c>
      <c r="P396" s="34" t="s">
        <v>210</v>
      </c>
      <c r="Q396" s="33" t="n">
        <f>74900</f>
        <v>74900.0</v>
      </c>
      <c r="R396" s="34" t="s">
        <v>51</v>
      </c>
      <c r="S396" s="35" t="n">
        <f>74113.64</f>
        <v>74113.64</v>
      </c>
      <c r="T396" s="32" t="n">
        <f>96867</f>
        <v>96867.0</v>
      </c>
      <c r="U396" s="32" t="n">
        <f>13795</f>
        <v>13795.0</v>
      </c>
      <c r="V396" s="32" t="n">
        <f>7176625354</f>
        <v>7.176625354E9</v>
      </c>
      <c r="W396" s="32" t="n">
        <f>1024135654</f>
        <v>1.024135654E9</v>
      </c>
      <c r="X396" s="36" t="n">
        <f>22</f>
        <v>22.0</v>
      </c>
    </row>
    <row r="397">
      <c r="A397" s="27" t="s">
        <v>42</v>
      </c>
      <c r="B397" s="27" t="s">
        <v>1238</v>
      </c>
      <c r="C397" s="27" t="s">
        <v>1239</v>
      </c>
      <c r="D397" s="27" t="s">
        <v>1240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122800</f>
        <v>122800.0</v>
      </c>
      <c r="L397" s="34" t="s">
        <v>48</v>
      </c>
      <c r="M397" s="33" t="n">
        <f>124300</f>
        <v>124300.0</v>
      </c>
      <c r="N397" s="34" t="s">
        <v>72</v>
      </c>
      <c r="O397" s="33" t="n">
        <f>119100</f>
        <v>119100.0</v>
      </c>
      <c r="P397" s="34" t="s">
        <v>104</v>
      </c>
      <c r="Q397" s="33" t="n">
        <f>123000</f>
        <v>123000.0</v>
      </c>
      <c r="R397" s="34" t="s">
        <v>51</v>
      </c>
      <c r="S397" s="35" t="n">
        <f>121368.18</f>
        <v>121368.18</v>
      </c>
      <c r="T397" s="32" t="n">
        <f>120065</f>
        <v>120065.0</v>
      </c>
      <c r="U397" s="32" t="n">
        <f>20422</f>
        <v>20422.0</v>
      </c>
      <c r="V397" s="32" t="n">
        <f>14583400159</f>
        <v>1.4583400159E10</v>
      </c>
      <c r="W397" s="32" t="n">
        <f>2479980259</f>
        <v>2.479980259E9</v>
      </c>
      <c r="X397" s="36" t="n">
        <f>22</f>
        <v>22.0</v>
      </c>
    </row>
    <row r="398">
      <c r="A398" s="27" t="s">
        <v>42</v>
      </c>
      <c r="B398" s="27" t="s">
        <v>1241</v>
      </c>
      <c r="C398" s="27" t="s">
        <v>1242</v>
      </c>
      <c r="D398" s="27" t="s">
        <v>1243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157000</f>
        <v>157000.0</v>
      </c>
      <c r="L398" s="34" t="s">
        <v>48</v>
      </c>
      <c r="M398" s="33" t="n">
        <f>157300</f>
        <v>157300.0</v>
      </c>
      <c r="N398" s="34" t="s">
        <v>203</v>
      </c>
      <c r="O398" s="33" t="n">
        <f>149700</f>
        <v>149700.0</v>
      </c>
      <c r="P398" s="34" t="s">
        <v>104</v>
      </c>
      <c r="Q398" s="33" t="n">
        <f>155300</f>
        <v>155300.0</v>
      </c>
      <c r="R398" s="34" t="s">
        <v>51</v>
      </c>
      <c r="S398" s="35" t="n">
        <f>152977.27</f>
        <v>152977.27</v>
      </c>
      <c r="T398" s="32" t="n">
        <f>80995</f>
        <v>80995.0</v>
      </c>
      <c r="U398" s="32" t="n">
        <f>16982</f>
        <v>16982.0</v>
      </c>
      <c r="V398" s="32" t="n">
        <f>12407733505</f>
        <v>1.2407733505E10</v>
      </c>
      <c r="W398" s="32" t="n">
        <f>2601831205</f>
        <v>2.601831205E9</v>
      </c>
      <c r="X398" s="36" t="n">
        <f>22</f>
        <v>22.0</v>
      </c>
    </row>
    <row r="399">
      <c r="A399" s="27" t="s">
        <v>42</v>
      </c>
      <c r="B399" s="27" t="s">
        <v>1244</v>
      </c>
      <c r="C399" s="27" t="s">
        <v>1245</v>
      </c>
      <c r="D399" s="27" t="s">
        <v>1246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85900</f>
        <v>85900.0</v>
      </c>
      <c r="L399" s="34" t="s">
        <v>48</v>
      </c>
      <c r="M399" s="33" t="n">
        <f>86500</f>
        <v>86500.0</v>
      </c>
      <c r="N399" s="34" t="s">
        <v>70</v>
      </c>
      <c r="O399" s="33" t="n">
        <f>82400</f>
        <v>82400.0</v>
      </c>
      <c r="P399" s="34" t="s">
        <v>158</v>
      </c>
      <c r="Q399" s="33" t="n">
        <f>83700</f>
        <v>83700.0</v>
      </c>
      <c r="R399" s="34" t="s">
        <v>51</v>
      </c>
      <c r="S399" s="35" t="n">
        <f>84131.82</f>
        <v>84131.82</v>
      </c>
      <c r="T399" s="32" t="n">
        <f>141489</f>
        <v>141489.0</v>
      </c>
      <c r="U399" s="32" t="n">
        <f>35404</f>
        <v>35404.0</v>
      </c>
      <c r="V399" s="32" t="n">
        <f>11918532189</f>
        <v>1.1918532189E10</v>
      </c>
      <c r="W399" s="32" t="n">
        <f>2978834589</f>
        <v>2.978834589E9</v>
      </c>
      <c r="X399" s="36" t="n">
        <f>22</f>
        <v>22.0</v>
      </c>
    </row>
    <row r="400">
      <c r="A400" s="27" t="s">
        <v>42</v>
      </c>
      <c r="B400" s="27" t="s">
        <v>1247</v>
      </c>
      <c r="C400" s="27" t="s">
        <v>1248</v>
      </c>
      <c r="D400" s="27" t="s">
        <v>1249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82000</f>
        <v>82000.0</v>
      </c>
      <c r="L400" s="34" t="s">
        <v>48</v>
      </c>
      <c r="M400" s="33" t="n">
        <f>82000</f>
        <v>82000.0</v>
      </c>
      <c r="N400" s="34" t="s">
        <v>48</v>
      </c>
      <c r="O400" s="33" t="n">
        <f>75100</f>
        <v>75100.0</v>
      </c>
      <c r="P400" s="34" t="s">
        <v>49</v>
      </c>
      <c r="Q400" s="33" t="n">
        <f>76600</f>
        <v>76600.0</v>
      </c>
      <c r="R400" s="34" t="s">
        <v>51</v>
      </c>
      <c r="S400" s="35" t="n">
        <f>77786.36</f>
        <v>77786.36</v>
      </c>
      <c r="T400" s="32" t="n">
        <f>453304</f>
        <v>453304.0</v>
      </c>
      <c r="U400" s="32" t="n">
        <f>106182</f>
        <v>106182.0</v>
      </c>
      <c r="V400" s="32" t="n">
        <f>35123712001</f>
        <v>3.5123712001E10</v>
      </c>
      <c r="W400" s="32" t="n">
        <f>8203537401</f>
        <v>8.203537401E9</v>
      </c>
      <c r="X400" s="36" t="n">
        <f>22</f>
        <v>22.0</v>
      </c>
    </row>
    <row r="401">
      <c r="A401" s="27" t="s">
        <v>42</v>
      </c>
      <c r="B401" s="27" t="s">
        <v>1250</v>
      </c>
      <c r="C401" s="27" t="s">
        <v>1251</v>
      </c>
      <c r="D401" s="27" t="s">
        <v>1252</v>
      </c>
      <c r="E401" s="28" t="s">
        <v>46</v>
      </c>
      <c r="F401" s="29" t="s">
        <v>46</v>
      </c>
      <c r="G401" s="30" t="s">
        <v>46</v>
      </c>
      <c r="H401" s="31"/>
      <c r="I401" s="31" t="s">
        <v>418</v>
      </c>
      <c r="J401" s="32" t="n">
        <v>1.0</v>
      </c>
      <c r="K401" s="33" t="n">
        <f>131300</f>
        <v>131300.0</v>
      </c>
      <c r="L401" s="34" t="s">
        <v>48</v>
      </c>
      <c r="M401" s="33" t="n">
        <f>135000</f>
        <v>135000.0</v>
      </c>
      <c r="N401" s="34" t="s">
        <v>72</v>
      </c>
      <c r="O401" s="33" t="n">
        <f>125700</f>
        <v>125700.0</v>
      </c>
      <c r="P401" s="34" t="s">
        <v>210</v>
      </c>
      <c r="Q401" s="33" t="n">
        <f>134300</f>
        <v>134300.0</v>
      </c>
      <c r="R401" s="34" t="s">
        <v>51</v>
      </c>
      <c r="S401" s="35" t="n">
        <f>129718.18</f>
        <v>129718.18</v>
      </c>
      <c r="T401" s="32" t="n">
        <f>25533</f>
        <v>25533.0</v>
      </c>
      <c r="U401" s="32" t="n">
        <f>3709</f>
        <v>3709.0</v>
      </c>
      <c r="V401" s="32" t="n">
        <f>3308672739</f>
        <v>3.308672739E9</v>
      </c>
      <c r="W401" s="32" t="n">
        <f>483370539</f>
        <v>4.83370539E8</v>
      </c>
      <c r="X401" s="36" t="n">
        <f>22</f>
        <v>22.0</v>
      </c>
    </row>
    <row r="402">
      <c r="A402" s="27" t="s">
        <v>42</v>
      </c>
      <c r="B402" s="27" t="s">
        <v>1253</v>
      </c>
      <c r="C402" s="27" t="s">
        <v>1254</v>
      </c>
      <c r="D402" s="27" t="s">
        <v>1255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109900</f>
        <v>109900.0</v>
      </c>
      <c r="L402" s="34" t="s">
        <v>48</v>
      </c>
      <c r="M402" s="33" t="n">
        <f>111700</f>
        <v>111700.0</v>
      </c>
      <c r="N402" s="34" t="s">
        <v>70</v>
      </c>
      <c r="O402" s="33" t="n">
        <f>106100</f>
        <v>106100.0</v>
      </c>
      <c r="P402" s="34" t="s">
        <v>210</v>
      </c>
      <c r="Q402" s="33" t="n">
        <f>111300</f>
        <v>111300.0</v>
      </c>
      <c r="R402" s="34" t="s">
        <v>51</v>
      </c>
      <c r="S402" s="35" t="n">
        <f>108550</f>
        <v>108550.0</v>
      </c>
      <c r="T402" s="32" t="n">
        <f>27012</f>
        <v>27012.0</v>
      </c>
      <c r="U402" s="32" t="n">
        <f>4651</f>
        <v>4651.0</v>
      </c>
      <c r="V402" s="32" t="n">
        <f>2933534867</f>
        <v>2.933534867E9</v>
      </c>
      <c r="W402" s="32" t="n">
        <f>507391267</f>
        <v>5.07391267E8</v>
      </c>
      <c r="X402" s="36" t="n">
        <f>22</f>
        <v>22.0</v>
      </c>
    </row>
    <row r="403">
      <c r="A403" s="27" t="s">
        <v>42</v>
      </c>
      <c r="B403" s="27" t="s">
        <v>1256</v>
      </c>
      <c r="C403" s="27" t="s">
        <v>1257</v>
      </c>
      <c r="D403" s="27" t="s">
        <v>1258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98800</f>
        <v>98800.0</v>
      </c>
      <c r="L403" s="34" t="s">
        <v>48</v>
      </c>
      <c r="M403" s="33" t="n">
        <f>98800</f>
        <v>98800.0</v>
      </c>
      <c r="N403" s="34" t="s">
        <v>48</v>
      </c>
      <c r="O403" s="33" t="n">
        <f>91900</f>
        <v>91900.0</v>
      </c>
      <c r="P403" s="34" t="s">
        <v>49</v>
      </c>
      <c r="Q403" s="33" t="n">
        <f>96300</f>
        <v>96300.0</v>
      </c>
      <c r="R403" s="34" t="s">
        <v>51</v>
      </c>
      <c r="S403" s="35" t="n">
        <f>95159.09</f>
        <v>95159.09</v>
      </c>
      <c r="T403" s="32" t="n">
        <f>32042</f>
        <v>32042.0</v>
      </c>
      <c r="U403" s="32" t="n">
        <f>4650</f>
        <v>4650.0</v>
      </c>
      <c r="V403" s="32" t="n">
        <f>3048194495</f>
        <v>3.048194495E9</v>
      </c>
      <c r="W403" s="32" t="n">
        <f>443375195</f>
        <v>4.43375195E8</v>
      </c>
      <c r="X403" s="36" t="n">
        <f>22</f>
        <v>22.0</v>
      </c>
    </row>
    <row r="404">
      <c r="A404" s="27" t="s">
        <v>42</v>
      </c>
      <c r="B404" s="27" t="s">
        <v>1259</v>
      </c>
      <c r="C404" s="27" t="s">
        <v>1260</v>
      </c>
      <c r="D404" s="27" t="s">
        <v>1261</v>
      </c>
      <c r="E404" s="28" t="s">
        <v>46</v>
      </c>
      <c r="F404" s="29" t="s">
        <v>46</v>
      </c>
      <c r="G404" s="30" t="s">
        <v>46</v>
      </c>
      <c r="H404" s="31"/>
      <c r="I404" s="31" t="s">
        <v>418</v>
      </c>
      <c r="J404" s="32" t="n">
        <v>1.0</v>
      </c>
      <c r="K404" s="33" t="n">
        <f>14570</f>
        <v>14570.0</v>
      </c>
      <c r="L404" s="34" t="s">
        <v>48</v>
      </c>
      <c r="M404" s="33" t="n">
        <f>15270</f>
        <v>15270.0</v>
      </c>
      <c r="N404" s="34" t="s">
        <v>72</v>
      </c>
      <c r="O404" s="33" t="n">
        <f>14020</f>
        <v>14020.0</v>
      </c>
      <c r="P404" s="34" t="s">
        <v>158</v>
      </c>
      <c r="Q404" s="33" t="n">
        <f>14820</f>
        <v>14820.0</v>
      </c>
      <c r="R404" s="34" t="s">
        <v>51</v>
      </c>
      <c r="S404" s="35" t="n">
        <f>14612.73</f>
        <v>14612.73</v>
      </c>
      <c r="T404" s="32" t="n">
        <f>37034</f>
        <v>37034.0</v>
      </c>
      <c r="U404" s="32" t="n">
        <f>7800</f>
        <v>7800.0</v>
      </c>
      <c r="V404" s="32" t="n">
        <f>539119600</f>
        <v>5.391196E8</v>
      </c>
      <c r="W404" s="32" t="n">
        <f>111150000</f>
        <v>1.1115E8</v>
      </c>
      <c r="X404" s="36" t="n">
        <f>22</f>
        <v>22.0</v>
      </c>
    </row>
    <row r="405">
      <c r="A405" s="27" t="s">
        <v>42</v>
      </c>
      <c r="B405" s="27" t="s">
        <v>1262</v>
      </c>
      <c r="C405" s="27" t="s">
        <v>1263</v>
      </c>
      <c r="D405" s="27" t="s">
        <v>1264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152600</f>
        <v>152600.0</v>
      </c>
      <c r="L405" s="34" t="s">
        <v>48</v>
      </c>
      <c r="M405" s="33" t="n">
        <f>153600</f>
        <v>153600.0</v>
      </c>
      <c r="N405" s="34" t="s">
        <v>72</v>
      </c>
      <c r="O405" s="33" t="n">
        <f>146800</f>
        <v>146800.0</v>
      </c>
      <c r="P405" s="34" t="s">
        <v>158</v>
      </c>
      <c r="Q405" s="33" t="n">
        <f>151800</f>
        <v>151800.0</v>
      </c>
      <c r="R405" s="34" t="s">
        <v>51</v>
      </c>
      <c r="S405" s="35" t="n">
        <f>149922.73</f>
        <v>149922.73</v>
      </c>
      <c r="T405" s="32" t="n">
        <f>262794</f>
        <v>262794.0</v>
      </c>
      <c r="U405" s="32" t="n">
        <f>64868</f>
        <v>64868.0</v>
      </c>
      <c r="V405" s="32" t="n">
        <f>39400774041</f>
        <v>3.9400774041E10</v>
      </c>
      <c r="W405" s="32" t="n">
        <f>9740104941</f>
        <v>9.740104941E9</v>
      </c>
      <c r="X405" s="36" t="n">
        <f>22</f>
        <v>22.0</v>
      </c>
    </row>
    <row r="406">
      <c r="A406" s="27" t="s">
        <v>42</v>
      </c>
      <c r="B406" s="27" t="s">
        <v>1265</v>
      </c>
      <c r="C406" s="27" t="s">
        <v>1266</v>
      </c>
      <c r="D406" s="27" t="s">
        <v>1267</v>
      </c>
      <c r="E406" s="28" t="s">
        <v>46</v>
      </c>
      <c r="F406" s="29" t="s">
        <v>46</v>
      </c>
      <c r="G406" s="30" t="s">
        <v>46</v>
      </c>
      <c r="H406" s="31"/>
      <c r="I406" s="31" t="s">
        <v>418</v>
      </c>
      <c r="J406" s="32" t="n">
        <v>1.0</v>
      </c>
      <c r="K406" s="33" t="n">
        <f>114000</f>
        <v>114000.0</v>
      </c>
      <c r="L406" s="34" t="s">
        <v>48</v>
      </c>
      <c r="M406" s="33" t="n">
        <f>117000</f>
        <v>117000.0</v>
      </c>
      <c r="N406" s="34" t="s">
        <v>72</v>
      </c>
      <c r="O406" s="33" t="n">
        <f>109500</f>
        <v>109500.0</v>
      </c>
      <c r="P406" s="34" t="s">
        <v>296</v>
      </c>
      <c r="Q406" s="33" t="n">
        <f>115500</f>
        <v>115500.0</v>
      </c>
      <c r="R406" s="34" t="s">
        <v>51</v>
      </c>
      <c r="S406" s="35" t="n">
        <f>112986.36</f>
        <v>112986.36</v>
      </c>
      <c r="T406" s="32" t="n">
        <f>26881</f>
        <v>26881.0</v>
      </c>
      <c r="U406" s="32" t="n">
        <f>2620</f>
        <v>2620.0</v>
      </c>
      <c r="V406" s="32" t="n">
        <f>3029955426</f>
        <v>3.029955426E9</v>
      </c>
      <c r="W406" s="32" t="n">
        <f>296254426</f>
        <v>2.96254426E8</v>
      </c>
      <c r="X406" s="36" t="n">
        <f>22</f>
        <v>22.0</v>
      </c>
    </row>
    <row r="407">
      <c r="A407" s="27" t="s">
        <v>42</v>
      </c>
      <c r="B407" s="27" t="s">
        <v>1268</v>
      </c>
      <c r="C407" s="27" t="s">
        <v>1269</v>
      </c>
      <c r="D407" s="27" t="s">
        <v>1270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145700</f>
        <v>145700.0</v>
      </c>
      <c r="L407" s="34" t="s">
        <v>48</v>
      </c>
      <c r="M407" s="33" t="n">
        <f>148100</f>
        <v>148100.0</v>
      </c>
      <c r="N407" s="34" t="s">
        <v>70</v>
      </c>
      <c r="O407" s="33" t="n">
        <f>141300</f>
        <v>141300.0</v>
      </c>
      <c r="P407" s="34" t="s">
        <v>210</v>
      </c>
      <c r="Q407" s="33" t="n">
        <f>146000</f>
        <v>146000.0</v>
      </c>
      <c r="R407" s="34" t="s">
        <v>51</v>
      </c>
      <c r="S407" s="35" t="n">
        <f>144140.91</f>
        <v>144140.91</v>
      </c>
      <c r="T407" s="32" t="n">
        <f>137469</f>
        <v>137469.0</v>
      </c>
      <c r="U407" s="32" t="n">
        <f>34445</f>
        <v>34445.0</v>
      </c>
      <c r="V407" s="32" t="n">
        <f>19832234541</f>
        <v>1.9832234541E10</v>
      </c>
      <c r="W407" s="32" t="n">
        <f>4973207041</f>
        <v>4.973207041E9</v>
      </c>
      <c r="X407" s="36" t="n">
        <f>22</f>
        <v>22.0</v>
      </c>
    </row>
    <row r="408">
      <c r="A408" s="27" t="s">
        <v>42</v>
      </c>
      <c r="B408" s="27" t="s">
        <v>1271</v>
      </c>
      <c r="C408" s="27" t="s">
        <v>1272</v>
      </c>
      <c r="D408" s="27" t="s">
        <v>1273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54900</f>
        <v>54900.0</v>
      </c>
      <c r="L408" s="34" t="s">
        <v>48</v>
      </c>
      <c r="M408" s="33" t="n">
        <f>55600</f>
        <v>55600.0</v>
      </c>
      <c r="N408" s="34" t="s">
        <v>72</v>
      </c>
      <c r="O408" s="33" t="n">
        <f>52900</f>
        <v>52900.0</v>
      </c>
      <c r="P408" s="34" t="s">
        <v>158</v>
      </c>
      <c r="Q408" s="33" t="n">
        <f>55000</f>
        <v>55000.0</v>
      </c>
      <c r="R408" s="34" t="s">
        <v>51</v>
      </c>
      <c r="S408" s="35" t="n">
        <f>54245.45</f>
        <v>54245.45</v>
      </c>
      <c r="T408" s="32" t="n">
        <f>179331</f>
        <v>179331.0</v>
      </c>
      <c r="U408" s="32" t="n">
        <f>37020</f>
        <v>37020.0</v>
      </c>
      <c r="V408" s="32" t="n">
        <f>9750208479</f>
        <v>9.750208479E9</v>
      </c>
      <c r="W408" s="32" t="n">
        <f>2016075479</f>
        <v>2.016075479E9</v>
      </c>
      <c r="X408" s="36" t="n">
        <f>22</f>
        <v>22.0</v>
      </c>
    </row>
    <row r="409">
      <c r="A409" s="27" t="s">
        <v>42</v>
      </c>
      <c r="B409" s="27" t="s">
        <v>1274</v>
      </c>
      <c r="C409" s="27" t="s">
        <v>1275</v>
      </c>
      <c r="D409" s="27" t="s">
        <v>1276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5290</f>
        <v>5290.0</v>
      </c>
      <c r="L409" s="34" t="s">
        <v>48</v>
      </c>
      <c r="M409" s="33" t="n">
        <f>5650</f>
        <v>5650.0</v>
      </c>
      <c r="N409" s="34" t="s">
        <v>61</v>
      </c>
      <c r="O409" s="33" t="n">
        <f>4792</f>
        <v>4792.0</v>
      </c>
      <c r="P409" s="34" t="s">
        <v>50</v>
      </c>
      <c r="Q409" s="33" t="n">
        <f>5392</f>
        <v>5392.0</v>
      </c>
      <c r="R409" s="34" t="s">
        <v>51</v>
      </c>
      <c r="S409" s="35" t="n">
        <f>5332.91</f>
        <v>5332.91</v>
      </c>
      <c r="T409" s="32" t="n">
        <f>729275</f>
        <v>729275.0</v>
      </c>
      <c r="U409" s="32" t="n">
        <f>582</f>
        <v>582.0</v>
      </c>
      <c r="V409" s="32" t="n">
        <f>3891254396</f>
        <v>3.891254396E9</v>
      </c>
      <c r="W409" s="32" t="n">
        <f>3106317</f>
        <v>3106317.0</v>
      </c>
      <c r="X409" s="36" t="n">
        <f>22</f>
        <v>22.0</v>
      </c>
    </row>
    <row r="410">
      <c r="A410" s="27" t="s">
        <v>42</v>
      </c>
      <c r="B410" s="27" t="s">
        <v>1277</v>
      </c>
      <c r="C410" s="27" t="s">
        <v>1278</v>
      </c>
      <c r="D410" s="27" t="s">
        <v>1279</v>
      </c>
      <c r="E410" s="28" t="s">
        <v>46</v>
      </c>
      <c r="F410" s="29" t="s">
        <v>46</v>
      </c>
      <c r="G410" s="30" t="s">
        <v>46</v>
      </c>
      <c r="H410" s="31"/>
      <c r="I410" s="31" t="s">
        <v>418</v>
      </c>
      <c r="J410" s="32" t="n">
        <v>1.0</v>
      </c>
      <c r="K410" s="33" t="n">
        <f>110500</f>
        <v>110500.0</v>
      </c>
      <c r="L410" s="34" t="s">
        <v>48</v>
      </c>
      <c r="M410" s="33" t="n">
        <f>110700</f>
        <v>110700.0</v>
      </c>
      <c r="N410" s="34" t="s">
        <v>48</v>
      </c>
      <c r="O410" s="33" t="n">
        <f>105500</f>
        <v>105500.0</v>
      </c>
      <c r="P410" s="34" t="s">
        <v>210</v>
      </c>
      <c r="Q410" s="33" t="n">
        <f>106700</f>
        <v>106700.0</v>
      </c>
      <c r="R410" s="34" t="s">
        <v>51</v>
      </c>
      <c r="S410" s="35" t="n">
        <f>107636.36</f>
        <v>107636.36</v>
      </c>
      <c r="T410" s="32" t="n">
        <f>26733</f>
        <v>26733.0</v>
      </c>
      <c r="U410" s="32" t="n">
        <f>3005</f>
        <v>3005.0</v>
      </c>
      <c r="V410" s="32" t="n">
        <f>2877869698</f>
        <v>2.877869698E9</v>
      </c>
      <c r="W410" s="32" t="n">
        <f>323884698</f>
        <v>3.23884698E8</v>
      </c>
      <c r="X410" s="36" t="n">
        <f>22</f>
        <v>22.0</v>
      </c>
    </row>
    <row r="411">
      <c r="A411" s="27" t="s">
        <v>42</v>
      </c>
      <c r="B411" s="27" t="s">
        <v>1280</v>
      </c>
      <c r="C411" s="27" t="s">
        <v>1281</v>
      </c>
      <c r="D411" s="27" t="s">
        <v>1282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107100</f>
        <v>107100.0</v>
      </c>
      <c r="L411" s="34" t="s">
        <v>48</v>
      </c>
      <c r="M411" s="33" t="n">
        <f>109300</f>
        <v>109300.0</v>
      </c>
      <c r="N411" s="34" t="s">
        <v>51</v>
      </c>
      <c r="O411" s="33" t="n">
        <f>102400</f>
        <v>102400.0</v>
      </c>
      <c r="P411" s="34" t="s">
        <v>104</v>
      </c>
      <c r="Q411" s="33" t="n">
        <f>107800</f>
        <v>107800.0</v>
      </c>
      <c r="R411" s="34" t="s">
        <v>51</v>
      </c>
      <c r="S411" s="35" t="n">
        <f>105631.82</f>
        <v>105631.82</v>
      </c>
      <c r="T411" s="32" t="n">
        <f>260210</f>
        <v>260210.0</v>
      </c>
      <c r="U411" s="32" t="n">
        <f>55466</f>
        <v>55466.0</v>
      </c>
      <c r="V411" s="32" t="n">
        <f>27504315027</f>
        <v>2.7504315027E10</v>
      </c>
      <c r="W411" s="32" t="n">
        <f>5857435627</f>
        <v>5.857435627E9</v>
      </c>
      <c r="X411" s="36" t="n">
        <f>22</f>
        <v>22.0</v>
      </c>
    </row>
    <row r="412">
      <c r="A412" s="27" t="s">
        <v>42</v>
      </c>
      <c r="B412" s="27" t="s">
        <v>1283</v>
      </c>
      <c r="C412" s="27" t="s">
        <v>1284</v>
      </c>
      <c r="D412" s="27" t="s">
        <v>1285</v>
      </c>
      <c r="E412" s="28" t="s">
        <v>46</v>
      </c>
      <c r="F412" s="29" t="s">
        <v>46</v>
      </c>
      <c r="G412" s="30" t="s">
        <v>46</v>
      </c>
      <c r="H412" s="31"/>
      <c r="I412" s="31" t="s">
        <v>418</v>
      </c>
      <c r="J412" s="32" t="n">
        <v>1.0</v>
      </c>
      <c r="K412" s="33" t="n">
        <f>65600</f>
        <v>65600.0</v>
      </c>
      <c r="L412" s="34" t="s">
        <v>48</v>
      </c>
      <c r="M412" s="33" t="n">
        <f>65600</f>
        <v>65600.0</v>
      </c>
      <c r="N412" s="34" t="s">
        <v>48</v>
      </c>
      <c r="O412" s="33" t="n">
        <f>62300</f>
        <v>62300.0</v>
      </c>
      <c r="P412" s="34" t="s">
        <v>104</v>
      </c>
      <c r="Q412" s="33" t="n">
        <f>64900</f>
        <v>64900.0</v>
      </c>
      <c r="R412" s="34" t="s">
        <v>51</v>
      </c>
      <c r="S412" s="35" t="n">
        <f>63736.36</f>
        <v>63736.36</v>
      </c>
      <c r="T412" s="32" t="n">
        <f>51627</f>
        <v>51627.0</v>
      </c>
      <c r="U412" s="32" t="n">
        <f>5354</f>
        <v>5354.0</v>
      </c>
      <c r="V412" s="32" t="n">
        <f>3290803543</f>
        <v>3.290803543E9</v>
      </c>
      <c r="W412" s="32" t="n">
        <f>341626643</f>
        <v>3.41626643E8</v>
      </c>
      <c r="X412" s="36" t="n">
        <f>22</f>
        <v>22.0</v>
      </c>
    </row>
    <row r="413">
      <c r="A413" s="27" t="s">
        <v>42</v>
      </c>
      <c r="B413" s="27" t="s">
        <v>1286</v>
      </c>
      <c r="C413" s="27" t="s">
        <v>1287</v>
      </c>
      <c r="D413" s="27" t="s">
        <v>1288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43950</f>
        <v>43950.0</v>
      </c>
      <c r="L413" s="34" t="s">
        <v>48</v>
      </c>
      <c r="M413" s="33" t="n">
        <f>43950</f>
        <v>43950.0</v>
      </c>
      <c r="N413" s="34" t="s">
        <v>48</v>
      </c>
      <c r="O413" s="33" t="n">
        <f>41200</f>
        <v>41200.0</v>
      </c>
      <c r="P413" s="34" t="s">
        <v>49</v>
      </c>
      <c r="Q413" s="33" t="n">
        <f>41750</f>
        <v>41750.0</v>
      </c>
      <c r="R413" s="34" t="s">
        <v>51</v>
      </c>
      <c r="S413" s="35" t="n">
        <f>42470.45</f>
        <v>42470.45</v>
      </c>
      <c r="T413" s="32" t="n">
        <f>155916</f>
        <v>155916.0</v>
      </c>
      <c r="U413" s="32" t="n">
        <f>30936</f>
        <v>30936.0</v>
      </c>
      <c r="V413" s="32" t="n">
        <f>6621383300</f>
        <v>6.6213833E9</v>
      </c>
      <c r="W413" s="32" t="n">
        <f>1314623900</f>
        <v>1.3146239E9</v>
      </c>
      <c r="X413" s="36" t="n">
        <f>22</f>
        <v>22.0</v>
      </c>
    </row>
    <row r="414">
      <c r="A414" s="27" t="s">
        <v>42</v>
      </c>
      <c r="B414" s="27" t="s">
        <v>1289</v>
      </c>
      <c r="C414" s="27" t="s">
        <v>1290</v>
      </c>
      <c r="D414" s="27" t="s">
        <v>1291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121600</f>
        <v>121600.0</v>
      </c>
      <c r="L414" s="34" t="s">
        <v>48</v>
      </c>
      <c r="M414" s="33" t="n">
        <f>121600</f>
        <v>121600.0</v>
      </c>
      <c r="N414" s="34" t="s">
        <v>48</v>
      </c>
      <c r="O414" s="33" t="n">
        <f>116100</f>
        <v>116100.0</v>
      </c>
      <c r="P414" s="34" t="s">
        <v>104</v>
      </c>
      <c r="Q414" s="33" t="n">
        <f>119500</f>
        <v>119500.0</v>
      </c>
      <c r="R414" s="34" t="s">
        <v>51</v>
      </c>
      <c r="S414" s="35" t="n">
        <f>118695.45</f>
        <v>118695.45</v>
      </c>
      <c r="T414" s="32" t="n">
        <f>97979</f>
        <v>97979.0</v>
      </c>
      <c r="U414" s="32" t="n">
        <f>21238</f>
        <v>21238.0</v>
      </c>
      <c r="V414" s="32" t="n">
        <f>11631683786</f>
        <v>1.1631683786E10</v>
      </c>
      <c r="W414" s="32" t="n">
        <f>2520719786</f>
        <v>2.520719786E9</v>
      </c>
      <c r="X414" s="36" t="n">
        <f>22</f>
        <v>22.0</v>
      </c>
    </row>
    <row r="415">
      <c r="A415" s="27" t="s">
        <v>42</v>
      </c>
      <c r="B415" s="27" t="s">
        <v>1292</v>
      </c>
      <c r="C415" s="27" t="s">
        <v>1293</v>
      </c>
      <c r="D415" s="27" t="s">
        <v>1294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147500</f>
        <v>147500.0</v>
      </c>
      <c r="L415" s="34" t="s">
        <v>48</v>
      </c>
      <c r="M415" s="33" t="n">
        <f>147700</f>
        <v>147700.0</v>
      </c>
      <c r="N415" s="34" t="s">
        <v>48</v>
      </c>
      <c r="O415" s="33" t="n">
        <f>138600</f>
        <v>138600.0</v>
      </c>
      <c r="P415" s="34" t="s">
        <v>154</v>
      </c>
      <c r="Q415" s="33" t="n">
        <f>140400</f>
        <v>140400.0</v>
      </c>
      <c r="R415" s="34" t="s">
        <v>51</v>
      </c>
      <c r="S415" s="35" t="n">
        <f>141240.91</f>
        <v>141240.91</v>
      </c>
      <c r="T415" s="32" t="n">
        <f>61491</f>
        <v>61491.0</v>
      </c>
      <c r="U415" s="32" t="n">
        <f>9906</f>
        <v>9906.0</v>
      </c>
      <c r="V415" s="32" t="n">
        <f>8690271176</f>
        <v>8.690271176E9</v>
      </c>
      <c r="W415" s="32" t="n">
        <f>1400743376</f>
        <v>1.400743376E9</v>
      </c>
      <c r="X415" s="36" t="n">
        <f>22</f>
        <v>22.0</v>
      </c>
    </row>
    <row r="416">
      <c r="A416" s="27" t="s">
        <v>42</v>
      </c>
      <c r="B416" s="27" t="s">
        <v>1295</v>
      </c>
      <c r="C416" s="27" t="s">
        <v>1296</v>
      </c>
      <c r="D416" s="27" t="s">
        <v>1297</v>
      </c>
      <c r="E416" s="28" t="s">
        <v>46</v>
      </c>
      <c r="F416" s="29" t="s">
        <v>46</v>
      </c>
      <c r="G416" s="30" t="s">
        <v>46</v>
      </c>
      <c r="H416" s="31"/>
      <c r="I416" s="31" t="s">
        <v>418</v>
      </c>
      <c r="J416" s="32" t="n">
        <v>1.0</v>
      </c>
      <c r="K416" s="33" t="n">
        <f>106200</f>
        <v>106200.0</v>
      </c>
      <c r="L416" s="34" t="s">
        <v>48</v>
      </c>
      <c r="M416" s="33" t="n">
        <f>106600</f>
        <v>106600.0</v>
      </c>
      <c r="N416" s="34" t="s">
        <v>48</v>
      </c>
      <c r="O416" s="33" t="n">
        <f>103400</f>
        <v>103400.0</v>
      </c>
      <c r="P416" s="34" t="s">
        <v>210</v>
      </c>
      <c r="Q416" s="33" t="n">
        <f>104400</f>
        <v>104400.0</v>
      </c>
      <c r="R416" s="34" t="s">
        <v>51</v>
      </c>
      <c r="S416" s="35" t="n">
        <f>104295.45</f>
        <v>104295.45</v>
      </c>
      <c r="T416" s="32" t="n">
        <f>27980</f>
        <v>27980.0</v>
      </c>
      <c r="U416" s="32" t="n">
        <f>3075</f>
        <v>3075.0</v>
      </c>
      <c r="V416" s="32" t="n">
        <f>2918305546</f>
        <v>2.918305546E9</v>
      </c>
      <c r="W416" s="32" t="n">
        <f>320773346</f>
        <v>3.20773346E8</v>
      </c>
      <c r="X416" s="36" t="n">
        <f>22</f>
        <v>22.0</v>
      </c>
    </row>
    <row r="417">
      <c r="A417" s="27" t="s">
        <v>42</v>
      </c>
      <c r="B417" s="27" t="s">
        <v>1298</v>
      </c>
      <c r="C417" s="27" t="s">
        <v>1299</v>
      </c>
      <c r="D417" s="27" t="s">
        <v>1300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294.4</f>
        <v>294.4</v>
      </c>
      <c r="L417" s="34" t="s">
        <v>48</v>
      </c>
      <c r="M417" s="33" t="n">
        <f>310</f>
        <v>310.0</v>
      </c>
      <c r="N417" s="34" t="s">
        <v>61</v>
      </c>
      <c r="O417" s="33" t="n">
        <f>280.5</f>
        <v>280.5</v>
      </c>
      <c r="P417" s="34" t="s">
        <v>50</v>
      </c>
      <c r="Q417" s="33" t="n">
        <f>297.1</f>
        <v>297.1</v>
      </c>
      <c r="R417" s="34" t="s">
        <v>51</v>
      </c>
      <c r="S417" s="35" t="n">
        <f>293.65</f>
        <v>293.65</v>
      </c>
      <c r="T417" s="32" t="n">
        <f>1447660</f>
        <v>1447660.0</v>
      </c>
      <c r="U417" s="32" t="n">
        <f>210</f>
        <v>210.0</v>
      </c>
      <c r="V417" s="32" t="n">
        <f>425411210</f>
        <v>4.2541121E8</v>
      </c>
      <c r="W417" s="32" t="n">
        <f>63651</f>
        <v>63651.0</v>
      </c>
      <c r="X417" s="36" t="n">
        <f>22</f>
        <v>22.0</v>
      </c>
    </row>
    <row r="418">
      <c r="A418" s="27" t="s">
        <v>42</v>
      </c>
      <c r="B418" s="27" t="s">
        <v>1301</v>
      </c>
      <c r="C418" s="27" t="s">
        <v>1302</v>
      </c>
      <c r="D418" s="27" t="s">
        <v>1303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82700</f>
        <v>82700.0</v>
      </c>
      <c r="L418" s="34" t="s">
        <v>48</v>
      </c>
      <c r="M418" s="33" t="n">
        <f>83900</f>
        <v>83900.0</v>
      </c>
      <c r="N418" s="34" t="s">
        <v>203</v>
      </c>
      <c r="O418" s="33" t="n">
        <f>80900</f>
        <v>80900.0</v>
      </c>
      <c r="P418" s="34" t="s">
        <v>158</v>
      </c>
      <c r="Q418" s="33" t="n">
        <f>82700</f>
        <v>82700.0</v>
      </c>
      <c r="R418" s="34" t="s">
        <v>51</v>
      </c>
      <c r="S418" s="35" t="n">
        <f>82172.73</f>
        <v>82172.73</v>
      </c>
      <c r="T418" s="32" t="n">
        <f>134777</f>
        <v>134777.0</v>
      </c>
      <c r="U418" s="32" t="n">
        <f>19286</f>
        <v>19286.0</v>
      </c>
      <c r="V418" s="32" t="n">
        <f>11072824945</f>
        <v>1.1072824945E10</v>
      </c>
      <c r="W418" s="32" t="n">
        <f>1585208345</f>
        <v>1.585208345E9</v>
      </c>
      <c r="X418" s="36" t="n">
        <f>22</f>
        <v>22.0</v>
      </c>
    </row>
    <row r="419">
      <c r="A419" s="27" t="s">
        <v>42</v>
      </c>
      <c r="B419" s="27" t="s">
        <v>1304</v>
      </c>
      <c r="C419" s="27" t="s">
        <v>1305</v>
      </c>
      <c r="D419" s="27" t="s">
        <v>1306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860</f>
        <v>860.0</v>
      </c>
      <c r="L419" s="34" t="s">
        <v>48</v>
      </c>
      <c r="M419" s="33" t="n">
        <f>935.1</f>
        <v>935.1</v>
      </c>
      <c r="N419" s="34" t="s">
        <v>61</v>
      </c>
      <c r="O419" s="33" t="n">
        <f>798.3</f>
        <v>798.3</v>
      </c>
      <c r="P419" s="34" t="s">
        <v>50</v>
      </c>
      <c r="Q419" s="33" t="n">
        <f>859.9</f>
        <v>859.9</v>
      </c>
      <c r="R419" s="34" t="s">
        <v>51</v>
      </c>
      <c r="S419" s="35" t="n">
        <f>845.62</f>
        <v>845.62</v>
      </c>
      <c r="T419" s="32" t="n">
        <f>734300</f>
        <v>734300.0</v>
      </c>
      <c r="U419" s="32" t="str">
        <f>"－"</f>
        <v>－</v>
      </c>
      <c r="V419" s="32" t="n">
        <f>616299983</f>
        <v>6.16299983E8</v>
      </c>
      <c r="W419" s="32" t="str">
        <f>"－"</f>
        <v>－</v>
      </c>
      <c r="X419" s="36" t="n">
        <f>22</f>
        <v>22.0</v>
      </c>
    </row>
    <row r="420">
      <c r="A420" s="27" t="s">
        <v>42</v>
      </c>
      <c r="B420" s="27" t="s">
        <v>1307</v>
      </c>
      <c r="C420" s="27" t="s">
        <v>1308</v>
      </c>
      <c r="D420" s="27" t="s">
        <v>1309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3028</f>
        <v>3028.0</v>
      </c>
      <c r="L420" s="34" t="s">
        <v>48</v>
      </c>
      <c r="M420" s="33" t="n">
        <f>3118</f>
        <v>3118.0</v>
      </c>
      <c r="N420" s="34" t="s">
        <v>203</v>
      </c>
      <c r="O420" s="33" t="n">
        <f>2946</f>
        <v>2946.0</v>
      </c>
      <c r="P420" s="34" t="s">
        <v>158</v>
      </c>
      <c r="Q420" s="33" t="n">
        <f>3060</f>
        <v>3060.0</v>
      </c>
      <c r="R420" s="34" t="s">
        <v>51</v>
      </c>
      <c r="S420" s="35" t="n">
        <f>3038.45</f>
        <v>3038.45</v>
      </c>
      <c r="T420" s="32" t="n">
        <f>1227783</f>
        <v>1227783.0</v>
      </c>
      <c r="U420" s="32" t="n">
        <f>470350</f>
        <v>470350.0</v>
      </c>
      <c r="V420" s="32" t="n">
        <f>3736586015</f>
        <v>3.736586015E9</v>
      </c>
      <c r="W420" s="32" t="n">
        <f>1443309480</f>
        <v>1.44330948E9</v>
      </c>
      <c r="X420" s="36" t="n">
        <f>22</f>
        <v>22.0</v>
      </c>
    </row>
    <row r="421">
      <c r="A421" s="27" t="s">
        <v>42</v>
      </c>
      <c r="B421" s="27" t="s">
        <v>1310</v>
      </c>
      <c r="C421" s="27" t="s">
        <v>1311</v>
      </c>
      <c r="D421" s="27" t="s">
        <v>1312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1515</f>
        <v>1515.0</v>
      </c>
      <c r="L421" s="34" t="s">
        <v>48</v>
      </c>
      <c r="M421" s="33" t="n">
        <f>1535</f>
        <v>1535.0</v>
      </c>
      <c r="N421" s="34" t="s">
        <v>51</v>
      </c>
      <c r="O421" s="33" t="n">
        <f>1454</f>
        <v>1454.0</v>
      </c>
      <c r="P421" s="34" t="s">
        <v>50</v>
      </c>
      <c r="Q421" s="33" t="n">
        <f>1533</f>
        <v>1533.0</v>
      </c>
      <c r="R421" s="34" t="s">
        <v>51</v>
      </c>
      <c r="S421" s="35" t="n">
        <f>1501.32</f>
        <v>1501.32</v>
      </c>
      <c r="T421" s="32" t="n">
        <f>70470</f>
        <v>70470.0</v>
      </c>
      <c r="U421" s="32" t="str">
        <f>"－"</f>
        <v>－</v>
      </c>
      <c r="V421" s="32" t="n">
        <f>105692058</f>
        <v>1.05692058E8</v>
      </c>
      <c r="W421" s="32" t="str">
        <f>"－"</f>
        <v>－</v>
      </c>
      <c r="X421" s="36" t="n">
        <f>22</f>
        <v>22.0</v>
      </c>
    </row>
    <row r="422">
      <c r="A422" s="27" t="s">
        <v>42</v>
      </c>
      <c r="B422" s="27" t="s">
        <v>1313</v>
      </c>
      <c r="C422" s="27" t="s">
        <v>1314</v>
      </c>
      <c r="D422" s="27" t="s">
        <v>1315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1086.5</f>
        <v>1086.5</v>
      </c>
      <c r="L422" s="34" t="s">
        <v>48</v>
      </c>
      <c r="M422" s="33" t="n">
        <f>1108.5</f>
        <v>1108.5</v>
      </c>
      <c r="N422" s="34" t="s">
        <v>51</v>
      </c>
      <c r="O422" s="33" t="n">
        <f>1040.5</f>
        <v>1040.5</v>
      </c>
      <c r="P422" s="34" t="s">
        <v>104</v>
      </c>
      <c r="Q422" s="33" t="n">
        <f>1108.5</f>
        <v>1108.5</v>
      </c>
      <c r="R422" s="34" t="s">
        <v>51</v>
      </c>
      <c r="S422" s="35" t="n">
        <f>1077.65</f>
        <v>1077.65</v>
      </c>
      <c r="T422" s="32" t="n">
        <f>2780</f>
        <v>2780.0</v>
      </c>
      <c r="U422" s="32" t="str">
        <f>"－"</f>
        <v>－</v>
      </c>
      <c r="V422" s="32" t="n">
        <f>3009715</f>
        <v>3009715.0</v>
      </c>
      <c r="W422" s="32" t="str">
        <f>"－"</f>
        <v>－</v>
      </c>
      <c r="X422" s="36" t="n">
        <f>13</f>
        <v>13.0</v>
      </c>
    </row>
    <row r="423">
      <c r="A423" s="27" t="s">
        <v>42</v>
      </c>
      <c r="B423" s="27" t="s">
        <v>1316</v>
      </c>
      <c r="C423" s="27" t="s">
        <v>1317</v>
      </c>
      <c r="D423" s="27" t="s">
        <v>1318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2660</f>
        <v>2660.0</v>
      </c>
      <c r="L423" s="34" t="s">
        <v>48</v>
      </c>
      <c r="M423" s="33" t="n">
        <f>2705</f>
        <v>2705.0</v>
      </c>
      <c r="N423" s="34" t="s">
        <v>203</v>
      </c>
      <c r="O423" s="33" t="n">
        <f>2565</f>
        <v>2565.0</v>
      </c>
      <c r="P423" s="34" t="s">
        <v>66</v>
      </c>
      <c r="Q423" s="33" t="n">
        <f>2693</f>
        <v>2693.0</v>
      </c>
      <c r="R423" s="34" t="s">
        <v>51</v>
      </c>
      <c r="S423" s="35" t="n">
        <f>2654.68</f>
        <v>2654.68</v>
      </c>
      <c r="T423" s="32" t="n">
        <f>13063</f>
        <v>13063.0</v>
      </c>
      <c r="U423" s="32" t="str">
        <f>"－"</f>
        <v>－</v>
      </c>
      <c r="V423" s="32" t="n">
        <f>34601411</f>
        <v>3.4601411E7</v>
      </c>
      <c r="W423" s="32" t="str">
        <f>"－"</f>
        <v>－</v>
      </c>
      <c r="X423" s="36" t="n">
        <f>22</f>
        <v>22.0</v>
      </c>
    </row>
    <row r="424">
      <c r="A424" s="27" t="s">
        <v>42</v>
      </c>
      <c r="B424" s="27" t="s">
        <v>1319</v>
      </c>
      <c r="C424" s="27" t="s">
        <v>1320</v>
      </c>
      <c r="D424" s="27" t="s">
        <v>1321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2380</f>
        <v>2380.0</v>
      </c>
      <c r="L424" s="34" t="s">
        <v>48</v>
      </c>
      <c r="M424" s="33" t="n">
        <f>2535</f>
        <v>2535.0</v>
      </c>
      <c r="N424" s="34" t="s">
        <v>51</v>
      </c>
      <c r="O424" s="33" t="n">
        <f>2357</f>
        <v>2357.0</v>
      </c>
      <c r="P424" s="34" t="s">
        <v>48</v>
      </c>
      <c r="Q424" s="33" t="n">
        <f>2525</f>
        <v>2525.0</v>
      </c>
      <c r="R424" s="34" t="s">
        <v>51</v>
      </c>
      <c r="S424" s="35" t="n">
        <f>2428.18</f>
        <v>2428.18</v>
      </c>
      <c r="T424" s="32" t="n">
        <f>357352</f>
        <v>357352.0</v>
      </c>
      <c r="U424" s="32" t="str">
        <f>"－"</f>
        <v>－</v>
      </c>
      <c r="V424" s="32" t="n">
        <f>869722967</f>
        <v>8.69722967E8</v>
      </c>
      <c r="W424" s="32" t="str">
        <f>"－"</f>
        <v>－</v>
      </c>
      <c r="X424" s="36" t="n">
        <f>22</f>
        <v>22.0</v>
      </c>
    </row>
    <row r="425">
      <c r="A425" s="27" t="s">
        <v>42</v>
      </c>
      <c r="B425" s="27" t="s">
        <v>1322</v>
      </c>
      <c r="C425" s="27" t="s">
        <v>1323</v>
      </c>
      <c r="D425" s="27" t="s">
        <v>1324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4957</f>
        <v>4957.0</v>
      </c>
      <c r="L425" s="34" t="s">
        <v>158</v>
      </c>
      <c r="M425" s="33" t="n">
        <f>5031</f>
        <v>5031.0</v>
      </c>
      <c r="N425" s="34" t="s">
        <v>123</v>
      </c>
      <c r="O425" s="33" t="n">
        <f>4914</f>
        <v>4914.0</v>
      </c>
      <c r="P425" s="34" t="s">
        <v>104</v>
      </c>
      <c r="Q425" s="33" t="n">
        <f>4983</f>
        <v>4983.0</v>
      </c>
      <c r="R425" s="34" t="s">
        <v>123</v>
      </c>
      <c r="S425" s="35" t="n">
        <f>4951.08</f>
        <v>4951.08</v>
      </c>
      <c r="T425" s="32" t="n">
        <f>3032</f>
        <v>3032.0</v>
      </c>
      <c r="U425" s="32" t="str">
        <f>"－"</f>
        <v>－</v>
      </c>
      <c r="V425" s="32" t="n">
        <f>15028384</f>
        <v>1.5028384E7</v>
      </c>
      <c r="W425" s="32" t="str">
        <f>"－"</f>
        <v>－</v>
      </c>
      <c r="X425" s="36" t="n">
        <f>12</f>
        <v>12.0</v>
      </c>
    </row>
    <row r="426">
      <c r="A426" s="27" t="s">
        <v>42</v>
      </c>
      <c r="B426" s="27" t="s">
        <v>1325</v>
      </c>
      <c r="C426" s="27" t="s">
        <v>1326</v>
      </c>
      <c r="D426" s="27" t="s">
        <v>1327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1359</f>
        <v>1359.0</v>
      </c>
      <c r="L426" s="34" t="s">
        <v>48</v>
      </c>
      <c r="M426" s="33" t="n">
        <f>1386</f>
        <v>1386.0</v>
      </c>
      <c r="N426" s="34" t="s">
        <v>195</v>
      </c>
      <c r="O426" s="33" t="n">
        <f>1310</f>
        <v>1310.0</v>
      </c>
      <c r="P426" s="34" t="s">
        <v>50</v>
      </c>
      <c r="Q426" s="33" t="n">
        <f>1349</f>
        <v>1349.0</v>
      </c>
      <c r="R426" s="34" t="s">
        <v>51</v>
      </c>
      <c r="S426" s="35" t="n">
        <f>1352.64</f>
        <v>1352.64</v>
      </c>
      <c r="T426" s="32" t="n">
        <f>203638</f>
        <v>203638.0</v>
      </c>
      <c r="U426" s="32" t="str">
        <f>"－"</f>
        <v>－</v>
      </c>
      <c r="V426" s="32" t="n">
        <f>274915520</f>
        <v>2.7491552E8</v>
      </c>
      <c r="W426" s="32" t="str">
        <f>"－"</f>
        <v>－</v>
      </c>
      <c r="X426" s="36" t="n">
        <f>22</f>
        <v>22.0</v>
      </c>
    </row>
    <row r="427">
      <c r="A427" s="27" t="s">
        <v>42</v>
      </c>
      <c r="B427" s="27" t="s">
        <v>1328</v>
      </c>
      <c r="C427" s="27" t="s">
        <v>1329</v>
      </c>
      <c r="D427" s="27" t="s">
        <v>1330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1029</f>
        <v>1029.0</v>
      </c>
      <c r="L427" s="34" t="s">
        <v>48</v>
      </c>
      <c r="M427" s="33" t="n">
        <f>1092</f>
        <v>1092.0</v>
      </c>
      <c r="N427" s="34" t="s">
        <v>85</v>
      </c>
      <c r="O427" s="33" t="n">
        <f>900</f>
        <v>900.0</v>
      </c>
      <c r="P427" s="34" t="s">
        <v>70</v>
      </c>
      <c r="Q427" s="33" t="n">
        <f>959</f>
        <v>959.0</v>
      </c>
      <c r="R427" s="34" t="s">
        <v>51</v>
      </c>
      <c r="S427" s="35" t="n">
        <f>996.45</f>
        <v>996.45</v>
      </c>
      <c r="T427" s="32" t="n">
        <f>526154</f>
        <v>526154.0</v>
      </c>
      <c r="U427" s="32" t="str">
        <f>"－"</f>
        <v>－</v>
      </c>
      <c r="V427" s="32" t="n">
        <f>523384066</f>
        <v>5.23384066E8</v>
      </c>
      <c r="W427" s="32" t="str">
        <f>"－"</f>
        <v>－</v>
      </c>
      <c r="X427" s="36" t="n">
        <f>22</f>
        <v>22.0</v>
      </c>
    </row>
    <row r="428">
      <c r="A428" s="27" t="s">
        <v>42</v>
      </c>
      <c r="B428" s="27" t="s">
        <v>1331</v>
      </c>
      <c r="C428" s="27" t="s">
        <v>1332</v>
      </c>
      <c r="D428" s="27" t="s">
        <v>1333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2208</f>
        <v>2208.0</v>
      </c>
      <c r="L428" s="34" t="s">
        <v>48</v>
      </c>
      <c r="M428" s="33" t="n">
        <f>2260</f>
        <v>2260.0</v>
      </c>
      <c r="N428" s="34" t="s">
        <v>51</v>
      </c>
      <c r="O428" s="33" t="n">
        <f>2208</f>
        <v>2208.0</v>
      </c>
      <c r="P428" s="34" t="s">
        <v>48</v>
      </c>
      <c r="Q428" s="33" t="n">
        <f>2257</f>
        <v>2257.0</v>
      </c>
      <c r="R428" s="34" t="s">
        <v>51</v>
      </c>
      <c r="S428" s="35" t="n">
        <f>2227.55</f>
        <v>2227.55</v>
      </c>
      <c r="T428" s="32" t="n">
        <f>1254648</f>
        <v>1254648.0</v>
      </c>
      <c r="U428" s="32" t="n">
        <f>112843</f>
        <v>112843.0</v>
      </c>
      <c r="V428" s="32" t="n">
        <f>2781381734</f>
        <v>2.781381734E9</v>
      </c>
      <c r="W428" s="32" t="n">
        <f>249889695</f>
        <v>2.49889695E8</v>
      </c>
      <c r="X428" s="36" t="n">
        <f>22</f>
        <v>22.0</v>
      </c>
    </row>
    <row r="429">
      <c r="A429" s="27" t="s">
        <v>42</v>
      </c>
      <c r="B429" s="27" t="s">
        <v>1334</v>
      </c>
      <c r="C429" s="27" t="s">
        <v>1335</v>
      </c>
      <c r="D429" s="27" t="s">
        <v>1336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1945</f>
        <v>1945.0</v>
      </c>
      <c r="L429" s="34" t="s">
        <v>48</v>
      </c>
      <c r="M429" s="33" t="n">
        <f>1960</f>
        <v>1960.0</v>
      </c>
      <c r="N429" s="34" t="s">
        <v>104</v>
      </c>
      <c r="O429" s="33" t="n">
        <f>1912</f>
        <v>1912.0</v>
      </c>
      <c r="P429" s="34" t="s">
        <v>62</v>
      </c>
      <c r="Q429" s="33" t="n">
        <f>1924</f>
        <v>1924.0</v>
      </c>
      <c r="R429" s="34" t="s">
        <v>51</v>
      </c>
      <c r="S429" s="35" t="n">
        <f>1918.88</f>
        <v>1918.88</v>
      </c>
      <c r="T429" s="32" t="n">
        <f>196661</f>
        <v>196661.0</v>
      </c>
      <c r="U429" s="32" t="n">
        <f>129905</f>
        <v>129905.0</v>
      </c>
      <c r="V429" s="32" t="n">
        <f>377970479</f>
        <v>3.77970479E8</v>
      </c>
      <c r="W429" s="32" t="n">
        <f>249889155</f>
        <v>2.49889155E8</v>
      </c>
      <c r="X429" s="36" t="n">
        <f>16</f>
        <v>16.0</v>
      </c>
    </row>
    <row r="430">
      <c r="A430" s="27" t="s">
        <v>42</v>
      </c>
      <c r="B430" s="27" t="s">
        <v>1337</v>
      </c>
      <c r="C430" s="27" t="s">
        <v>1338</v>
      </c>
      <c r="D430" s="27" t="s">
        <v>1339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2550</f>
        <v>2550.0</v>
      </c>
      <c r="L430" s="34" t="s">
        <v>48</v>
      </c>
      <c r="M430" s="33" t="n">
        <f>2652</f>
        <v>2652.0</v>
      </c>
      <c r="N430" s="34" t="s">
        <v>49</v>
      </c>
      <c r="O430" s="33" t="n">
        <f>2506</f>
        <v>2506.0</v>
      </c>
      <c r="P430" s="34" t="s">
        <v>50</v>
      </c>
      <c r="Q430" s="33" t="n">
        <f>2647</f>
        <v>2647.0</v>
      </c>
      <c r="R430" s="34" t="s">
        <v>51</v>
      </c>
      <c r="S430" s="35" t="n">
        <f>2569.18</f>
        <v>2569.18</v>
      </c>
      <c r="T430" s="32" t="n">
        <f>267137</f>
        <v>267137.0</v>
      </c>
      <c r="U430" s="32" t="n">
        <f>116000</f>
        <v>116000.0</v>
      </c>
      <c r="V430" s="32" t="n">
        <f>688202271</f>
        <v>6.88202271E8</v>
      </c>
      <c r="W430" s="32" t="n">
        <f>298298069</f>
        <v>2.98298069E8</v>
      </c>
      <c r="X430" s="36" t="n">
        <f>22</f>
        <v>22.0</v>
      </c>
    </row>
    <row r="431">
      <c r="A431" s="27" t="s">
        <v>42</v>
      </c>
      <c r="B431" s="27" t="s">
        <v>1340</v>
      </c>
      <c r="C431" s="27" t="s">
        <v>1341</v>
      </c>
      <c r="D431" s="27" t="s">
        <v>1342</v>
      </c>
      <c r="E431" s="28" t="s">
        <v>46</v>
      </c>
      <c r="F431" s="29" t="s">
        <v>46</v>
      </c>
      <c r="G431" s="30" t="s">
        <v>46</v>
      </c>
      <c r="H431" s="31"/>
      <c r="I431" s="31" t="s">
        <v>418</v>
      </c>
      <c r="J431" s="32" t="n">
        <v>10.0</v>
      </c>
      <c r="K431" s="33" t="n">
        <f>291.6</f>
        <v>291.6</v>
      </c>
      <c r="L431" s="34" t="s">
        <v>48</v>
      </c>
      <c r="M431" s="33" t="n">
        <f>311.3</f>
        <v>311.3</v>
      </c>
      <c r="N431" s="34" t="s">
        <v>203</v>
      </c>
      <c r="O431" s="33" t="n">
        <f>269</f>
        <v>269.0</v>
      </c>
      <c r="P431" s="34" t="s">
        <v>50</v>
      </c>
      <c r="Q431" s="33" t="n">
        <f>287.5</f>
        <v>287.5</v>
      </c>
      <c r="R431" s="34" t="s">
        <v>51</v>
      </c>
      <c r="S431" s="35" t="n">
        <f>285.58</f>
        <v>285.58</v>
      </c>
      <c r="T431" s="32" t="n">
        <f>11382920</f>
        <v>1.138292E7</v>
      </c>
      <c r="U431" s="32" t="n">
        <f>8720</f>
        <v>8720.0</v>
      </c>
      <c r="V431" s="32" t="n">
        <f>3253987419</f>
        <v>3.253987419E9</v>
      </c>
      <c r="W431" s="32" t="n">
        <f>2479145</f>
        <v>2479145.0</v>
      </c>
      <c r="X431" s="36" t="n">
        <f>22</f>
        <v>22.0</v>
      </c>
    </row>
    <row r="432">
      <c r="A432" s="27" t="s">
        <v>42</v>
      </c>
      <c r="B432" s="27" t="s">
        <v>1343</v>
      </c>
      <c r="C432" s="27" t="s">
        <v>1344</v>
      </c>
      <c r="D432" s="27" t="s">
        <v>1345</v>
      </c>
      <c r="E432" s="28" t="s">
        <v>46</v>
      </c>
      <c r="F432" s="29" t="s">
        <v>46</v>
      </c>
      <c r="G432" s="30" t="s">
        <v>46</v>
      </c>
      <c r="H432" s="31"/>
      <c r="I432" s="31" t="s">
        <v>418</v>
      </c>
      <c r="J432" s="32" t="n">
        <v>10.0</v>
      </c>
      <c r="K432" s="33" t="n">
        <f>542.9</f>
        <v>542.9</v>
      </c>
      <c r="L432" s="34" t="s">
        <v>62</v>
      </c>
      <c r="M432" s="33" t="n">
        <f>554.8</f>
        <v>554.8</v>
      </c>
      <c r="N432" s="34" t="s">
        <v>296</v>
      </c>
      <c r="O432" s="33" t="n">
        <f>509.9</f>
        <v>509.9</v>
      </c>
      <c r="P432" s="34" t="s">
        <v>70</v>
      </c>
      <c r="Q432" s="33" t="n">
        <f>513.9</f>
        <v>513.9</v>
      </c>
      <c r="R432" s="34" t="s">
        <v>70</v>
      </c>
      <c r="S432" s="35" t="n">
        <f>540.06</f>
        <v>540.06</v>
      </c>
      <c r="T432" s="32" t="n">
        <f>660</f>
        <v>660.0</v>
      </c>
      <c r="U432" s="32" t="str">
        <f>"－"</f>
        <v>－</v>
      </c>
      <c r="V432" s="32" t="n">
        <f>354448</f>
        <v>354448.0</v>
      </c>
      <c r="W432" s="32" t="str">
        <f>"－"</f>
        <v>－</v>
      </c>
      <c r="X432" s="36" t="n">
        <f>8</f>
        <v>8.0</v>
      </c>
    </row>
    <row r="433">
      <c r="A433" s="27" t="s">
        <v>42</v>
      </c>
      <c r="B433" s="27" t="s">
        <v>1346</v>
      </c>
      <c r="C433" s="27" t="s">
        <v>1347</v>
      </c>
      <c r="D433" s="27" t="s">
        <v>1348</v>
      </c>
      <c r="E433" s="28" t="s">
        <v>46</v>
      </c>
      <c r="F433" s="29" t="s">
        <v>46</v>
      </c>
      <c r="G433" s="30" t="s">
        <v>46</v>
      </c>
      <c r="H433" s="31"/>
      <c r="I433" s="31" t="s">
        <v>418</v>
      </c>
      <c r="J433" s="32" t="n">
        <v>10.0</v>
      </c>
      <c r="K433" s="33" t="n">
        <f>902.9</f>
        <v>902.9</v>
      </c>
      <c r="L433" s="34" t="s">
        <v>48</v>
      </c>
      <c r="M433" s="33" t="n">
        <f>977.5</f>
        <v>977.5</v>
      </c>
      <c r="N433" s="34" t="s">
        <v>61</v>
      </c>
      <c r="O433" s="33" t="n">
        <f>851.5</f>
        <v>851.5</v>
      </c>
      <c r="P433" s="34" t="s">
        <v>158</v>
      </c>
      <c r="Q433" s="33" t="n">
        <f>953.1</f>
        <v>953.1</v>
      </c>
      <c r="R433" s="34" t="s">
        <v>51</v>
      </c>
      <c r="S433" s="35" t="n">
        <f>933.52</f>
        <v>933.52</v>
      </c>
      <c r="T433" s="32" t="n">
        <f>1997650</f>
        <v>1997650.0</v>
      </c>
      <c r="U433" s="32" t="n">
        <f>1330110</f>
        <v>1330110.0</v>
      </c>
      <c r="V433" s="32" t="n">
        <f>1819120846</f>
        <v>1.819120846E9</v>
      </c>
      <c r="W433" s="32" t="n">
        <f>1203876593</f>
        <v>1.203876593E9</v>
      </c>
      <c r="X433" s="36" t="n">
        <f>22</f>
        <v>22.0</v>
      </c>
    </row>
    <row r="434">
      <c r="A434" s="27" t="s">
        <v>42</v>
      </c>
      <c r="B434" s="27" t="s">
        <v>1349</v>
      </c>
      <c r="C434" s="27" t="s">
        <v>1350</v>
      </c>
      <c r="D434" s="27" t="s">
        <v>1351</v>
      </c>
      <c r="E434" s="28" t="s">
        <v>46</v>
      </c>
      <c r="F434" s="29" t="s">
        <v>46</v>
      </c>
      <c r="G434" s="30" t="s">
        <v>46</v>
      </c>
      <c r="H434" s="31"/>
      <c r="I434" s="31" t="s">
        <v>418</v>
      </c>
      <c r="J434" s="32" t="n">
        <v>10.0</v>
      </c>
      <c r="K434" s="33" t="n">
        <f>525.9</f>
        <v>525.9</v>
      </c>
      <c r="L434" s="34" t="s">
        <v>48</v>
      </c>
      <c r="M434" s="33" t="n">
        <f>525.9</f>
        <v>525.9</v>
      </c>
      <c r="N434" s="34" t="s">
        <v>48</v>
      </c>
      <c r="O434" s="33" t="n">
        <f>471.7</f>
        <v>471.7</v>
      </c>
      <c r="P434" s="34" t="s">
        <v>62</v>
      </c>
      <c r="Q434" s="33" t="n">
        <f>495</f>
        <v>495.0</v>
      </c>
      <c r="R434" s="34" t="s">
        <v>51</v>
      </c>
      <c r="S434" s="35" t="n">
        <f>485.94</f>
        <v>485.94</v>
      </c>
      <c r="T434" s="32" t="n">
        <f>4300</f>
        <v>4300.0</v>
      </c>
      <c r="U434" s="32" t="str">
        <f>"－"</f>
        <v>－</v>
      </c>
      <c r="V434" s="32" t="n">
        <f>2095146</f>
        <v>2095146.0</v>
      </c>
      <c r="W434" s="32" t="str">
        <f>"－"</f>
        <v>－</v>
      </c>
      <c r="X434" s="36" t="n">
        <f>19</f>
        <v>19.0</v>
      </c>
    </row>
    <row r="435">
      <c r="A435" s="27" t="s">
        <v>42</v>
      </c>
      <c r="B435" s="27" t="s">
        <v>1352</v>
      </c>
      <c r="C435" s="27" t="s">
        <v>1353</v>
      </c>
      <c r="D435" s="27" t="s">
        <v>1354</v>
      </c>
      <c r="E435" s="28" t="s">
        <v>46</v>
      </c>
      <c r="F435" s="29" t="s">
        <v>46</v>
      </c>
      <c r="G435" s="30" t="s">
        <v>46</v>
      </c>
      <c r="H435" s="31"/>
      <c r="I435" s="31" t="s">
        <v>418</v>
      </c>
      <c r="J435" s="32" t="n">
        <v>1.0</v>
      </c>
      <c r="K435" s="33" t="n">
        <f>2150</f>
        <v>2150.0</v>
      </c>
      <c r="L435" s="34" t="s">
        <v>48</v>
      </c>
      <c r="M435" s="33" t="n">
        <f>2186</f>
        <v>2186.0</v>
      </c>
      <c r="N435" s="34" t="s">
        <v>203</v>
      </c>
      <c r="O435" s="33" t="n">
        <f>2049</f>
        <v>2049.0</v>
      </c>
      <c r="P435" s="34" t="s">
        <v>50</v>
      </c>
      <c r="Q435" s="33" t="n">
        <f>2110</f>
        <v>2110.0</v>
      </c>
      <c r="R435" s="34" t="s">
        <v>51</v>
      </c>
      <c r="S435" s="35" t="n">
        <f>2126.36</f>
        <v>2126.36</v>
      </c>
      <c r="T435" s="32" t="n">
        <f>1205346</f>
        <v>1205346.0</v>
      </c>
      <c r="U435" s="32" t="n">
        <f>204792</f>
        <v>204792.0</v>
      </c>
      <c r="V435" s="32" t="n">
        <f>2568925892</f>
        <v>2.568925892E9</v>
      </c>
      <c r="W435" s="32" t="n">
        <f>437478457</f>
        <v>4.37478457E8</v>
      </c>
      <c r="X435" s="36" t="n">
        <f>22</f>
        <v>22.0</v>
      </c>
    </row>
    <row r="436">
      <c r="A436" s="27" t="s">
        <v>42</v>
      </c>
      <c r="B436" s="27" t="s">
        <v>1355</v>
      </c>
      <c r="C436" s="27" t="s">
        <v>1356</v>
      </c>
      <c r="D436" s="27" t="s">
        <v>1357</v>
      </c>
      <c r="E436" s="28" t="s">
        <v>46</v>
      </c>
      <c r="F436" s="29" t="s">
        <v>46</v>
      </c>
      <c r="G436" s="30" t="s">
        <v>46</v>
      </c>
      <c r="H436" s="31"/>
      <c r="I436" s="31" t="s">
        <v>418</v>
      </c>
      <c r="J436" s="32" t="n">
        <v>1.0</v>
      </c>
      <c r="K436" s="33" t="n">
        <f>98500</f>
        <v>98500.0</v>
      </c>
      <c r="L436" s="34" t="s">
        <v>48</v>
      </c>
      <c r="M436" s="33" t="n">
        <f>100700</f>
        <v>100700.0</v>
      </c>
      <c r="N436" s="34" t="s">
        <v>51</v>
      </c>
      <c r="O436" s="33" t="n">
        <f>93700</f>
        <v>93700.0</v>
      </c>
      <c r="P436" s="34" t="s">
        <v>154</v>
      </c>
      <c r="Q436" s="33" t="n">
        <f>100200</f>
        <v>100200.0</v>
      </c>
      <c r="R436" s="34" t="s">
        <v>51</v>
      </c>
      <c r="S436" s="35" t="n">
        <f>96950</f>
        <v>96950.0</v>
      </c>
      <c r="T436" s="32" t="n">
        <f>41395</f>
        <v>41395.0</v>
      </c>
      <c r="U436" s="32" t="n">
        <f>5185</f>
        <v>5185.0</v>
      </c>
      <c r="V436" s="32" t="n">
        <f>3994416756</f>
        <v>3.994416756E9</v>
      </c>
      <c r="W436" s="32" t="n">
        <f>503215456</f>
        <v>5.03215456E8</v>
      </c>
      <c r="X436" s="36" t="n">
        <f>22</f>
        <v>22.0</v>
      </c>
    </row>
    <row r="437">
      <c r="A437" s="27" t="s">
        <v>42</v>
      </c>
      <c r="B437" s="27" t="s">
        <v>1358</v>
      </c>
      <c r="C437" s="27" t="s">
        <v>1359</v>
      </c>
      <c r="D437" s="27" t="s">
        <v>1360</v>
      </c>
      <c r="E437" s="28" t="s">
        <v>46</v>
      </c>
      <c r="F437" s="29" t="s">
        <v>46</v>
      </c>
      <c r="G437" s="30" t="s">
        <v>46</v>
      </c>
      <c r="H437" s="31"/>
      <c r="I437" s="31" t="s">
        <v>418</v>
      </c>
      <c r="J437" s="32" t="n">
        <v>1.0</v>
      </c>
      <c r="K437" s="33" t="n">
        <f>1455</f>
        <v>1455.0</v>
      </c>
      <c r="L437" s="34" t="s">
        <v>48</v>
      </c>
      <c r="M437" s="33" t="n">
        <f>1600</f>
        <v>1600.0</v>
      </c>
      <c r="N437" s="34" t="s">
        <v>210</v>
      </c>
      <c r="O437" s="33" t="n">
        <f>1333</f>
        <v>1333.0</v>
      </c>
      <c r="P437" s="34" t="s">
        <v>50</v>
      </c>
      <c r="Q437" s="33" t="n">
        <f>1419</f>
        <v>1419.0</v>
      </c>
      <c r="R437" s="34" t="s">
        <v>51</v>
      </c>
      <c r="S437" s="35" t="n">
        <f>1415.05</f>
        <v>1415.05</v>
      </c>
      <c r="T437" s="32" t="n">
        <f>483121</f>
        <v>483121.0</v>
      </c>
      <c r="U437" s="32" t="str">
        <f>"－"</f>
        <v>－</v>
      </c>
      <c r="V437" s="32" t="n">
        <f>690883594</f>
        <v>6.90883594E8</v>
      </c>
      <c r="W437" s="32" t="str">
        <f>"－"</f>
        <v>－</v>
      </c>
      <c r="X437" s="36" t="n">
        <f>22</f>
        <v>22.0</v>
      </c>
    </row>
    <row r="438">
      <c r="A438" s="27" t="s">
        <v>42</v>
      </c>
      <c r="B438" s="27" t="s">
        <v>1361</v>
      </c>
      <c r="C438" s="27" t="s">
        <v>1362</v>
      </c>
      <c r="D438" s="27" t="s">
        <v>1363</v>
      </c>
      <c r="E438" s="28" t="s">
        <v>46</v>
      </c>
      <c r="F438" s="29" t="s">
        <v>46</v>
      </c>
      <c r="G438" s="30" t="s">
        <v>46</v>
      </c>
      <c r="H438" s="31"/>
      <c r="I438" s="31" t="s">
        <v>418</v>
      </c>
      <c r="J438" s="32" t="n">
        <v>10.0</v>
      </c>
      <c r="K438" s="33" t="n">
        <f>330</f>
        <v>330.0</v>
      </c>
      <c r="L438" s="34" t="s">
        <v>48</v>
      </c>
      <c r="M438" s="33" t="n">
        <f>359.6</f>
        <v>359.6</v>
      </c>
      <c r="N438" s="34" t="s">
        <v>61</v>
      </c>
      <c r="O438" s="33" t="n">
        <f>295.3</f>
        <v>295.3</v>
      </c>
      <c r="P438" s="34" t="s">
        <v>50</v>
      </c>
      <c r="Q438" s="33" t="n">
        <f>344</f>
        <v>344.0</v>
      </c>
      <c r="R438" s="34" t="s">
        <v>51</v>
      </c>
      <c r="S438" s="35" t="n">
        <f>332.89</f>
        <v>332.89</v>
      </c>
      <c r="T438" s="32" t="n">
        <f>49299640</f>
        <v>4.929964E7</v>
      </c>
      <c r="U438" s="32" t="n">
        <f>8573880</f>
        <v>8573880.0</v>
      </c>
      <c r="V438" s="32" t="n">
        <f>16320626355</f>
        <v>1.6320626355E10</v>
      </c>
      <c r="W438" s="32" t="n">
        <f>2805298135</f>
        <v>2.805298135E9</v>
      </c>
      <c r="X438" s="36" t="n">
        <f>22</f>
        <v>22.0</v>
      </c>
    </row>
    <row r="439">
      <c r="A439" s="27" t="s">
        <v>42</v>
      </c>
      <c r="B439" s="27" t="s">
        <v>1364</v>
      </c>
      <c r="C439" s="27" t="s">
        <v>1365</v>
      </c>
      <c r="D439" s="27" t="s">
        <v>1366</v>
      </c>
      <c r="E439" s="28" t="s">
        <v>46</v>
      </c>
      <c r="F439" s="29" t="s">
        <v>46</v>
      </c>
      <c r="G439" s="30" t="s">
        <v>46</v>
      </c>
      <c r="H439" s="31"/>
      <c r="I439" s="31" t="s">
        <v>418</v>
      </c>
      <c r="J439" s="32" t="n">
        <v>1.0</v>
      </c>
      <c r="K439" s="33" t="n">
        <f>4797</f>
        <v>4797.0</v>
      </c>
      <c r="L439" s="34" t="s">
        <v>48</v>
      </c>
      <c r="M439" s="33" t="n">
        <f>5200</f>
        <v>5200.0</v>
      </c>
      <c r="N439" s="34" t="s">
        <v>61</v>
      </c>
      <c r="O439" s="33" t="n">
        <f>4262</f>
        <v>4262.0</v>
      </c>
      <c r="P439" s="34" t="s">
        <v>104</v>
      </c>
      <c r="Q439" s="33" t="n">
        <f>4813</f>
        <v>4813.0</v>
      </c>
      <c r="R439" s="34" t="s">
        <v>51</v>
      </c>
      <c r="S439" s="35" t="n">
        <f>4768.45</f>
        <v>4768.45</v>
      </c>
      <c r="T439" s="32" t="n">
        <f>485932</f>
        <v>485932.0</v>
      </c>
      <c r="U439" s="32" t="n">
        <f>6572</f>
        <v>6572.0</v>
      </c>
      <c r="V439" s="32" t="n">
        <f>2324960523</f>
        <v>2.324960523E9</v>
      </c>
      <c r="W439" s="32" t="n">
        <f>30994324</f>
        <v>3.0994324E7</v>
      </c>
      <c r="X439" s="36" t="n">
        <f>22</f>
        <v>22.0</v>
      </c>
    </row>
    <row r="440">
      <c r="A440" s="27" t="s">
        <v>42</v>
      </c>
      <c r="B440" s="27" t="s">
        <v>1367</v>
      </c>
      <c r="C440" s="27" t="s">
        <v>1368</v>
      </c>
      <c r="D440" s="27" t="s">
        <v>1369</v>
      </c>
      <c r="E440" s="28" t="s">
        <v>46</v>
      </c>
      <c r="F440" s="29" t="s">
        <v>46</v>
      </c>
      <c r="G440" s="30" t="s">
        <v>46</v>
      </c>
      <c r="H440" s="31"/>
      <c r="I440" s="31" t="s">
        <v>418</v>
      </c>
      <c r="J440" s="32" t="n">
        <v>1.0</v>
      </c>
      <c r="K440" s="33" t="n">
        <f>4040</f>
        <v>4040.0</v>
      </c>
      <c r="L440" s="34" t="s">
        <v>48</v>
      </c>
      <c r="M440" s="33" t="n">
        <f>4389</f>
        <v>4389.0</v>
      </c>
      <c r="N440" s="34" t="s">
        <v>49</v>
      </c>
      <c r="O440" s="33" t="n">
        <f>3705</f>
        <v>3705.0</v>
      </c>
      <c r="P440" s="34" t="s">
        <v>104</v>
      </c>
      <c r="Q440" s="33" t="n">
        <f>4040</f>
        <v>4040.0</v>
      </c>
      <c r="R440" s="34" t="s">
        <v>51</v>
      </c>
      <c r="S440" s="35" t="n">
        <f>4019.64</f>
        <v>4019.64</v>
      </c>
      <c r="T440" s="32" t="n">
        <f>302966</f>
        <v>302966.0</v>
      </c>
      <c r="U440" s="32" t="n">
        <f>2500</f>
        <v>2500.0</v>
      </c>
      <c r="V440" s="32" t="n">
        <f>1219560357</f>
        <v>1.219560357E9</v>
      </c>
      <c r="W440" s="32" t="n">
        <f>9340000</f>
        <v>9340000.0</v>
      </c>
      <c r="X440" s="36" t="n">
        <f>22</f>
        <v>22.0</v>
      </c>
    </row>
    <row r="441">
      <c r="A441" s="27" t="s">
        <v>42</v>
      </c>
      <c r="B441" s="27" t="s">
        <v>1370</v>
      </c>
      <c r="C441" s="27" t="s">
        <v>1371</v>
      </c>
      <c r="D441" s="27" t="s">
        <v>1372</v>
      </c>
      <c r="E441" s="28" t="s">
        <v>46</v>
      </c>
      <c r="F441" s="29" t="s">
        <v>46</v>
      </c>
      <c r="G441" s="30" t="s">
        <v>46</v>
      </c>
      <c r="H441" s="31"/>
      <c r="I441" s="31" t="s">
        <v>418</v>
      </c>
      <c r="J441" s="32" t="n">
        <v>10.0</v>
      </c>
      <c r="K441" s="33" t="n">
        <f>349.1</f>
        <v>349.1</v>
      </c>
      <c r="L441" s="34" t="s">
        <v>48</v>
      </c>
      <c r="M441" s="33" t="n">
        <f>350</f>
        <v>350.0</v>
      </c>
      <c r="N441" s="34" t="s">
        <v>48</v>
      </c>
      <c r="O441" s="33" t="n">
        <f>302.6</f>
        <v>302.6</v>
      </c>
      <c r="P441" s="34" t="s">
        <v>51</v>
      </c>
      <c r="Q441" s="33" t="n">
        <f>307.4</f>
        <v>307.4</v>
      </c>
      <c r="R441" s="34" t="s">
        <v>51</v>
      </c>
      <c r="S441" s="35" t="n">
        <f>326.42</f>
        <v>326.42</v>
      </c>
      <c r="T441" s="32" t="n">
        <f>2552070</f>
        <v>2552070.0</v>
      </c>
      <c r="U441" s="32" t="str">
        <f>"－"</f>
        <v>－</v>
      </c>
      <c r="V441" s="32" t="n">
        <f>834595994</f>
        <v>8.34595994E8</v>
      </c>
      <c r="W441" s="32" t="str">
        <f>"－"</f>
        <v>－</v>
      </c>
      <c r="X441" s="36" t="n">
        <f>22</f>
        <v>22.0</v>
      </c>
    </row>
    <row r="442">
      <c r="A442" s="27" t="s">
        <v>42</v>
      </c>
      <c r="B442" s="27" t="s">
        <v>1373</v>
      </c>
      <c r="C442" s="27" t="s">
        <v>1374</v>
      </c>
      <c r="D442" s="27" t="s">
        <v>1375</v>
      </c>
      <c r="E442" s="28" t="s">
        <v>46</v>
      </c>
      <c r="F442" s="29" t="s">
        <v>46</v>
      </c>
      <c r="G442" s="30" t="s">
        <v>46</v>
      </c>
      <c r="H442" s="31"/>
      <c r="I442" s="31" t="s">
        <v>418</v>
      </c>
      <c r="J442" s="32" t="n">
        <v>10.0</v>
      </c>
      <c r="K442" s="33" t="n">
        <f>386.9</f>
        <v>386.9</v>
      </c>
      <c r="L442" s="34" t="s">
        <v>48</v>
      </c>
      <c r="M442" s="33" t="n">
        <f>387.1</f>
        <v>387.1</v>
      </c>
      <c r="N442" s="34" t="s">
        <v>48</v>
      </c>
      <c r="O442" s="33" t="n">
        <f>342.3</f>
        <v>342.3</v>
      </c>
      <c r="P442" s="34" t="s">
        <v>51</v>
      </c>
      <c r="Q442" s="33" t="n">
        <f>347.6</f>
        <v>347.6</v>
      </c>
      <c r="R442" s="34" t="s">
        <v>51</v>
      </c>
      <c r="S442" s="35" t="n">
        <f>364.6</f>
        <v>364.6</v>
      </c>
      <c r="T442" s="32" t="n">
        <f>9313410</f>
        <v>9313410.0</v>
      </c>
      <c r="U442" s="32" t="n">
        <f>1273990</f>
        <v>1273990.0</v>
      </c>
      <c r="V442" s="32" t="n">
        <f>3344285902</f>
        <v>3.344285902E9</v>
      </c>
      <c r="W442" s="32" t="n">
        <f>442273126</f>
        <v>4.42273126E8</v>
      </c>
      <c r="X442" s="36" t="n">
        <f>22</f>
        <v>22.0</v>
      </c>
    </row>
    <row r="443">
      <c r="A443" s="27" t="s">
        <v>42</v>
      </c>
      <c r="B443" s="27" t="s">
        <v>1376</v>
      </c>
      <c r="C443" s="27" t="s">
        <v>1377</v>
      </c>
      <c r="D443" s="27" t="s">
        <v>1378</v>
      </c>
      <c r="E443" s="28" t="s">
        <v>46</v>
      </c>
      <c r="F443" s="29" t="s">
        <v>46</v>
      </c>
      <c r="G443" s="30" t="s">
        <v>46</v>
      </c>
      <c r="H443" s="31"/>
      <c r="I443" s="31" t="s">
        <v>418</v>
      </c>
      <c r="J443" s="32" t="n">
        <v>1.0</v>
      </c>
      <c r="K443" s="33" t="n">
        <f>1180</f>
        <v>1180.0</v>
      </c>
      <c r="L443" s="34" t="s">
        <v>48</v>
      </c>
      <c r="M443" s="33" t="n">
        <f>1243</f>
        <v>1243.0</v>
      </c>
      <c r="N443" s="34" t="s">
        <v>51</v>
      </c>
      <c r="O443" s="33" t="n">
        <f>1176</f>
        <v>1176.0</v>
      </c>
      <c r="P443" s="34" t="s">
        <v>48</v>
      </c>
      <c r="Q443" s="33" t="n">
        <f>1239</f>
        <v>1239.0</v>
      </c>
      <c r="R443" s="34" t="s">
        <v>51</v>
      </c>
      <c r="S443" s="35" t="n">
        <f>1208.32</f>
        <v>1208.32</v>
      </c>
      <c r="T443" s="32" t="n">
        <f>234203</f>
        <v>234203.0</v>
      </c>
      <c r="U443" s="32" t="str">
        <f>"－"</f>
        <v>－</v>
      </c>
      <c r="V443" s="32" t="n">
        <f>283177076</f>
        <v>2.83177076E8</v>
      </c>
      <c r="W443" s="32" t="str">
        <f>"－"</f>
        <v>－</v>
      </c>
      <c r="X443" s="36" t="n">
        <f>22</f>
        <v>22.0</v>
      </c>
    </row>
    <row r="444">
      <c r="A444" s="27" t="s">
        <v>42</v>
      </c>
      <c r="B444" s="27" t="s">
        <v>1379</v>
      </c>
      <c r="C444" s="27" t="s">
        <v>1380</v>
      </c>
      <c r="D444" s="27" t="s">
        <v>1381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2459</f>
        <v>2459.0</v>
      </c>
      <c r="L444" s="34" t="s">
        <v>48</v>
      </c>
      <c r="M444" s="33" t="n">
        <f>2530</f>
        <v>2530.0</v>
      </c>
      <c r="N444" s="34" t="s">
        <v>66</v>
      </c>
      <c r="O444" s="33" t="n">
        <f>2358</f>
        <v>2358.0</v>
      </c>
      <c r="P444" s="34" t="s">
        <v>50</v>
      </c>
      <c r="Q444" s="33" t="n">
        <f>2523</f>
        <v>2523.0</v>
      </c>
      <c r="R444" s="34" t="s">
        <v>51</v>
      </c>
      <c r="S444" s="35" t="n">
        <f>2456.09</f>
        <v>2456.09</v>
      </c>
      <c r="T444" s="32" t="n">
        <f>3209655</f>
        <v>3209655.0</v>
      </c>
      <c r="U444" s="32" t="n">
        <f>415888</f>
        <v>415888.0</v>
      </c>
      <c r="V444" s="32" t="n">
        <f>7853127193</f>
        <v>7.853127193E9</v>
      </c>
      <c r="W444" s="32" t="n">
        <f>1013354619</f>
        <v>1.013354619E9</v>
      </c>
      <c r="X444" s="36" t="n">
        <f>22</f>
        <v>22.0</v>
      </c>
    </row>
    <row r="445">
      <c r="A445" s="27" t="s">
        <v>42</v>
      </c>
      <c r="B445" s="27" t="s">
        <v>1382</v>
      </c>
      <c r="C445" s="27" t="s">
        <v>1383</v>
      </c>
      <c r="D445" s="27" t="s">
        <v>1384</v>
      </c>
      <c r="E445" s="28" t="s">
        <v>46</v>
      </c>
      <c r="F445" s="29" t="s">
        <v>46</v>
      </c>
      <c r="G445" s="30" t="s">
        <v>46</v>
      </c>
      <c r="H445" s="31"/>
      <c r="I445" s="31" t="s">
        <v>418</v>
      </c>
      <c r="J445" s="32" t="n">
        <v>1.0</v>
      </c>
      <c r="K445" s="33" t="n">
        <f>1870</f>
        <v>1870.0</v>
      </c>
      <c r="L445" s="34" t="s">
        <v>48</v>
      </c>
      <c r="M445" s="33" t="n">
        <f>1887</f>
        <v>1887.0</v>
      </c>
      <c r="N445" s="34" t="s">
        <v>51</v>
      </c>
      <c r="O445" s="33" t="n">
        <f>1788</f>
        <v>1788.0</v>
      </c>
      <c r="P445" s="34" t="s">
        <v>104</v>
      </c>
      <c r="Q445" s="33" t="n">
        <f>1876</f>
        <v>1876.0</v>
      </c>
      <c r="R445" s="34" t="s">
        <v>51</v>
      </c>
      <c r="S445" s="35" t="n">
        <f>1834.82</f>
        <v>1834.82</v>
      </c>
      <c r="T445" s="32" t="n">
        <f>2041047</f>
        <v>2041047.0</v>
      </c>
      <c r="U445" s="32" t="n">
        <f>1826311</f>
        <v>1826311.0</v>
      </c>
      <c r="V445" s="32" t="n">
        <f>3733747427</f>
        <v>3.733747427E9</v>
      </c>
      <c r="W445" s="32" t="n">
        <f>3338876853</f>
        <v>3.338876853E9</v>
      </c>
      <c r="X445" s="36" t="n">
        <f>22</f>
        <v>22.0</v>
      </c>
    </row>
    <row r="446">
      <c r="A446" s="27" t="s">
        <v>42</v>
      </c>
      <c r="B446" s="27" t="s">
        <v>1385</v>
      </c>
      <c r="C446" s="27" t="s">
        <v>1386</v>
      </c>
      <c r="D446" s="27" t="s">
        <v>1387</v>
      </c>
      <c r="E446" s="28" t="s">
        <v>46</v>
      </c>
      <c r="F446" s="29" t="s">
        <v>46</v>
      </c>
      <c r="G446" s="30" t="s">
        <v>46</v>
      </c>
      <c r="H446" s="31"/>
      <c r="I446" s="31" t="s">
        <v>418</v>
      </c>
      <c r="J446" s="32" t="n">
        <v>10.0</v>
      </c>
      <c r="K446" s="33" t="n">
        <f>287.8</f>
        <v>287.8</v>
      </c>
      <c r="L446" s="34" t="s">
        <v>48</v>
      </c>
      <c r="M446" s="33" t="n">
        <f>288.6</f>
        <v>288.6</v>
      </c>
      <c r="N446" s="34" t="s">
        <v>48</v>
      </c>
      <c r="O446" s="33" t="n">
        <f>254.1</f>
        <v>254.1</v>
      </c>
      <c r="P446" s="34" t="s">
        <v>51</v>
      </c>
      <c r="Q446" s="33" t="n">
        <f>259</f>
        <v>259.0</v>
      </c>
      <c r="R446" s="34" t="s">
        <v>51</v>
      </c>
      <c r="S446" s="35" t="n">
        <f>272.28</f>
        <v>272.28</v>
      </c>
      <c r="T446" s="32" t="n">
        <f>2741900</f>
        <v>2741900.0</v>
      </c>
      <c r="U446" s="32" t="n">
        <f>38990</f>
        <v>38990.0</v>
      </c>
      <c r="V446" s="32" t="n">
        <f>739813548</f>
        <v>7.39813548E8</v>
      </c>
      <c r="W446" s="32" t="n">
        <f>10246105</f>
        <v>1.0246105E7</v>
      </c>
      <c r="X446" s="36" t="n">
        <f>22</f>
        <v>22.0</v>
      </c>
    </row>
    <row r="447">
      <c r="A447" s="27" t="s">
        <v>42</v>
      </c>
      <c r="B447" s="27" t="s">
        <v>1388</v>
      </c>
      <c r="C447" s="27" t="s">
        <v>1389</v>
      </c>
      <c r="D447" s="27" t="s">
        <v>1390</v>
      </c>
      <c r="E447" s="28" t="s">
        <v>46</v>
      </c>
      <c r="F447" s="29" t="s">
        <v>46</v>
      </c>
      <c r="G447" s="30" t="s">
        <v>46</v>
      </c>
      <c r="H447" s="31"/>
      <c r="I447" s="31" t="s">
        <v>418</v>
      </c>
      <c r="J447" s="32" t="n">
        <v>10.0</v>
      </c>
      <c r="K447" s="33" t="n">
        <f>275.2</f>
        <v>275.2</v>
      </c>
      <c r="L447" s="34" t="s">
        <v>48</v>
      </c>
      <c r="M447" s="33" t="n">
        <f>275.3</f>
        <v>275.3</v>
      </c>
      <c r="N447" s="34" t="s">
        <v>48</v>
      </c>
      <c r="O447" s="33" t="n">
        <f>238</f>
        <v>238.0</v>
      </c>
      <c r="P447" s="34" t="s">
        <v>51</v>
      </c>
      <c r="Q447" s="33" t="n">
        <f>241.7</f>
        <v>241.7</v>
      </c>
      <c r="R447" s="34" t="s">
        <v>51</v>
      </c>
      <c r="S447" s="35" t="n">
        <f>256.71</f>
        <v>256.71</v>
      </c>
      <c r="T447" s="32" t="n">
        <f>517710</f>
        <v>517710.0</v>
      </c>
      <c r="U447" s="32" t="str">
        <f>"－"</f>
        <v>－</v>
      </c>
      <c r="V447" s="32" t="n">
        <f>133120046</f>
        <v>1.33120046E8</v>
      </c>
      <c r="W447" s="32" t="str">
        <f>"－"</f>
        <v>－</v>
      </c>
      <c r="X447" s="36" t="n">
        <f>22</f>
        <v>22.0</v>
      </c>
    </row>
    <row r="448">
      <c r="A448" s="27" t="s">
        <v>42</v>
      </c>
      <c r="B448" s="27" t="s">
        <v>1391</v>
      </c>
      <c r="C448" s="27" t="s">
        <v>1392</v>
      </c>
      <c r="D448" s="27" t="s">
        <v>1393</v>
      </c>
      <c r="E448" s="28" t="s">
        <v>46</v>
      </c>
      <c r="F448" s="29" t="s">
        <v>46</v>
      </c>
      <c r="G448" s="30" t="s">
        <v>46</v>
      </c>
      <c r="H448" s="31"/>
      <c r="I448" s="31" t="s">
        <v>418</v>
      </c>
      <c r="J448" s="32" t="n">
        <v>10.0</v>
      </c>
      <c r="K448" s="33" t="n">
        <f>823.7</f>
        <v>823.7</v>
      </c>
      <c r="L448" s="34" t="s">
        <v>48</v>
      </c>
      <c r="M448" s="33" t="n">
        <f>828.7</f>
        <v>828.7</v>
      </c>
      <c r="N448" s="34" t="s">
        <v>158</v>
      </c>
      <c r="O448" s="33" t="n">
        <f>789.3</f>
        <v>789.3</v>
      </c>
      <c r="P448" s="34" t="s">
        <v>50</v>
      </c>
      <c r="Q448" s="33" t="n">
        <f>821</f>
        <v>821.0</v>
      </c>
      <c r="R448" s="34" t="s">
        <v>51</v>
      </c>
      <c r="S448" s="35" t="n">
        <f>814.29</f>
        <v>814.29</v>
      </c>
      <c r="T448" s="32" t="n">
        <f>789720</f>
        <v>789720.0</v>
      </c>
      <c r="U448" s="32" t="str">
        <f>"－"</f>
        <v>－</v>
      </c>
      <c r="V448" s="32" t="n">
        <f>643187101</f>
        <v>6.43187101E8</v>
      </c>
      <c r="W448" s="32" t="str">
        <f>"－"</f>
        <v>－</v>
      </c>
      <c r="X448" s="36" t="n">
        <f>22</f>
        <v>22.0</v>
      </c>
    </row>
    <row r="449">
      <c r="A449" s="27" t="s">
        <v>42</v>
      </c>
      <c r="B449" s="27" t="s">
        <v>1394</v>
      </c>
      <c r="C449" s="27" t="s">
        <v>1395</v>
      </c>
      <c r="D449" s="27" t="s">
        <v>1396</v>
      </c>
      <c r="E449" s="28" t="s">
        <v>46</v>
      </c>
      <c r="F449" s="29" t="s">
        <v>46</v>
      </c>
      <c r="G449" s="30" t="s">
        <v>46</v>
      </c>
      <c r="H449" s="31"/>
      <c r="I449" s="31" t="s">
        <v>418</v>
      </c>
      <c r="J449" s="32" t="n">
        <v>10.0</v>
      </c>
      <c r="K449" s="33" t="n">
        <f>784.9</f>
        <v>784.9</v>
      </c>
      <c r="L449" s="34" t="s">
        <v>48</v>
      </c>
      <c r="M449" s="33" t="n">
        <f>793.2</f>
        <v>793.2</v>
      </c>
      <c r="N449" s="34" t="s">
        <v>85</v>
      </c>
      <c r="O449" s="33" t="n">
        <f>747.5</f>
        <v>747.5</v>
      </c>
      <c r="P449" s="34" t="s">
        <v>50</v>
      </c>
      <c r="Q449" s="33" t="n">
        <f>767.3</f>
        <v>767.3</v>
      </c>
      <c r="R449" s="34" t="s">
        <v>51</v>
      </c>
      <c r="S449" s="35" t="n">
        <f>770.01</f>
        <v>770.01</v>
      </c>
      <c r="T449" s="32" t="n">
        <f>1821230</f>
        <v>1821230.0</v>
      </c>
      <c r="U449" s="32" t="n">
        <f>1796400</f>
        <v>1796400.0</v>
      </c>
      <c r="V449" s="32" t="n">
        <f>1423056449</f>
        <v>1.423056449E9</v>
      </c>
      <c r="W449" s="32" t="n">
        <f>1403801961</f>
        <v>1.403801961E9</v>
      </c>
      <c r="X449" s="36" t="n">
        <f>22</f>
        <v>22.0</v>
      </c>
    </row>
    <row r="450">
      <c r="A450" s="27" t="s">
        <v>42</v>
      </c>
      <c r="B450" s="27" t="s">
        <v>1397</v>
      </c>
      <c r="C450" s="27" t="s">
        <v>1398</v>
      </c>
      <c r="D450" s="27" t="s">
        <v>1399</v>
      </c>
      <c r="E450" s="28" t="s">
        <v>46</v>
      </c>
      <c r="F450" s="29" t="s">
        <v>46</v>
      </c>
      <c r="G450" s="30" t="s">
        <v>46</v>
      </c>
      <c r="H450" s="31"/>
      <c r="I450" s="31" t="s">
        <v>418</v>
      </c>
      <c r="J450" s="32" t="n">
        <v>10.0</v>
      </c>
      <c r="K450" s="33" t="n">
        <f>290</f>
        <v>290.0</v>
      </c>
      <c r="L450" s="34" t="s">
        <v>48</v>
      </c>
      <c r="M450" s="33" t="n">
        <f>303</f>
        <v>303.0</v>
      </c>
      <c r="N450" s="34" t="s">
        <v>72</v>
      </c>
      <c r="O450" s="33" t="n">
        <f>286</f>
        <v>286.0</v>
      </c>
      <c r="P450" s="34" t="s">
        <v>158</v>
      </c>
      <c r="Q450" s="33" t="n">
        <f>301.7</f>
        <v>301.7</v>
      </c>
      <c r="R450" s="34" t="s">
        <v>51</v>
      </c>
      <c r="S450" s="35" t="n">
        <f>293.86</f>
        <v>293.86</v>
      </c>
      <c r="T450" s="32" t="n">
        <f>490930</f>
        <v>490930.0</v>
      </c>
      <c r="U450" s="32" t="str">
        <f>"－"</f>
        <v>－</v>
      </c>
      <c r="V450" s="32" t="n">
        <f>143689653</f>
        <v>1.43689653E8</v>
      </c>
      <c r="W450" s="32" t="str">
        <f>"－"</f>
        <v>－</v>
      </c>
      <c r="X450" s="36" t="n">
        <f>22</f>
        <v>22.0</v>
      </c>
    </row>
    <row r="451">
      <c r="A451" s="27" t="s">
        <v>42</v>
      </c>
      <c r="B451" s="27" t="s">
        <v>1400</v>
      </c>
      <c r="C451" s="27" t="s">
        <v>1401</v>
      </c>
      <c r="D451" s="27" t="s">
        <v>1402</v>
      </c>
      <c r="E451" s="28" t="s">
        <v>46</v>
      </c>
      <c r="F451" s="29" t="s">
        <v>46</v>
      </c>
      <c r="G451" s="30" t="s">
        <v>46</v>
      </c>
      <c r="H451" s="31"/>
      <c r="I451" s="31" t="s">
        <v>418</v>
      </c>
      <c r="J451" s="32" t="n">
        <v>10.0</v>
      </c>
      <c r="K451" s="33" t="n">
        <f>820</f>
        <v>820.0</v>
      </c>
      <c r="L451" s="34" t="s">
        <v>48</v>
      </c>
      <c r="M451" s="33" t="n">
        <f>853</f>
        <v>853.0</v>
      </c>
      <c r="N451" s="34" t="s">
        <v>71</v>
      </c>
      <c r="O451" s="33" t="n">
        <f>804.6</f>
        <v>804.6</v>
      </c>
      <c r="P451" s="34" t="s">
        <v>70</v>
      </c>
      <c r="Q451" s="33" t="n">
        <f>817.2</f>
        <v>817.2</v>
      </c>
      <c r="R451" s="34" t="s">
        <v>51</v>
      </c>
      <c r="S451" s="35" t="n">
        <f>822.68</f>
        <v>822.68</v>
      </c>
      <c r="T451" s="32" t="n">
        <f>5541810</f>
        <v>5541810.0</v>
      </c>
      <c r="U451" s="32" t="n">
        <f>3710</f>
        <v>3710.0</v>
      </c>
      <c r="V451" s="32" t="n">
        <f>4535419638</f>
        <v>4.535419638E9</v>
      </c>
      <c r="W451" s="32" t="n">
        <f>3078719</f>
        <v>3078719.0</v>
      </c>
      <c r="X451" s="36" t="n">
        <f>22</f>
        <v>22.0</v>
      </c>
    </row>
    <row r="452">
      <c r="A452" s="27" t="s">
        <v>42</v>
      </c>
      <c r="B452" s="27" t="s">
        <v>1403</v>
      </c>
      <c r="C452" s="27" t="s">
        <v>1404</v>
      </c>
      <c r="D452" s="27" t="s">
        <v>1405</v>
      </c>
      <c r="E452" s="28" t="s">
        <v>46</v>
      </c>
      <c r="F452" s="29" t="s">
        <v>46</v>
      </c>
      <c r="G452" s="30" t="s">
        <v>46</v>
      </c>
      <c r="H452" s="31"/>
      <c r="I452" s="31" t="s">
        <v>418</v>
      </c>
      <c r="J452" s="32" t="n">
        <v>10.0</v>
      </c>
      <c r="K452" s="33" t="n">
        <f>793.2</f>
        <v>793.2</v>
      </c>
      <c r="L452" s="34" t="s">
        <v>48</v>
      </c>
      <c r="M452" s="33" t="n">
        <f>819.4</f>
        <v>819.4</v>
      </c>
      <c r="N452" s="34" t="s">
        <v>51</v>
      </c>
      <c r="O452" s="33" t="n">
        <f>792.3</f>
        <v>792.3</v>
      </c>
      <c r="P452" s="34" t="s">
        <v>48</v>
      </c>
      <c r="Q452" s="33" t="n">
        <f>819.4</f>
        <v>819.4</v>
      </c>
      <c r="R452" s="34" t="s">
        <v>51</v>
      </c>
      <c r="S452" s="35" t="n">
        <f>803.26</f>
        <v>803.26</v>
      </c>
      <c r="T452" s="32" t="n">
        <f>3729330</f>
        <v>3729330.0</v>
      </c>
      <c r="U452" s="32" t="n">
        <f>10</f>
        <v>10.0</v>
      </c>
      <c r="V452" s="32" t="n">
        <f>2993901964</f>
        <v>2.993901964E9</v>
      </c>
      <c r="W452" s="32" t="n">
        <f>7977</f>
        <v>7977.0</v>
      </c>
      <c r="X452" s="36" t="n">
        <f>22</f>
        <v>22.0</v>
      </c>
    </row>
    <row r="453">
      <c r="A453" s="27" t="s">
        <v>42</v>
      </c>
      <c r="B453" s="27" t="s">
        <v>1406</v>
      </c>
      <c r="C453" s="27" t="s">
        <v>1407</v>
      </c>
      <c r="D453" s="27" t="s">
        <v>1408</v>
      </c>
      <c r="E453" s="28" t="s">
        <v>46</v>
      </c>
      <c r="F453" s="29" t="s">
        <v>46</v>
      </c>
      <c r="G453" s="30" t="s">
        <v>46</v>
      </c>
      <c r="H453" s="31"/>
      <c r="I453" s="31" t="s">
        <v>418</v>
      </c>
      <c r="J453" s="32" t="n">
        <v>1.0</v>
      </c>
      <c r="K453" s="33" t="n">
        <f>10550</f>
        <v>10550.0</v>
      </c>
      <c r="L453" s="34" t="s">
        <v>48</v>
      </c>
      <c r="M453" s="33" t="n">
        <f>10550</f>
        <v>10550.0</v>
      </c>
      <c r="N453" s="34" t="s">
        <v>48</v>
      </c>
      <c r="O453" s="33" t="n">
        <f>10015</f>
        <v>10015.0</v>
      </c>
      <c r="P453" s="34" t="s">
        <v>375</v>
      </c>
      <c r="Q453" s="33" t="n">
        <f>10370</f>
        <v>10370.0</v>
      </c>
      <c r="R453" s="34" t="s">
        <v>51</v>
      </c>
      <c r="S453" s="35" t="n">
        <f>10203.64</f>
        <v>10203.64</v>
      </c>
      <c r="T453" s="32" t="n">
        <f>7415</f>
        <v>7415.0</v>
      </c>
      <c r="U453" s="32" t="str">
        <f>"－"</f>
        <v>－</v>
      </c>
      <c r="V453" s="32" t="n">
        <f>74836500</f>
        <v>7.48365E7</v>
      </c>
      <c r="W453" s="32" t="str">
        <f>"－"</f>
        <v>－</v>
      </c>
      <c r="X453" s="36" t="n">
        <f>22</f>
        <v>22.0</v>
      </c>
    </row>
    <row r="454">
      <c r="A454" s="27" t="s">
        <v>42</v>
      </c>
      <c r="B454" s="27" t="s">
        <v>1409</v>
      </c>
      <c r="C454" s="27" t="s">
        <v>1410</v>
      </c>
      <c r="D454" s="27" t="s">
        <v>1411</v>
      </c>
      <c r="E454" s="28" t="s">
        <v>46</v>
      </c>
      <c r="F454" s="29" t="s">
        <v>46</v>
      </c>
      <c r="G454" s="30" t="s">
        <v>46</v>
      </c>
      <c r="H454" s="31"/>
      <c r="I454" s="31" t="s">
        <v>418</v>
      </c>
      <c r="J454" s="32" t="n">
        <v>1.0</v>
      </c>
      <c r="K454" s="33" t="n">
        <f>2367</f>
        <v>2367.0</v>
      </c>
      <c r="L454" s="34" t="s">
        <v>48</v>
      </c>
      <c r="M454" s="33" t="n">
        <f>2475</f>
        <v>2475.0</v>
      </c>
      <c r="N454" s="34" t="s">
        <v>203</v>
      </c>
      <c r="O454" s="33" t="n">
        <f>2308</f>
        <v>2308.0</v>
      </c>
      <c r="P454" s="34" t="s">
        <v>158</v>
      </c>
      <c r="Q454" s="33" t="n">
        <f>2409</f>
        <v>2409.0</v>
      </c>
      <c r="R454" s="34" t="s">
        <v>51</v>
      </c>
      <c r="S454" s="35" t="n">
        <f>2395.68</f>
        <v>2395.68</v>
      </c>
      <c r="T454" s="32" t="n">
        <f>48071</f>
        <v>48071.0</v>
      </c>
      <c r="U454" s="32" t="str">
        <f>"－"</f>
        <v>－</v>
      </c>
      <c r="V454" s="32" t="n">
        <f>114675081</f>
        <v>1.14675081E8</v>
      </c>
      <c r="W454" s="32" t="str">
        <f>"－"</f>
        <v>－</v>
      </c>
      <c r="X454" s="36" t="n">
        <f>22</f>
        <v>22.0</v>
      </c>
    </row>
    <row r="455">
      <c r="A455" s="27" t="s">
        <v>42</v>
      </c>
      <c r="B455" s="27" t="s">
        <v>1412</v>
      </c>
      <c r="C455" s="27" t="s">
        <v>1413</v>
      </c>
      <c r="D455" s="27" t="s">
        <v>1414</v>
      </c>
      <c r="E455" s="28" t="s">
        <v>46</v>
      </c>
      <c r="F455" s="29" t="s">
        <v>46</v>
      </c>
      <c r="G455" s="30" t="s">
        <v>46</v>
      </c>
      <c r="H455" s="31"/>
      <c r="I455" s="31" t="s">
        <v>418</v>
      </c>
      <c r="J455" s="32" t="n">
        <v>1.0</v>
      </c>
      <c r="K455" s="33" t="n">
        <f>1277</f>
        <v>1277.0</v>
      </c>
      <c r="L455" s="34" t="s">
        <v>48</v>
      </c>
      <c r="M455" s="33" t="n">
        <f>1296</f>
        <v>1296.0</v>
      </c>
      <c r="N455" s="34" t="s">
        <v>375</v>
      </c>
      <c r="O455" s="33" t="n">
        <f>1196</f>
        <v>1196.0</v>
      </c>
      <c r="P455" s="34" t="s">
        <v>50</v>
      </c>
      <c r="Q455" s="33" t="n">
        <f>1279</f>
        <v>1279.0</v>
      </c>
      <c r="R455" s="34" t="s">
        <v>51</v>
      </c>
      <c r="S455" s="35" t="n">
        <f>1257.36</f>
        <v>1257.36</v>
      </c>
      <c r="T455" s="32" t="n">
        <f>936622</f>
        <v>936622.0</v>
      </c>
      <c r="U455" s="32" t="n">
        <f>225513</f>
        <v>225513.0</v>
      </c>
      <c r="V455" s="32" t="n">
        <f>1178940258</f>
        <v>1.178940258E9</v>
      </c>
      <c r="W455" s="32" t="n">
        <f>285513270</f>
        <v>2.8551327E8</v>
      </c>
      <c r="X455" s="36" t="n">
        <f>22</f>
        <v>22.0</v>
      </c>
    </row>
    <row r="456">
      <c r="A456" s="27" t="s">
        <v>42</v>
      </c>
      <c r="B456" s="27" t="s">
        <v>1415</v>
      </c>
      <c r="C456" s="27" t="s">
        <v>1416</v>
      </c>
      <c r="D456" s="27" t="s">
        <v>1417</v>
      </c>
      <c r="E456" s="28" t="s">
        <v>46</v>
      </c>
      <c r="F456" s="29" t="s">
        <v>46</v>
      </c>
      <c r="G456" s="30" t="s">
        <v>46</v>
      </c>
      <c r="H456" s="31"/>
      <c r="I456" s="31" t="s">
        <v>418</v>
      </c>
      <c r="J456" s="32" t="n">
        <v>1.0</v>
      </c>
      <c r="K456" s="33" t="n">
        <f>1124</f>
        <v>1124.0</v>
      </c>
      <c r="L456" s="34" t="s">
        <v>48</v>
      </c>
      <c r="M456" s="33" t="n">
        <f>1128</f>
        <v>1128.0</v>
      </c>
      <c r="N456" s="34" t="s">
        <v>48</v>
      </c>
      <c r="O456" s="33" t="n">
        <f>970</f>
        <v>970.0</v>
      </c>
      <c r="P456" s="34" t="s">
        <v>70</v>
      </c>
      <c r="Q456" s="33" t="n">
        <f>994</f>
        <v>994.0</v>
      </c>
      <c r="R456" s="34" t="s">
        <v>51</v>
      </c>
      <c r="S456" s="35" t="n">
        <f>1043.91</f>
        <v>1043.91</v>
      </c>
      <c r="T456" s="32" t="n">
        <f>1274374</f>
        <v>1274374.0</v>
      </c>
      <c r="U456" s="32" t="n">
        <f>53991</f>
        <v>53991.0</v>
      </c>
      <c r="V456" s="32" t="n">
        <f>1334822722</f>
        <v>1.334822722E9</v>
      </c>
      <c r="W456" s="32" t="n">
        <f>55235568</f>
        <v>5.5235568E7</v>
      </c>
      <c r="X456" s="36" t="n">
        <f>22</f>
        <v>22.0</v>
      </c>
    </row>
    <row r="457">
      <c r="A457" s="27" t="s">
        <v>42</v>
      </c>
      <c r="B457" s="27" t="s">
        <v>1418</v>
      </c>
      <c r="C457" s="27" t="s">
        <v>1419</v>
      </c>
      <c r="D457" s="27" t="s">
        <v>1420</v>
      </c>
      <c r="E457" s="28" t="s">
        <v>46</v>
      </c>
      <c r="F457" s="29" t="s">
        <v>46</v>
      </c>
      <c r="G457" s="30" t="s">
        <v>46</v>
      </c>
      <c r="H457" s="31"/>
      <c r="I457" s="31" t="s">
        <v>418</v>
      </c>
      <c r="J457" s="32" t="n">
        <v>10.0</v>
      </c>
      <c r="K457" s="33" t="n">
        <f>287.8</f>
        <v>287.8</v>
      </c>
      <c r="L457" s="34" t="s">
        <v>48</v>
      </c>
      <c r="M457" s="33" t="n">
        <f>288.6</f>
        <v>288.6</v>
      </c>
      <c r="N457" s="34" t="s">
        <v>72</v>
      </c>
      <c r="O457" s="33" t="n">
        <f>282</f>
        <v>282.0</v>
      </c>
      <c r="P457" s="34" t="s">
        <v>49</v>
      </c>
      <c r="Q457" s="33" t="n">
        <f>288</f>
        <v>288.0</v>
      </c>
      <c r="R457" s="34" t="s">
        <v>51</v>
      </c>
      <c r="S457" s="35" t="n">
        <f>286.99</f>
        <v>286.99</v>
      </c>
      <c r="T457" s="32" t="n">
        <f>6090</f>
        <v>6090.0</v>
      </c>
      <c r="U457" s="32" t="str">
        <f>"－"</f>
        <v>－</v>
      </c>
      <c r="V457" s="32" t="n">
        <f>1741125</f>
        <v>1741125.0</v>
      </c>
      <c r="W457" s="32" t="str">
        <f>"－"</f>
        <v>－</v>
      </c>
      <c r="X457" s="36" t="n">
        <f>16</f>
        <v>16.0</v>
      </c>
    </row>
    <row r="458">
      <c r="A458" s="27" t="s">
        <v>42</v>
      </c>
      <c r="B458" s="27" t="s">
        <v>1421</v>
      </c>
      <c r="C458" s="27" t="s">
        <v>1422</v>
      </c>
      <c r="D458" s="27" t="s">
        <v>1423</v>
      </c>
      <c r="E458" s="28" t="s">
        <v>46</v>
      </c>
      <c r="F458" s="29" t="s">
        <v>46</v>
      </c>
      <c r="G458" s="30" t="s">
        <v>46</v>
      </c>
      <c r="H458" s="31"/>
      <c r="I458" s="31" t="s">
        <v>418</v>
      </c>
      <c r="J458" s="32" t="n">
        <v>10.0</v>
      </c>
      <c r="K458" s="33" t="n">
        <f>291</f>
        <v>291.0</v>
      </c>
      <c r="L458" s="34" t="s">
        <v>48</v>
      </c>
      <c r="M458" s="33" t="n">
        <f>310.3</f>
        <v>310.3</v>
      </c>
      <c r="N458" s="34" t="s">
        <v>199</v>
      </c>
      <c r="O458" s="33" t="n">
        <f>280</f>
        <v>280.0</v>
      </c>
      <c r="P458" s="34" t="s">
        <v>70</v>
      </c>
      <c r="Q458" s="33" t="n">
        <f>297</f>
        <v>297.0</v>
      </c>
      <c r="R458" s="34" t="s">
        <v>51</v>
      </c>
      <c r="S458" s="35" t="n">
        <f>293.43</f>
        <v>293.43</v>
      </c>
      <c r="T458" s="32" t="n">
        <f>53060</f>
        <v>53060.0</v>
      </c>
      <c r="U458" s="32" t="str">
        <f>"－"</f>
        <v>－</v>
      </c>
      <c r="V458" s="32" t="n">
        <f>15545597</f>
        <v>1.5545597E7</v>
      </c>
      <c r="W458" s="32" t="str">
        <f>"－"</f>
        <v>－</v>
      </c>
      <c r="X458" s="36" t="n">
        <f>22</f>
        <v>22.0</v>
      </c>
    </row>
    <row r="459">
      <c r="A459" s="27" t="s">
        <v>42</v>
      </c>
      <c r="B459" s="27" t="s">
        <v>1424</v>
      </c>
      <c r="C459" s="27" t="s">
        <v>1425</v>
      </c>
      <c r="D459" s="27" t="s">
        <v>1426</v>
      </c>
      <c r="E459" s="28" t="s">
        <v>46</v>
      </c>
      <c r="F459" s="29" t="s">
        <v>46</v>
      </c>
      <c r="G459" s="30" t="s">
        <v>46</v>
      </c>
      <c r="H459" s="31"/>
      <c r="I459" s="31" t="s">
        <v>418</v>
      </c>
      <c r="J459" s="32" t="n">
        <v>1.0</v>
      </c>
      <c r="K459" s="33" t="n">
        <f>1335</f>
        <v>1335.0</v>
      </c>
      <c r="L459" s="34" t="s">
        <v>48</v>
      </c>
      <c r="M459" s="33" t="n">
        <f>1484</f>
        <v>1484.0</v>
      </c>
      <c r="N459" s="34" t="s">
        <v>61</v>
      </c>
      <c r="O459" s="33" t="n">
        <f>1251</f>
        <v>1251.0</v>
      </c>
      <c r="P459" s="34" t="s">
        <v>50</v>
      </c>
      <c r="Q459" s="33" t="n">
        <f>1406</f>
        <v>1406.0</v>
      </c>
      <c r="R459" s="34" t="s">
        <v>51</v>
      </c>
      <c r="S459" s="35" t="n">
        <f>1374.55</f>
        <v>1374.55</v>
      </c>
      <c r="T459" s="32" t="n">
        <f>6998314</f>
        <v>6998314.0</v>
      </c>
      <c r="U459" s="32" t="n">
        <f>6488300</f>
        <v>6488300.0</v>
      </c>
      <c r="V459" s="32" t="n">
        <f>9673984534</f>
        <v>9.673984534E9</v>
      </c>
      <c r="W459" s="32" t="n">
        <f>8972794882</f>
        <v>8.972794882E9</v>
      </c>
      <c r="X459" s="36" t="n">
        <f>22</f>
        <v>22.0</v>
      </c>
    </row>
    <row r="460">
      <c r="A460" s="27" t="s">
        <v>42</v>
      </c>
      <c r="B460" s="27" t="s">
        <v>1427</v>
      </c>
      <c r="C460" s="27" t="s">
        <v>1428</v>
      </c>
      <c r="D460" s="27" t="s">
        <v>1429</v>
      </c>
      <c r="E460" s="28" t="s">
        <v>46</v>
      </c>
      <c r="F460" s="29" t="s">
        <v>46</v>
      </c>
      <c r="G460" s="30" t="s">
        <v>46</v>
      </c>
      <c r="H460" s="31"/>
      <c r="I460" s="31" t="s">
        <v>418</v>
      </c>
      <c r="J460" s="32" t="n">
        <v>1.0</v>
      </c>
      <c r="K460" s="33" t="n">
        <f>2161</f>
        <v>2161.0</v>
      </c>
      <c r="L460" s="34" t="s">
        <v>48</v>
      </c>
      <c r="M460" s="33" t="n">
        <f>2232</f>
        <v>2232.0</v>
      </c>
      <c r="N460" s="34" t="s">
        <v>66</v>
      </c>
      <c r="O460" s="33" t="n">
        <f>2085</f>
        <v>2085.0</v>
      </c>
      <c r="P460" s="34" t="s">
        <v>154</v>
      </c>
      <c r="Q460" s="33" t="n">
        <f>2210</f>
        <v>2210.0</v>
      </c>
      <c r="R460" s="34" t="s">
        <v>51</v>
      </c>
      <c r="S460" s="35" t="n">
        <f>2181.91</f>
        <v>2181.91</v>
      </c>
      <c r="T460" s="32" t="n">
        <f>111228</f>
        <v>111228.0</v>
      </c>
      <c r="U460" s="32" t="str">
        <f>"－"</f>
        <v>－</v>
      </c>
      <c r="V460" s="32" t="n">
        <f>243734533</f>
        <v>2.43734533E8</v>
      </c>
      <c r="W460" s="32" t="str">
        <f>"－"</f>
        <v>－</v>
      </c>
      <c r="X460" s="36" t="n">
        <f>22</f>
        <v>22.0</v>
      </c>
    </row>
    <row r="461">
      <c r="A461" s="27" t="s">
        <v>42</v>
      </c>
      <c r="B461" s="27" t="s">
        <v>1430</v>
      </c>
      <c r="C461" s="27" t="s">
        <v>1431</v>
      </c>
      <c r="D461" s="27" t="s">
        <v>1432</v>
      </c>
      <c r="E461" s="28" t="s">
        <v>46</v>
      </c>
      <c r="F461" s="29" t="s">
        <v>46</v>
      </c>
      <c r="G461" s="30" t="s">
        <v>46</v>
      </c>
      <c r="H461" s="31"/>
      <c r="I461" s="31" t="s">
        <v>418</v>
      </c>
      <c r="J461" s="32" t="n">
        <v>1.0</v>
      </c>
      <c r="K461" s="33" t="n">
        <f>2095</f>
        <v>2095.0</v>
      </c>
      <c r="L461" s="34" t="s">
        <v>48</v>
      </c>
      <c r="M461" s="33" t="n">
        <f>2095</f>
        <v>2095.0</v>
      </c>
      <c r="N461" s="34" t="s">
        <v>48</v>
      </c>
      <c r="O461" s="33" t="n">
        <f>1933</f>
        <v>1933.0</v>
      </c>
      <c r="P461" s="34" t="s">
        <v>154</v>
      </c>
      <c r="Q461" s="33" t="n">
        <f>2000</f>
        <v>2000.0</v>
      </c>
      <c r="R461" s="34" t="s">
        <v>51</v>
      </c>
      <c r="S461" s="35" t="n">
        <f>2020</f>
        <v>2020.0</v>
      </c>
      <c r="T461" s="32" t="n">
        <f>8455</f>
        <v>8455.0</v>
      </c>
      <c r="U461" s="32" t="str">
        <f>"－"</f>
        <v>－</v>
      </c>
      <c r="V461" s="32" t="n">
        <f>17036312</f>
        <v>1.7036312E7</v>
      </c>
      <c r="W461" s="32" t="str">
        <f>"－"</f>
        <v>－</v>
      </c>
      <c r="X461" s="36" t="n">
        <f>22</f>
        <v>22.0</v>
      </c>
    </row>
    <row r="462">
      <c r="A462" s="27" t="s">
        <v>42</v>
      </c>
      <c r="B462" s="27" t="s">
        <v>1433</v>
      </c>
      <c r="C462" s="27" t="s">
        <v>1434</v>
      </c>
      <c r="D462" s="27" t="s">
        <v>1435</v>
      </c>
      <c r="E462" s="28" t="s">
        <v>46</v>
      </c>
      <c r="F462" s="29" t="s">
        <v>46</v>
      </c>
      <c r="G462" s="30" t="s">
        <v>46</v>
      </c>
      <c r="H462" s="31"/>
      <c r="I462" s="31" t="s">
        <v>418</v>
      </c>
      <c r="J462" s="32" t="n">
        <v>10.0</v>
      </c>
      <c r="K462" s="33" t="n">
        <f>772.7</f>
        <v>772.7</v>
      </c>
      <c r="L462" s="34" t="s">
        <v>48</v>
      </c>
      <c r="M462" s="33" t="n">
        <f>772.7</f>
        <v>772.7</v>
      </c>
      <c r="N462" s="34" t="s">
        <v>48</v>
      </c>
      <c r="O462" s="33" t="n">
        <f>755.5</f>
        <v>755.5</v>
      </c>
      <c r="P462" s="34" t="s">
        <v>51</v>
      </c>
      <c r="Q462" s="33" t="n">
        <f>756.7</f>
        <v>756.7</v>
      </c>
      <c r="R462" s="34" t="s">
        <v>51</v>
      </c>
      <c r="S462" s="35" t="n">
        <f>764.92</f>
        <v>764.92</v>
      </c>
      <c r="T462" s="32" t="n">
        <f>1340040</f>
        <v>1340040.0</v>
      </c>
      <c r="U462" s="32" t="n">
        <f>715500</f>
        <v>715500.0</v>
      </c>
      <c r="V462" s="32" t="n">
        <f>1027411682</f>
        <v>1.027411682E9</v>
      </c>
      <c r="W462" s="32" t="n">
        <f>550102365</f>
        <v>5.50102365E8</v>
      </c>
      <c r="X462" s="36" t="n">
        <f>22</f>
        <v>22.0</v>
      </c>
    </row>
    <row r="463">
      <c r="A463" s="27" t="s">
        <v>42</v>
      </c>
      <c r="B463" s="27" t="s">
        <v>1436</v>
      </c>
      <c r="C463" s="27" t="s">
        <v>1437</v>
      </c>
      <c r="D463" s="27" t="s">
        <v>1438</v>
      </c>
      <c r="E463" s="28" t="s">
        <v>46</v>
      </c>
      <c r="F463" s="29" t="s">
        <v>46</v>
      </c>
      <c r="G463" s="30" t="s">
        <v>46</v>
      </c>
      <c r="H463" s="31"/>
      <c r="I463" s="31" t="s">
        <v>418</v>
      </c>
      <c r="J463" s="32" t="n">
        <v>1.0</v>
      </c>
      <c r="K463" s="33" t="n">
        <f>895</f>
        <v>895.0</v>
      </c>
      <c r="L463" s="34" t="s">
        <v>48</v>
      </c>
      <c r="M463" s="33" t="n">
        <f>905</f>
        <v>905.0</v>
      </c>
      <c r="N463" s="34" t="s">
        <v>72</v>
      </c>
      <c r="O463" s="33" t="n">
        <f>851</f>
        <v>851.0</v>
      </c>
      <c r="P463" s="34" t="s">
        <v>49</v>
      </c>
      <c r="Q463" s="33" t="n">
        <f>887</f>
        <v>887.0</v>
      </c>
      <c r="R463" s="34" t="s">
        <v>51</v>
      </c>
      <c r="S463" s="35" t="n">
        <f>873.73</f>
        <v>873.73</v>
      </c>
      <c r="T463" s="32" t="n">
        <f>2747</f>
        <v>2747.0</v>
      </c>
      <c r="U463" s="32" t="str">
        <f>"－"</f>
        <v>－</v>
      </c>
      <c r="V463" s="32" t="n">
        <f>2387581</f>
        <v>2387581.0</v>
      </c>
      <c r="W463" s="32" t="str">
        <f>"－"</f>
        <v>－</v>
      </c>
      <c r="X463" s="36" t="n">
        <f>22</f>
        <v>22.0</v>
      </c>
    </row>
    <row r="464">
      <c r="A464" s="27" t="s">
        <v>42</v>
      </c>
      <c r="B464" s="27" t="s">
        <v>1439</v>
      </c>
      <c r="C464" s="27" t="s">
        <v>1440</v>
      </c>
      <c r="D464" s="27" t="s">
        <v>1441</v>
      </c>
      <c r="E464" s="28" t="s">
        <v>46</v>
      </c>
      <c r="F464" s="29" t="s">
        <v>46</v>
      </c>
      <c r="G464" s="30" t="s">
        <v>46</v>
      </c>
      <c r="H464" s="31"/>
      <c r="I464" s="31" t="s">
        <v>47</v>
      </c>
      <c r="J464" s="32" t="n">
        <v>10.0</v>
      </c>
      <c r="K464" s="33" t="n">
        <f>559.2</f>
        <v>559.2</v>
      </c>
      <c r="L464" s="34" t="s">
        <v>48</v>
      </c>
      <c r="M464" s="33" t="n">
        <f>562.2</f>
        <v>562.2</v>
      </c>
      <c r="N464" s="34" t="s">
        <v>85</v>
      </c>
      <c r="O464" s="33" t="n">
        <f>524.8</f>
        <v>524.8</v>
      </c>
      <c r="P464" s="34" t="s">
        <v>50</v>
      </c>
      <c r="Q464" s="33" t="n">
        <f>539.2</f>
        <v>539.2</v>
      </c>
      <c r="R464" s="34" t="s">
        <v>51</v>
      </c>
      <c r="S464" s="35" t="n">
        <f>542.79</f>
        <v>542.79</v>
      </c>
      <c r="T464" s="32" t="n">
        <f>4385540</f>
        <v>4385540.0</v>
      </c>
      <c r="U464" s="32" t="n">
        <f>2738140</f>
        <v>2738140.0</v>
      </c>
      <c r="V464" s="32" t="n">
        <f>2395203056</f>
        <v>2.395203056E9</v>
      </c>
      <c r="W464" s="32" t="n">
        <f>1496009940</f>
        <v>1.49600994E9</v>
      </c>
      <c r="X464" s="36" t="n">
        <f>22</f>
        <v>22.0</v>
      </c>
    </row>
    <row r="465">
      <c r="A465" s="27" t="s">
        <v>42</v>
      </c>
      <c r="B465" s="27" t="s">
        <v>1442</v>
      </c>
      <c r="C465" s="27" t="s">
        <v>1443</v>
      </c>
      <c r="D465" s="27" t="s">
        <v>1444</v>
      </c>
      <c r="E465" s="28" t="s">
        <v>46</v>
      </c>
      <c r="F465" s="29" t="s">
        <v>46</v>
      </c>
      <c r="G465" s="30" t="s">
        <v>46</v>
      </c>
      <c r="H465" s="31"/>
      <c r="I465" s="31" t="s">
        <v>418</v>
      </c>
      <c r="J465" s="32" t="n">
        <v>10.0</v>
      </c>
      <c r="K465" s="33" t="n">
        <f>980.6</f>
        <v>980.6</v>
      </c>
      <c r="L465" s="34" t="s">
        <v>48</v>
      </c>
      <c r="M465" s="33" t="n">
        <f>993.5</f>
        <v>993.5</v>
      </c>
      <c r="N465" s="34" t="s">
        <v>66</v>
      </c>
      <c r="O465" s="33" t="n">
        <f>975.4</f>
        <v>975.4</v>
      </c>
      <c r="P465" s="34" t="s">
        <v>61</v>
      </c>
      <c r="Q465" s="33" t="n">
        <f>977.1</f>
        <v>977.1</v>
      </c>
      <c r="R465" s="34" t="s">
        <v>51</v>
      </c>
      <c r="S465" s="35" t="n">
        <f>979.67</f>
        <v>979.67</v>
      </c>
      <c r="T465" s="32" t="n">
        <f>63010</f>
        <v>63010.0</v>
      </c>
      <c r="U465" s="32" t="str">
        <f>"－"</f>
        <v>－</v>
      </c>
      <c r="V465" s="32" t="n">
        <f>61798027</f>
        <v>6.1798027E7</v>
      </c>
      <c r="W465" s="32" t="str">
        <f>"－"</f>
        <v>－</v>
      </c>
      <c r="X465" s="36" t="n">
        <f>15</f>
        <v>15.0</v>
      </c>
    </row>
    <row r="466">
      <c r="A466" s="27" t="s">
        <v>42</v>
      </c>
      <c r="B466" s="27" t="s">
        <v>1445</v>
      </c>
      <c r="C466" s="27" t="s">
        <v>1446</v>
      </c>
      <c r="D466" s="27" t="s">
        <v>1447</v>
      </c>
      <c r="E466" s="28" t="s">
        <v>46</v>
      </c>
      <c r="F466" s="29" t="s">
        <v>46</v>
      </c>
      <c r="G466" s="30" t="s">
        <v>46</v>
      </c>
      <c r="H466" s="31"/>
      <c r="I466" s="31" t="s">
        <v>418</v>
      </c>
      <c r="J466" s="32" t="n">
        <v>10.0</v>
      </c>
      <c r="K466" s="33" t="n">
        <f>993.7</f>
        <v>993.7</v>
      </c>
      <c r="L466" s="34" t="s">
        <v>85</v>
      </c>
      <c r="M466" s="33" t="n">
        <f>1003.5</f>
        <v>1003.5</v>
      </c>
      <c r="N466" s="34" t="s">
        <v>70</v>
      </c>
      <c r="O466" s="33" t="n">
        <f>993.7</f>
        <v>993.7</v>
      </c>
      <c r="P466" s="34" t="s">
        <v>85</v>
      </c>
      <c r="Q466" s="33" t="n">
        <f>997.9</f>
        <v>997.9</v>
      </c>
      <c r="R466" s="34" t="s">
        <v>51</v>
      </c>
      <c r="S466" s="35" t="n">
        <f>998.08</f>
        <v>998.08</v>
      </c>
      <c r="T466" s="32" t="n">
        <f>26150</f>
        <v>26150.0</v>
      </c>
      <c r="U466" s="32" t="str">
        <f>"－"</f>
        <v>－</v>
      </c>
      <c r="V466" s="32" t="n">
        <f>26074396</f>
        <v>2.6074396E7</v>
      </c>
      <c r="W466" s="32" t="str">
        <f>"－"</f>
        <v>－</v>
      </c>
      <c r="X466" s="36" t="n">
        <f>12</f>
        <v>12.0</v>
      </c>
    </row>
    <row r="467">
      <c r="A467" s="27" t="s">
        <v>42</v>
      </c>
      <c r="B467" s="27" t="s">
        <v>1448</v>
      </c>
      <c r="C467" s="27" t="s">
        <v>1449</v>
      </c>
      <c r="D467" s="27" t="s">
        <v>1450</v>
      </c>
      <c r="E467" s="28" t="s">
        <v>46</v>
      </c>
      <c r="F467" s="29" t="s">
        <v>46</v>
      </c>
      <c r="G467" s="30" t="s">
        <v>46</v>
      </c>
      <c r="H467" s="31"/>
      <c r="I467" s="31" t="s">
        <v>418</v>
      </c>
      <c r="J467" s="32" t="n">
        <v>10.0</v>
      </c>
      <c r="K467" s="33" t="n">
        <f>991.8</f>
        <v>991.8</v>
      </c>
      <c r="L467" s="34" t="s">
        <v>62</v>
      </c>
      <c r="M467" s="33" t="n">
        <f>995.9</f>
        <v>995.9</v>
      </c>
      <c r="N467" s="34" t="s">
        <v>70</v>
      </c>
      <c r="O467" s="33" t="n">
        <f>989</f>
        <v>989.0</v>
      </c>
      <c r="P467" s="34" t="s">
        <v>50</v>
      </c>
      <c r="Q467" s="33" t="n">
        <f>993.5</f>
        <v>993.5</v>
      </c>
      <c r="R467" s="34" t="s">
        <v>51</v>
      </c>
      <c r="S467" s="35" t="n">
        <f>992.53</f>
        <v>992.53</v>
      </c>
      <c r="T467" s="32" t="n">
        <f>11700</f>
        <v>11700.0</v>
      </c>
      <c r="U467" s="32" t="str">
        <f>"－"</f>
        <v>－</v>
      </c>
      <c r="V467" s="32" t="n">
        <f>11609472</f>
        <v>1.1609472E7</v>
      </c>
      <c r="W467" s="32" t="str">
        <f>"－"</f>
        <v>－</v>
      </c>
      <c r="X467" s="36" t="n">
        <f>7</f>
        <v>7.0</v>
      </c>
    </row>
    <row r="468">
      <c r="A468" s="27" t="s">
        <v>42</v>
      </c>
      <c r="B468" s="27" t="s">
        <v>1451</v>
      </c>
      <c r="C468" s="27" t="s">
        <v>1452</v>
      </c>
      <c r="D468" s="27" t="s">
        <v>1453</v>
      </c>
      <c r="E468" s="28" t="s">
        <v>46</v>
      </c>
      <c r="F468" s="29" t="s">
        <v>46</v>
      </c>
      <c r="G468" s="30" t="s">
        <v>46</v>
      </c>
      <c r="H468" s="31"/>
      <c r="I468" s="31" t="s">
        <v>418</v>
      </c>
      <c r="J468" s="32" t="n">
        <v>10.0</v>
      </c>
      <c r="K468" s="33" t="n">
        <f>974</f>
        <v>974.0</v>
      </c>
      <c r="L468" s="34" t="s">
        <v>48</v>
      </c>
      <c r="M468" s="33" t="n">
        <f>999</f>
        <v>999.0</v>
      </c>
      <c r="N468" s="34" t="s">
        <v>70</v>
      </c>
      <c r="O468" s="33" t="n">
        <f>974</f>
        <v>974.0</v>
      </c>
      <c r="P468" s="34" t="s">
        <v>48</v>
      </c>
      <c r="Q468" s="33" t="n">
        <f>983.3</f>
        <v>983.3</v>
      </c>
      <c r="R468" s="34" t="s">
        <v>72</v>
      </c>
      <c r="S468" s="35" t="n">
        <f>980.58</f>
        <v>980.58</v>
      </c>
      <c r="T468" s="32" t="n">
        <f>15540</f>
        <v>15540.0</v>
      </c>
      <c r="U468" s="32" t="str">
        <f>"－"</f>
        <v>－</v>
      </c>
      <c r="V468" s="32" t="n">
        <f>15240498</f>
        <v>1.5240498E7</v>
      </c>
      <c r="W468" s="32" t="str">
        <f>"－"</f>
        <v>－</v>
      </c>
      <c r="X468" s="36" t="n">
        <f>14</f>
        <v>14.0</v>
      </c>
    </row>
    <row r="469">
      <c r="A469" s="27" t="s">
        <v>42</v>
      </c>
      <c r="B469" s="27" t="s">
        <v>1454</v>
      </c>
      <c r="C469" s="27" t="s">
        <v>1455</v>
      </c>
      <c r="D469" s="27" t="s">
        <v>1456</v>
      </c>
      <c r="E469" s="28" t="s">
        <v>46</v>
      </c>
      <c r="F469" s="29" t="s">
        <v>46</v>
      </c>
      <c r="G469" s="30" t="s">
        <v>46</v>
      </c>
      <c r="H469" s="31"/>
      <c r="I469" s="31" t="s">
        <v>418</v>
      </c>
      <c r="J469" s="32" t="n">
        <v>10.0</v>
      </c>
      <c r="K469" s="33" t="n">
        <f>958.4</f>
        <v>958.4</v>
      </c>
      <c r="L469" s="34" t="s">
        <v>48</v>
      </c>
      <c r="M469" s="33" t="n">
        <f>972.8</f>
        <v>972.8</v>
      </c>
      <c r="N469" s="34" t="s">
        <v>203</v>
      </c>
      <c r="O469" s="33" t="n">
        <f>940.7</f>
        <v>940.7</v>
      </c>
      <c r="P469" s="34" t="s">
        <v>71</v>
      </c>
      <c r="Q469" s="33" t="n">
        <f>949.9</f>
        <v>949.9</v>
      </c>
      <c r="R469" s="34" t="s">
        <v>51</v>
      </c>
      <c r="S469" s="35" t="n">
        <f>958.82</f>
        <v>958.82</v>
      </c>
      <c r="T469" s="32" t="n">
        <f>892830</f>
        <v>892830.0</v>
      </c>
      <c r="U469" s="32" t="str">
        <f>"－"</f>
        <v>－</v>
      </c>
      <c r="V469" s="32" t="n">
        <f>855083579</f>
        <v>8.55083579E8</v>
      </c>
      <c r="W469" s="32" t="str">
        <f>"－"</f>
        <v>－</v>
      </c>
      <c r="X469" s="36" t="n">
        <f>22</f>
        <v>22.0</v>
      </c>
    </row>
    <row r="470">
      <c r="A470" s="27" t="s">
        <v>42</v>
      </c>
      <c r="B470" s="27" t="s">
        <v>1457</v>
      </c>
      <c r="C470" s="27" t="s">
        <v>1458</v>
      </c>
      <c r="D470" s="27" t="s">
        <v>1459</v>
      </c>
      <c r="E470" s="28" t="s">
        <v>46</v>
      </c>
      <c r="F470" s="29" t="s">
        <v>46</v>
      </c>
      <c r="G470" s="30" t="s">
        <v>46</v>
      </c>
      <c r="H470" s="31"/>
      <c r="I470" s="31" t="s">
        <v>418</v>
      </c>
      <c r="J470" s="32" t="n">
        <v>1.0</v>
      </c>
      <c r="K470" s="33" t="n">
        <f>9685</f>
        <v>9685.0</v>
      </c>
      <c r="L470" s="34" t="s">
        <v>48</v>
      </c>
      <c r="M470" s="33" t="n">
        <f>9941</f>
        <v>9941.0</v>
      </c>
      <c r="N470" s="34" t="s">
        <v>72</v>
      </c>
      <c r="O470" s="33" t="n">
        <f>9383</f>
        <v>9383.0</v>
      </c>
      <c r="P470" s="34" t="s">
        <v>85</v>
      </c>
      <c r="Q470" s="33" t="n">
        <f>9859</f>
        <v>9859.0</v>
      </c>
      <c r="R470" s="34" t="s">
        <v>51</v>
      </c>
      <c r="S470" s="35" t="n">
        <f>9611.55</f>
        <v>9611.55</v>
      </c>
      <c r="T470" s="32" t="n">
        <f>10436</f>
        <v>10436.0</v>
      </c>
      <c r="U470" s="32" t="str">
        <f>"－"</f>
        <v>－</v>
      </c>
      <c r="V470" s="32" t="n">
        <f>100343909</f>
        <v>1.00343909E8</v>
      </c>
      <c r="W470" s="32" t="str">
        <f>"－"</f>
        <v>－</v>
      </c>
      <c r="X470" s="36" t="n">
        <f>20</f>
        <v>20.0</v>
      </c>
    </row>
    <row r="471">
      <c r="A471" s="27" t="s">
        <v>42</v>
      </c>
      <c r="B471" s="27" t="s">
        <v>1460</v>
      </c>
      <c r="C471" s="27" t="s">
        <v>1461</v>
      </c>
      <c r="D471" s="27" t="s">
        <v>1462</v>
      </c>
      <c r="E471" s="28" t="s">
        <v>46</v>
      </c>
      <c r="F471" s="29" t="s">
        <v>46</v>
      </c>
      <c r="G471" s="30" t="s">
        <v>46</v>
      </c>
      <c r="H471" s="31"/>
      <c r="I471" s="31" t="s">
        <v>418</v>
      </c>
      <c r="J471" s="32" t="n">
        <v>1.0</v>
      </c>
      <c r="K471" s="33" t="n">
        <f>9160</f>
        <v>9160.0</v>
      </c>
      <c r="L471" s="34" t="s">
        <v>48</v>
      </c>
      <c r="M471" s="33" t="n">
        <f>9219</f>
        <v>9219.0</v>
      </c>
      <c r="N471" s="34" t="s">
        <v>48</v>
      </c>
      <c r="O471" s="33" t="n">
        <f>8472</f>
        <v>8472.0</v>
      </c>
      <c r="P471" s="34" t="s">
        <v>70</v>
      </c>
      <c r="Q471" s="33" t="n">
        <f>8742</f>
        <v>8742.0</v>
      </c>
      <c r="R471" s="34" t="s">
        <v>51</v>
      </c>
      <c r="S471" s="35" t="n">
        <f>8780.41</f>
        <v>8780.41</v>
      </c>
      <c r="T471" s="32" t="n">
        <f>10392</f>
        <v>10392.0</v>
      </c>
      <c r="U471" s="32" t="str">
        <f>"－"</f>
        <v>－</v>
      </c>
      <c r="V471" s="32" t="n">
        <f>91203022</f>
        <v>9.1203022E7</v>
      </c>
      <c r="W471" s="32" t="str">
        <f>"－"</f>
        <v>－</v>
      </c>
      <c r="X471" s="36" t="n">
        <f>22</f>
        <v>22.0</v>
      </c>
    </row>
    <row r="472">
      <c r="A472" s="27" t="s">
        <v>42</v>
      </c>
      <c r="B472" s="27" t="s">
        <v>1463</v>
      </c>
      <c r="C472" s="27" t="s">
        <v>1464</v>
      </c>
      <c r="D472" s="27" t="s">
        <v>1465</v>
      </c>
      <c r="E472" s="28" t="s">
        <v>46</v>
      </c>
      <c r="F472" s="29" t="s">
        <v>46</v>
      </c>
      <c r="G472" s="30" t="s">
        <v>46</v>
      </c>
      <c r="H472" s="31"/>
      <c r="I472" s="31" t="s">
        <v>418</v>
      </c>
      <c r="J472" s="32" t="n">
        <v>1.0</v>
      </c>
      <c r="K472" s="33" t="n">
        <f>8776</f>
        <v>8776.0</v>
      </c>
      <c r="L472" s="34" t="s">
        <v>48</v>
      </c>
      <c r="M472" s="33" t="n">
        <f>9699</f>
        <v>9699.0</v>
      </c>
      <c r="N472" s="34" t="s">
        <v>214</v>
      </c>
      <c r="O472" s="33" t="n">
        <f>8548</f>
        <v>8548.0</v>
      </c>
      <c r="P472" s="34" t="s">
        <v>104</v>
      </c>
      <c r="Q472" s="33" t="n">
        <f>8906</f>
        <v>8906.0</v>
      </c>
      <c r="R472" s="34" t="s">
        <v>70</v>
      </c>
      <c r="S472" s="35" t="n">
        <f>8991.65</f>
        <v>8991.65</v>
      </c>
      <c r="T472" s="32" t="n">
        <f>368</f>
        <v>368.0</v>
      </c>
      <c r="U472" s="32" t="str">
        <f>"－"</f>
        <v>－</v>
      </c>
      <c r="V472" s="32" t="n">
        <f>3344138</f>
        <v>3344138.0</v>
      </c>
      <c r="W472" s="32" t="str">
        <f>"－"</f>
        <v>－</v>
      </c>
      <c r="X472" s="36" t="n">
        <f>17</f>
        <v>17.0</v>
      </c>
    </row>
    <row r="473">
      <c r="A473" s="27" t="s">
        <v>42</v>
      </c>
      <c r="B473" s="27" t="s">
        <v>1466</v>
      </c>
      <c r="C473" s="27" t="s">
        <v>1467</v>
      </c>
      <c r="D473" s="27" t="s">
        <v>1468</v>
      </c>
      <c r="E473" s="28" t="s">
        <v>46</v>
      </c>
      <c r="F473" s="29" t="s">
        <v>46</v>
      </c>
      <c r="G473" s="30" t="s">
        <v>46</v>
      </c>
      <c r="H473" s="31"/>
      <c r="I473" s="31" t="s">
        <v>418</v>
      </c>
      <c r="J473" s="32" t="n">
        <v>10.0</v>
      </c>
      <c r="K473" s="33" t="n">
        <f>902</f>
        <v>902.0</v>
      </c>
      <c r="L473" s="34" t="s">
        <v>48</v>
      </c>
      <c r="M473" s="33" t="n">
        <f>902.5</f>
        <v>902.5</v>
      </c>
      <c r="N473" s="34" t="s">
        <v>51</v>
      </c>
      <c r="O473" s="33" t="n">
        <f>901.7</f>
        <v>901.7</v>
      </c>
      <c r="P473" s="34" t="s">
        <v>104</v>
      </c>
      <c r="Q473" s="33" t="n">
        <f>902.4</f>
        <v>902.4</v>
      </c>
      <c r="R473" s="34" t="s">
        <v>51</v>
      </c>
      <c r="S473" s="35" t="n">
        <f>902.07</f>
        <v>902.07</v>
      </c>
      <c r="T473" s="32" t="n">
        <f>977780</f>
        <v>977780.0</v>
      </c>
      <c r="U473" s="32" t="str">
        <f>"－"</f>
        <v>－</v>
      </c>
      <c r="V473" s="32" t="n">
        <f>882007226</f>
        <v>8.82007226E8</v>
      </c>
      <c r="W473" s="32" t="str">
        <f>"－"</f>
        <v>－</v>
      </c>
      <c r="X473" s="36" t="n">
        <f>22</f>
        <v>22.0</v>
      </c>
    </row>
    <row r="474">
      <c r="A474" s="27" t="s">
        <v>42</v>
      </c>
      <c r="B474" s="27" t="s">
        <v>1469</v>
      </c>
      <c r="C474" s="27" t="s">
        <v>1470</v>
      </c>
      <c r="D474" s="27" t="s">
        <v>1471</v>
      </c>
      <c r="E474" s="28" t="s">
        <v>46</v>
      </c>
      <c r="F474" s="29" t="s">
        <v>46</v>
      </c>
      <c r="G474" s="30" t="s">
        <v>46</v>
      </c>
      <c r="H474" s="31"/>
      <c r="I474" s="31" t="s">
        <v>418</v>
      </c>
      <c r="J474" s="32" t="n">
        <v>1.0</v>
      </c>
      <c r="K474" s="33" t="n">
        <f>79500</f>
        <v>79500.0</v>
      </c>
      <c r="L474" s="34" t="s">
        <v>48</v>
      </c>
      <c r="M474" s="33" t="n">
        <f>79500</f>
        <v>79500.0</v>
      </c>
      <c r="N474" s="34" t="s">
        <v>48</v>
      </c>
      <c r="O474" s="33" t="n">
        <f>71800</f>
        <v>71800.0</v>
      </c>
      <c r="P474" s="34" t="s">
        <v>51</v>
      </c>
      <c r="Q474" s="33" t="n">
        <f>72500</f>
        <v>72500.0</v>
      </c>
      <c r="R474" s="34" t="s">
        <v>51</v>
      </c>
      <c r="S474" s="35" t="n">
        <f>76045.45</f>
        <v>76045.45</v>
      </c>
      <c r="T474" s="32" t="n">
        <f>5196</f>
        <v>5196.0</v>
      </c>
      <c r="U474" s="32" t="n">
        <f>59</f>
        <v>59.0</v>
      </c>
      <c r="V474" s="32" t="n">
        <f>393783300</f>
        <v>3.937833E8</v>
      </c>
      <c r="W474" s="32" t="n">
        <f>4479300</f>
        <v>4479300.0</v>
      </c>
      <c r="X474" s="36" t="n">
        <f>22</f>
        <v>22.0</v>
      </c>
    </row>
    <row r="475">
      <c r="A475" s="27" t="s">
        <v>42</v>
      </c>
      <c r="B475" s="27" t="s">
        <v>1472</v>
      </c>
      <c r="C475" s="27" t="s">
        <v>1473</v>
      </c>
      <c r="D475" s="27" t="s">
        <v>1474</v>
      </c>
      <c r="E475" s="28" t="s">
        <v>46</v>
      </c>
      <c r="F475" s="29" t="s">
        <v>46</v>
      </c>
      <c r="G475" s="30" t="s">
        <v>46</v>
      </c>
      <c r="H475" s="31"/>
      <c r="I475" s="31" t="s">
        <v>418</v>
      </c>
      <c r="J475" s="32" t="n">
        <v>1.0</v>
      </c>
      <c r="K475" s="33" t="n">
        <f>1126</f>
        <v>1126.0</v>
      </c>
      <c r="L475" s="34" t="s">
        <v>48</v>
      </c>
      <c r="M475" s="33" t="n">
        <f>1141</f>
        <v>1141.0</v>
      </c>
      <c r="N475" s="34" t="s">
        <v>48</v>
      </c>
      <c r="O475" s="33" t="n">
        <f>1031</f>
        <v>1031.0</v>
      </c>
      <c r="P475" s="34" t="s">
        <v>50</v>
      </c>
      <c r="Q475" s="33" t="n">
        <f>1112</f>
        <v>1112.0</v>
      </c>
      <c r="R475" s="34" t="s">
        <v>51</v>
      </c>
      <c r="S475" s="35" t="n">
        <f>1092.55</f>
        <v>1092.55</v>
      </c>
      <c r="T475" s="32" t="n">
        <f>86396</f>
        <v>86396.0</v>
      </c>
      <c r="U475" s="32" t="str">
        <f>"－"</f>
        <v>－</v>
      </c>
      <c r="V475" s="32" t="n">
        <f>93777726</f>
        <v>9.3777726E7</v>
      </c>
      <c r="W475" s="32" t="str">
        <f>"－"</f>
        <v>－</v>
      </c>
      <c r="X475" s="36" t="n">
        <f>22</f>
        <v>22.0</v>
      </c>
    </row>
    <row r="476">
      <c r="A476" s="27" t="s">
        <v>42</v>
      </c>
      <c r="B476" s="27" t="s">
        <v>1475</v>
      </c>
      <c r="C476" s="27" t="s">
        <v>1476</v>
      </c>
      <c r="D476" s="27" t="s">
        <v>1477</v>
      </c>
      <c r="E476" s="28" t="s">
        <v>46</v>
      </c>
      <c r="F476" s="29" t="s">
        <v>46</v>
      </c>
      <c r="G476" s="30" t="s">
        <v>46</v>
      </c>
      <c r="H476" s="31"/>
      <c r="I476" s="31" t="s">
        <v>47</v>
      </c>
      <c r="J476" s="32" t="n">
        <v>1.0</v>
      </c>
      <c r="K476" s="33" t="n">
        <f>928</f>
        <v>928.0</v>
      </c>
      <c r="L476" s="34" t="s">
        <v>48</v>
      </c>
      <c r="M476" s="33" t="n">
        <f>937</f>
        <v>937.0</v>
      </c>
      <c r="N476" s="34" t="s">
        <v>48</v>
      </c>
      <c r="O476" s="33" t="n">
        <f>782</f>
        <v>782.0</v>
      </c>
      <c r="P476" s="34" t="s">
        <v>50</v>
      </c>
      <c r="Q476" s="33" t="n">
        <f>843</f>
        <v>843.0</v>
      </c>
      <c r="R476" s="34" t="s">
        <v>51</v>
      </c>
      <c r="S476" s="35" t="n">
        <f>853.32</f>
        <v>853.32</v>
      </c>
      <c r="T476" s="32" t="n">
        <f>13619219</f>
        <v>1.3619219E7</v>
      </c>
      <c r="U476" s="32" t="n">
        <f>3527077</f>
        <v>3527077.0</v>
      </c>
      <c r="V476" s="32" t="n">
        <f>11651867790</f>
        <v>1.165186779E10</v>
      </c>
      <c r="W476" s="32" t="n">
        <f>3032525958</f>
        <v>3.032525958E9</v>
      </c>
      <c r="X476" s="36" t="n">
        <f>22</f>
        <v>22.0</v>
      </c>
    </row>
    <row r="477">
      <c r="A477" s="27" t="s">
        <v>42</v>
      </c>
      <c r="B477" s="27" t="s">
        <v>1478</v>
      </c>
      <c r="C477" s="27" t="s">
        <v>1479</v>
      </c>
      <c r="D477" s="27" t="s">
        <v>1480</v>
      </c>
      <c r="E477" s="28" t="s">
        <v>46</v>
      </c>
      <c r="F477" s="29" t="s">
        <v>46</v>
      </c>
      <c r="G477" s="30" t="s">
        <v>46</v>
      </c>
      <c r="H477" s="31"/>
      <c r="I477" s="31" t="s">
        <v>418</v>
      </c>
      <c r="J477" s="32" t="n">
        <v>10.0</v>
      </c>
      <c r="K477" s="33" t="n">
        <f>503.3</f>
        <v>503.3</v>
      </c>
      <c r="L477" s="34" t="s">
        <v>48</v>
      </c>
      <c r="M477" s="33" t="n">
        <f>504.9</f>
        <v>504.9</v>
      </c>
      <c r="N477" s="34" t="s">
        <v>72</v>
      </c>
      <c r="O477" s="33" t="n">
        <f>502</f>
        <v>502.0</v>
      </c>
      <c r="P477" s="34" t="s">
        <v>62</v>
      </c>
      <c r="Q477" s="33" t="n">
        <f>504</f>
        <v>504.0</v>
      </c>
      <c r="R477" s="34" t="s">
        <v>51</v>
      </c>
      <c r="S477" s="35" t="n">
        <f>503.62</f>
        <v>503.62</v>
      </c>
      <c r="T477" s="32" t="n">
        <f>101610</f>
        <v>101610.0</v>
      </c>
      <c r="U477" s="32" t="n">
        <f>50000</f>
        <v>50000.0</v>
      </c>
      <c r="V477" s="32" t="n">
        <f>51172078</f>
        <v>5.1172078E7</v>
      </c>
      <c r="W477" s="32" t="n">
        <f>25175000</f>
        <v>2.5175E7</v>
      </c>
      <c r="X477" s="36" t="n">
        <f>22</f>
        <v>22.0</v>
      </c>
    </row>
    <row r="478">
      <c r="A478" s="27" t="s">
        <v>42</v>
      </c>
      <c r="B478" s="27" t="s">
        <v>1481</v>
      </c>
      <c r="C478" s="27" t="s">
        <v>1482</v>
      </c>
      <c r="D478" s="27" t="s">
        <v>1483</v>
      </c>
      <c r="E478" s="28" t="s">
        <v>46</v>
      </c>
      <c r="F478" s="29" t="s">
        <v>46</v>
      </c>
      <c r="G478" s="30" t="s">
        <v>46</v>
      </c>
      <c r="H478" s="31"/>
      <c r="I478" s="31" t="s">
        <v>418</v>
      </c>
      <c r="J478" s="32" t="n">
        <v>1.0</v>
      </c>
      <c r="K478" s="33" t="n">
        <f>2027</f>
        <v>2027.0</v>
      </c>
      <c r="L478" s="34" t="s">
        <v>48</v>
      </c>
      <c r="M478" s="33" t="n">
        <f>2111</f>
        <v>2111.0</v>
      </c>
      <c r="N478" s="34" t="s">
        <v>61</v>
      </c>
      <c r="O478" s="33" t="n">
        <f>2027</f>
        <v>2027.0</v>
      </c>
      <c r="P478" s="34" t="s">
        <v>48</v>
      </c>
      <c r="Q478" s="33" t="n">
        <f>2064</f>
        <v>2064.0</v>
      </c>
      <c r="R478" s="34" t="s">
        <v>199</v>
      </c>
      <c r="S478" s="35" t="n">
        <f>2057</f>
        <v>2057.0</v>
      </c>
      <c r="T478" s="32" t="n">
        <f>1553271</f>
        <v>1553271.0</v>
      </c>
      <c r="U478" s="32" t="n">
        <f>1553100</f>
        <v>1553100.0</v>
      </c>
      <c r="V478" s="32" t="n">
        <f>3209533376</f>
        <v>3.209533376E9</v>
      </c>
      <c r="W478" s="32" t="n">
        <f>3209176297</f>
        <v>3.209176297E9</v>
      </c>
      <c r="X478" s="36" t="n">
        <f>10</f>
        <v>10.0</v>
      </c>
    </row>
    <row r="479">
      <c r="A479" s="27" t="s">
        <v>42</v>
      </c>
      <c r="B479" s="27" t="s">
        <v>1484</v>
      </c>
      <c r="C479" s="27" t="s">
        <v>1485</v>
      </c>
      <c r="D479" s="27" t="s">
        <v>1486</v>
      </c>
      <c r="E479" s="28" t="s">
        <v>46</v>
      </c>
      <c r="F479" s="29" t="s">
        <v>46</v>
      </c>
      <c r="G479" s="30" t="s">
        <v>46</v>
      </c>
      <c r="H479" s="31"/>
      <c r="I479" s="31" t="s">
        <v>418</v>
      </c>
      <c r="J479" s="32" t="n">
        <v>1.0</v>
      </c>
      <c r="K479" s="33" t="n">
        <f>1971</f>
        <v>1971.0</v>
      </c>
      <c r="L479" s="34" t="s">
        <v>158</v>
      </c>
      <c r="M479" s="33" t="n">
        <f>1971</f>
        <v>1971.0</v>
      </c>
      <c r="N479" s="34" t="s">
        <v>158</v>
      </c>
      <c r="O479" s="33" t="n">
        <f>1909</f>
        <v>1909.0</v>
      </c>
      <c r="P479" s="34" t="s">
        <v>199</v>
      </c>
      <c r="Q479" s="33" t="n">
        <f>1910</f>
        <v>1910.0</v>
      </c>
      <c r="R479" s="34" t="s">
        <v>51</v>
      </c>
      <c r="S479" s="35" t="n">
        <f>1937.14</f>
        <v>1937.14</v>
      </c>
      <c r="T479" s="32" t="n">
        <f>520210</f>
        <v>520210.0</v>
      </c>
      <c r="U479" s="32" t="n">
        <f>517200</f>
        <v>517200.0</v>
      </c>
      <c r="V479" s="32" t="n">
        <f>1005508989</f>
        <v>1.005508989E9</v>
      </c>
      <c r="W479" s="32" t="n">
        <f>999686541</f>
        <v>9.99686541E8</v>
      </c>
      <c r="X479" s="36" t="n">
        <f>14</f>
        <v>14.0</v>
      </c>
    </row>
    <row r="480">
      <c r="A480" s="27" t="s">
        <v>42</v>
      </c>
      <c r="B480" s="27" t="s">
        <v>1487</v>
      </c>
      <c r="C480" s="27" t="s">
        <v>1488</v>
      </c>
      <c r="D480" s="27" t="s">
        <v>1489</v>
      </c>
      <c r="E480" s="28" t="s">
        <v>46</v>
      </c>
      <c r="F480" s="29" t="s">
        <v>46</v>
      </c>
      <c r="G480" s="30" t="s">
        <v>46</v>
      </c>
      <c r="H480" s="31"/>
      <c r="I480" s="31" t="s">
        <v>418</v>
      </c>
      <c r="J480" s="32" t="n">
        <v>1.0</v>
      </c>
      <c r="K480" s="33" t="n">
        <f>1894</f>
        <v>1894.0</v>
      </c>
      <c r="L480" s="34" t="s">
        <v>48</v>
      </c>
      <c r="M480" s="33" t="n">
        <f>1942</f>
        <v>1942.0</v>
      </c>
      <c r="N480" s="34" t="s">
        <v>203</v>
      </c>
      <c r="O480" s="33" t="n">
        <f>1835</f>
        <v>1835.0</v>
      </c>
      <c r="P480" s="34" t="s">
        <v>158</v>
      </c>
      <c r="Q480" s="33" t="n">
        <f>1875</f>
        <v>1875.0</v>
      </c>
      <c r="R480" s="34" t="s">
        <v>51</v>
      </c>
      <c r="S480" s="35" t="n">
        <f>1888.27</f>
        <v>1888.27</v>
      </c>
      <c r="T480" s="32" t="n">
        <f>170114</f>
        <v>170114.0</v>
      </c>
      <c r="U480" s="32" t="str">
        <f>"－"</f>
        <v>－</v>
      </c>
      <c r="V480" s="32" t="n">
        <f>321275070</f>
        <v>3.2127507E8</v>
      </c>
      <c r="W480" s="32" t="str">
        <f>"－"</f>
        <v>－</v>
      </c>
      <c r="X480" s="36" t="n">
        <f>22</f>
        <v>22.0</v>
      </c>
    </row>
    <row r="481">
      <c r="A481" s="27" t="s">
        <v>42</v>
      </c>
      <c r="B481" s="27" t="s">
        <v>1490</v>
      </c>
      <c r="C481" s="27" t="s">
        <v>1491</v>
      </c>
      <c r="D481" s="27" t="s">
        <v>1492</v>
      </c>
      <c r="E481" s="28" t="s">
        <v>46</v>
      </c>
      <c r="F481" s="29" t="s">
        <v>46</v>
      </c>
      <c r="G481" s="30" t="s">
        <v>46</v>
      </c>
      <c r="H481" s="31"/>
      <c r="I481" s="31" t="s">
        <v>418</v>
      </c>
      <c r="J481" s="32" t="n">
        <v>1.0</v>
      </c>
      <c r="K481" s="33" t="n">
        <f>2162</f>
        <v>2162.0</v>
      </c>
      <c r="L481" s="34" t="s">
        <v>48</v>
      </c>
      <c r="M481" s="33" t="n">
        <f>2186</f>
        <v>2186.0</v>
      </c>
      <c r="N481" s="34" t="s">
        <v>48</v>
      </c>
      <c r="O481" s="33" t="n">
        <f>1667</f>
        <v>1667.0</v>
      </c>
      <c r="P481" s="34" t="s">
        <v>70</v>
      </c>
      <c r="Q481" s="33" t="n">
        <f>1732</f>
        <v>1732.0</v>
      </c>
      <c r="R481" s="34" t="s">
        <v>51</v>
      </c>
      <c r="S481" s="35" t="n">
        <f>1907.55</f>
        <v>1907.55</v>
      </c>
      <c r="T481" s="32" t="n">
        <f>3092197</f>
        <v>3092197.0</v>
      </c>
      <c r="U481" s="32" t="n">
        <f>38</f>
        <v>38.0</v>
      </c>
      <c r="V481" s="32" t="n">
        <f>5841717344</f>
        <v>5.841717344E9</v>
      </c>
      <c r="W481" s="32" t="n">
        <f>76141</f>
        <v>76141.0</v>
      </c>
      <c r="X481" s="36" t="n">
        <f>22</f>
        <v>22.0</v>
      </c>
    </row>
    <row r="482">
      <c r="A482" s="27" t="s">
        <v>42</v>
      </c>
      <c r="B482" s="27" t="s">
        <v>1493</v>
      </c>
      <c r="C482" s="27" t="s">
        <v>1494</v>
      </c>
      <c r="D482" s="27" t="s">
        <v>1495</v>
      </c>
      <c r="E482" s="28" t="s">
        <v>46</v>
      </c>
      <c r="F482" s="29" t="s">
        <v>46</v>
      </c>
      <c r="G482" s="30" t="s">
        <v>46</v>
      </c>
      <c r="H482" s="31"/>
      <c r="I482" s="31" t="s">
        <v>418</v>
      </c>
      <c r="J482" s="32" t="n">
        <v>1.0</v>
      </c>
      <c r="K482" s="33" t="n">
        <f>2089</f>
        <v>2089.0</v>
      </c>
      <c r="L482" s="34" t="s">
        <v>48</v>
      </c>
      <c r="M482" s="33" t="n">
        <f>2099</f>
        <v>2099.0</v>
      </c>
      <c r="N482" s="34" t="s">
        <v>48</v>
      </c>
      <c r="O482" s="33" t="n">
        <f>1797</f>
        <v>1797.0</v>
      </c>
      <c r="P482" s="34" t="s">
        <v>70</v>
      </c>
      <c r="Q482" s="33" t="n">
        <f>1895</f>
        <v>1895.0</v>
      </c>
      <c r="R482" s="34" t="s">
        <v>51</v>
      </c>
      <c r="S482" s="35" t="n">
        <f>1903.68</f>
        <v>1903.68</v>
      </c>
      <c r="T482" s="32" t="n">
        <f>114591</f>
        <v>114591.0</v>
      </c>
      <c r="U482" s="32" t="str">
        <f>"－"</f>
        <v>－</v>
      </c>
      <c r="V482" s="32" t="n">
        <f>216269884</f>
        <v>2.16269884E8</v>
      </c>
      <c r="W482" s="32" t="str">
        <f>"－"</f>
        <v>－</v>
      </c>
      <c r="X482" s="36" t="n">
        <f>22</f>
        <v>22.0</v>
      </c>
    </row>
    <row r="483">
      <c r="A483" s="27" t="s">
        <v>42</v>
      </c>
      <c r="B483" s="27" t="s">
        <v>1496</v>
      </c>
      <c r="C483" s="27" t="s">
        <v>1497</v>
      </c>
      <c r="D483" s="27" t="s">
        <v>1498</v>
      </c>
      <c r="E483" s="28" t="s">
        <v>46</v>
      </c>
      <c r="F483" s="29" t="s">
        <v>46</v>
      </c>
      <c r="G483" s="30" t="s">
        <v>46</v>
      </c>
      <c r="H483" s="31"/>
      <c r="I483" s="31" t="s">
        <v>418</v>
      </c>
      <c r="J483" s="32" t="n">
        <v>1.0</v>
      </c>
      <c r="K483" s="33" t="n">
        <f>1851</f>
        <v>1851.0</v>
      </c>
      <c r="L483" s="34" t="s">
        <v>48</v>
      </c>
      <c r="M483" s="33" t="n">
        <f>1877</f>
        <v>1877.0</v>
      </c>
      <c r="N483" s="34" t="s">
        <v>72</v>
      </c>
      <c r="O483" s="33" t="n">
        <f>1767</f>
        <v>1767.0</v>
      </c>
      <c r="P483" s="34" t="s">
        <v>62</v>
      </c>
      <c r="Q483" s="33" t="n">
        <f>1877</f>
        <v>1877.0</v>
      </c>
      <c r="R483" s="34" t="s">
        <v>51</v>
      </c>
      <c r="S483" s="35" t="n">
        <f>1816.27</f>
        <v>1816.27</v>
      </c>
      <c r="T483" s="32" t="n">
        <f>1703</f>
        <v>1703.0</v>
      </c>
      <c r="U483" s="32" t="str">
        <f>"－"</f>
        <v>－</v>
      </c>
      <c r="V483" s="32" t="n">
        <f>3082472</f>
        <v>3082472.0</v>
      </c>
      <c r="W483" s="32" t="str">
        <f>"－"</f>
        <v>－</v>
      </c>
      <c r="X483" s="36" t="n">
        <f>22</f>
        <v>22.0</v>
      </c>
    </row>
    <row r="484">
      <c r="A484" s="27" t="s">
        <v>42</v>
      </c>
      <c r="B484" s="27" t="s">
        <v>1499</v>
      </c>
      <c r="C484" s="27" t="s">
        <v>1500</v>
      </c>
      <c r="D484" s="27" t="s">
        <v>1501</v>
      </c>
      <c r="E484" s="28" t="s">
        <v>46</v>
      </c>
      <c r="F484" s="29" t="s">
        <v>46</v>
      </c>
      <c r="G484" s="30" t="s">
        <v>46</v>
      </c>
      <c r="H484" s="31"/>
      <c r="I484" s="31" t="s">
        <v>418</v>
      </c>
      <c r="J484" s="32" t="n">
        <v>1.0</v>
      </c>
      <c r="K484" s="33" t="n">
        <f>2116</f>
        <v>2116.0</v>
      </c>
      <c r="L484" s="34" t="s">
        <v>48</v>
      </c>
      <c r="M484" s="33" t="n">
        <f>2231</f>
        <v>2231.0</v>
      </c>
      <c r="N484" s="34" t="s">
        <v>210</v>
      </c>
      <c r="O484" s="33" t="n">
        <f>2025</f>
        <v>2025.0</v>
      </c>
      <c r="P484" s="34" t="s">
        <v>50</v>
      </c>
      <c r="Q484" s="33" t="n">
        <f>2069</f>
        <v>2069.0</v>
      </c>
      <c r="R484" s="34" t="s">
        <v>51</v>
      </c>
      <c r="S484" s="35" t="n">
        <f>2092.59</f>
        <v>2092.59</v>
      </c>
      <c r="T484" s="32" t="n">
        <f>62175</f>
        <v>62175.0</v>
      </c>
      <c r="U484" s="32" t="n">
        <f>10000</f>
        <v>10000.0</v>
      </c>
      <c r="V484" s="32" t="n">
        <f>129705033</f>
        <v>1.29705033E8</v>
      </c>
      <c r="W484" s="32" t="n">
        <f>20650000</f>
        <v>2.065E7</v>
      </c>
      <c r="X484" s="36" t="n">
        <f>22</f>
        <v>22.0</v>
      </c>
    </row>
    <row r="485">
      <c r="A485" s="27" t="s">
        <v>42</v>
      </c>
      <c r="B485" s="27" t="s">
        <v>1502</v>
      </c>
      <c r="C485" s="27" t="s">
        <v>1503</v>
      </c>
      <c r="D485" s="27" t="s">
        <v>1504</v>
      </c>
      <c r="E485" s="28" t="s">
        <v>46</v>
      </c>
      <c r="F485" s="29" t="s">
        <v>46</v>
      </c>
      <c r="G485" s="30" t="s">
        <v>46</v>
      </c>
      <c r="H485" s="31"/>
      <c r="I485" s="31" t="s">
        <v>418</v>
      </c>
      <c r="J485" s="32" t="n">
        <v>1.0</v>
      </c>
      <c r="K485" s="33" t="n">
        <f>2078</f>
        <v>2078.0</v>
      </c>
      <c r="L485" s="34" t="s">
        <v>48</v>
      </c>
      <c r="M485" s="33" t="n">
        <f>2180</f>
        <v>2180.0</v>
      </c>
      <c r="N485" s="34" t="s">
        <v>214</v>
      </c>
      <c r="O485" s="33" t="n">
        <f>2025</f>
        <v>2025.0</v>
      </c>
      <c r="P485" s="34" t="s">
        <v>210</v>
      </c>
      <c r="Q485" s="33" t="n">
        <f>2058</f>
        <v>2058.0</v>
      </c>
      <c r="R485" s="34" t="s">
        <v>51</v>
      </c>
      <c r="S485" s="35" t="n">
        <f>2077</f>
        <v>2077.0</v>
      </c>
      <c r="T485" s="32" t="n">
        <f>11088</f>
        <v>11088.0</v>
      </c>
      <c r="U485" s="32" t="str">
        <f>"－"</f>
        <v>－</v>
      </c>
      <c r="V485" s="32" t="n">
        <f>23073317</f>
        <v>2.3073317E7</v>
      </c>
      <c r="W485" s="32" t="str">
        <f>"－"</f>
        <v>－</v>
      </c>
      <c r="X485" s="36" t="n">
        <f>22</f>
        <v>22.0</v>
      </c>
    </row>
    <row r="486">
      <c r="A486" s="27" t="s">
        <v>42</v>
      </c>
      <c r="B486" s="27" t="s">
        <v>1505</v>
      </c>
      <c r="C486" s="27" t="s">
        <v>1506</v>
      </c>
      <c r="D486" s="27" t="s">
        <v>1507</v>
      </c>
      <c r="E486" s="28" t="s">
        <v>46</v>
      </c>
      <c r="F486" s="29" t="s">
        <v>46</v>
      </c>
      <c r="G486" s="30" t="s">
        <v>46</v>
      </c>
      <c r="H486" s="31"/>
      <c r="I486" s="31" t="s">
        <v>418</v>
      </c>
      <c r="J486" s="32" t="n">
        <v>1.0</v>
      </c>
      <c r="K486" s="33" t="n">
        <f>2246</f>
        <v>2246.0</v>
      </c>
      <c r="L486" s="34" t="s">
        <v>48</v>
      </c>
      <c r="M486" s="33" t="n">
        <f>2330</f>
        <v>2330.0</v>
      </c>
      <c r="N486" s="34" t="s">
        <v>51</v>
      </c>
      <c r="O486" s="33" t="n">
        <f>2224</f>
        <v>2224.0</v>
      </c>
      <c r="P486" s="34" t="s">
        <v>71</v>
      </c>
      <c r="Q486" s="33" t="n">
        <f>2330</f>
        <v>2330.0</v>
      </c>
      <c r="R486" s="34" t="s">
        <v>51</v>
      </c>
      <c r="S486" s="35" t="n">
        <f>2274.89</f>
        <v>2274.89</v>
      </c>
      <c r="T486" s="32" t="n">
        <f>545</f>
        <v>545.0</v>
      </c>
      <c r="U486" s="32" t="str">
        <f>"－"</f>
        <v>－</v>
      </c>
      <c r="V486" s="32" t="n">
        <f>1240198</f>
        <v>1240198.0</v>
      </c>
      <c r="W486" s="32" t="str">
        <f>"－"</f>
        <v>－</v>
      </c>
      <c r="X486" s="36" t="n">
        <f>19</f>
        <v>19.0</v>
      </c>
    </row>
    <row r="487">
      <c r="A487" s="27" t="s">
        <v>42</v>
      </c>
      <c r="B487" s="27" t="s">
        <v>1508</v>
      </c>
      <c r="C487" s="27" t="s">
        <v>1509</v>
      </c>
      <c r="D487" s="27" t="s">
        <v>1510</v>
      </c>
      <c r="E487" s="28" t="s">
        <v>46</v>
      </c>
      <c r="F487" s="29" t="s">
        <v>46</v>
      </c>
      <c r="G487" s="30" t="s">
        <v>46</v>
      </c>
      <c r="H487" s="31"/>
      <c r="I487" s="31" t="s">
        <v>418</v>
      </c>
      <c r="J487" s="32" t="n">
        <v>1.0</v>
      </c>
      <c r="K487" s="33" t="n">
        <f>2554</f>
        <v>2554.0</v>
      </c>
      <c r="L487" s="34" t="s">
        <v>48</v>
      </c>
      <c r="M487" s="33" t="n">
        <f>2915</f>
        <v>2915.0</v>
      </c>
      <c r="N487" s="34" t="s">
        <v>71</v>
      </c>
      <c r="O487" s="33" t="n">
        <f>2358</f>
        <v>2358.0</v>
      </c>
      <c r="P487" s="34" t="s">
        <v>62</v>
      </c>
      <c r="Q487" s="33" t="n">
        <f>2535</f>
        <v>2535.0</v>
      </c>
      <c r="R487" s="34" t="s">
        <v>51</v>
      </c>
      <c r="S487" s="35" t="n">
        <f>2482.68</f>
        <v>2482.68</v>
      </c>
      <c r="T487" s="32" t="n">
        <f>29523</f>
        <v>29523.0</v>
      </c>
      <c r="U487" s="32" t="str">
        <f>"－"</f>
        <v>－</v>
      </c>
      <c r="V487" s="32" t="n">
        <f>74391703</f>
        <v>7.4391703E7</v>
      </c>
      <c r="W487" s="32" t="str">
        <f>"－"</f>
        <v>－</v>
      </c>
      <c r="X487" s="36" t="n">
        <f>22</f>
        <v>22.0</v>
      </c>
    </row>
    <row r="488">
      <c r="A488" s="27" t="s">
        <v>42</v>
      </c>
      <c r="B488" s="27" t="s">
        <v>1511</v>
      </c>
      <c r="C488" s="27" t="s">
        <v>1512</v>
      </c>
      <c r="D488" s="27" t="s">
        <v>1513</v>
      </c>
      <c r="E488" s="28" t="s">
        <v>46</v>
      </c>
      <c r="F488" s="29" t="s">
        <v>46</v>
      </c>
      <c r="G488" s="30" t="s">
        <v>46</v>
      </c>
      <c r="H488" s="31"/>
      <c r="I488" s="31" t="s">
        <v>418</v>
      </c>
      <c r="J488" s="32" t="n">
        <v>1.0</v>
      </c>
      <c r="K488" s="33" t="n">
        <f>2150</f>
        <v>2150.0</v>
      </c>
      <c r="L488" s="34" t="s">
        <v>48</v>
      </c>
      <c r="M488" s="33" t="n">
        <f>2179</f>
        <v>2179.0</v>
      </c>
      <c r="N488" s="34" t="s">
        <v>158</v>
      </c>
      <c r="O488" s="33" t="n">
        <f>2043</f>
        <v>2043.0</v>
      </c>
      <c r="P488" s="34" t="s">
        <v>203</v>
      </c>
      <c r="Q488" s="33" t="n">
        <f>2062</f>
        <v>2062.0</v>
      </c>
      <c r="R488" s="34" t="s">
        <v>51</v>
      </c>
      <c r="S488" s="35" t="n">
        <f>2107.86</f>
        <v>2107.86</v>
      </c>
      <c r="T488" s="32" t="n">
        <f>132</f>
        <v>132.0</v>
      </c>
      <c r="U488" s="32" t="str">
        <f>"－"</f>
        <v>－</v>
      </c>
      <c r="V488" s="32" t="n">
        <f>276720</f>
        <v>276720.0</v>
      </c>
      <c r="W488" s="32" t="str">
        <f>"－"</f>
        <v>－</v>
      </c>
      <c r="X488" s="36" t="n">
        <f>14</f>
        <v>14.0</v>
      </c>
    </row>
    <row r="489">
      <c r="A489" s="27" t="s">
        <v>42</v>
      </c>
      <c r="B489" s="27" t="s">
        <v>1514</v>
      </c>
      <c r="C489" s="27" t="s">
        <v>1515</v>
      </c>
      <c r="D489" s="27" t="s">
        <v>1516</v>
      </c>
      <c r="E489" s="28" t="s">
        <v>46</v>
      </c>
      <c r="F489" s="29" t="s">
        <v>46</v>
      </c>
      <c r="G489" s="30" t="s">
        <v>46</v>
      </c>
      <c r="H489" s="31"/>
      <c r="I489" s="31" t="s">
        <v>418</v>
      </c>
      <c r="J489" s="32" t="n">
        <v>1.0</v>
      </c>
      <c r="K489" s="33" t="n">
        <f>2230</f>
        <v>2230.0</v>
      </c>
      <c r="L489" s="34" t="s">
        <v>48</v>
      </c>
      <c r="M489" s="33" t="n">
        <f>2322</f>
        <v>2322.0</v>
      </c>
      <c r="N489" s="34" t="s">
        <v>210</v>
      </c>
      <c r="O489" s="33" t="n">
        <f>2140</f>
        <v>2140.0</v>
      </c>
      <c r="P489" s="34" t="s">
        <v>195</v>
      </c>
      <c r="Q489" s="33" t="n">
        <f>2262</f>
        <v>2262.0</v>
      </c>
      <c r="R489" s="34" t="s">
        <v>72</v>
      </c>
      <c r="S489" s="35" t="n">
        <f>2243.59</f>
        <v>2243.59</v>
      </c>
      <c r="T489" s="32" t="n">
        <f>905</f>
        <v>905.0</v>
      </c>
      <c r="U489" s="32" t="str">
        <f>"－"</f>
        <v>－</v>
      </c>
      <c r="V489" s="32" t="n">
        <f>2039126</f>
        <v>2039126.0</v>
      </c>
      <c r="W489" s="32" t="str">
        <f>"－"</f>
        <v>－</v>
      </c>
      <c r="X489" s="36" t="n">
        <f>17</f>
        <v>17.0</v>
      </c>
    </row>
    <row r="490">
      <c r="A490" s="27" t="s">
        <v>42</v>
      </c>
      <c r="B490" s="27" t="s">
        <v>1517</v>
      </c>
      <c r="C490" s="27" t="s">
        <v>1518</v>
      </c>
      <c r="D490" s="27" t="s">
        <v>1519</v>
      </c>
      <c r="E490" s="28" t="s">
        <v>46</v>
      </c>
      <c r="F490" s="29" t="s">
        <v>46</v>
      </c>
      <c r="G490" s="30" t="s">
        <v>46</v>
      </c>
      <c r="H490" s="31"/>
      <c r="I490" s="31" t="s">
        <v>418</v>
      </c>
      <c r="J490" s="32" t="n">
        <v>1.0</v>
      </c>
      <c r="K490" s="33" t="n">
        <f>1120</f>
        <v>1120.0</v>
      </c>
      <c r="L490" s="34" t="s">
        <v>48</v>
      </c>
      <c r="M490" s="33" t="n">
        <f>1150</f>
        <v>1150.0</v>
      </c>
      <c r="N490" s="34" t="s">
        <v>195</v>
      </c>
      <c r="O490" s="33" t="n">
        <f>1095</f>
        <v>1095.0</v>
      </c>
      <c r="P490" s="34" t="s">
        <v>50</v>
      </c>
      <c r="Q490" s="33" t="n">
        <f>1128</f>
        <v>1128.0</v>
      </c>
      <c r="R490" s="34" t="s">
        <v>51</v>
      </c>
      <c r="S490" s="35" t="n">
        <f>1126.68</f>
        <v>1126.68</v>
      </c>
      <c r="T490" s="32" t="n">
        <f>5476</f>
        <v>5476.0</v>
      </c>
      <c r="U490" s="32" t="str">
        <f>"－"</f>
        <v>－</v>
      </c>
      <c r="V490" s="32" t="n">
        <f>6201975</f>
        <v>6201975.0</v>
      </c>
      <c r="W490" s="32" t="str">
        <f>"－"</f>
        <v>－</v>
      </c>
      <c r="X490" s="36" t="n">
        <f>22</f>
        <v>22.0</v>
      </c>
    </row>
    <row r="491">
      <c r="A491" s="27" t="s">
        <v>42</v>
      </c>
      <c r="B491" s="27" t="s">
        <v>1520</v>
      </c>
      <c r="C491" s="27" t="s">
        <v>1521</v>
      </c>
      <c r="D491" s="27" t="s">
        <v>1522</v>
      </c>
      <c r="E491" s="28" t="s">
        <v>46</v>
      </c>
      <c r="F491" s="29" t="s">
        <v>46</v>
      </c>
      <c r="G491" s="30" t="s">
        <v>46</v>
      </c>
      <c r="H491" s="31"/>
      <c r="I491" s="31" t="s">
        <v>418</v>
      </c>
      <c r="J491" s="32" t="n">
        <v>1.0</v>
      </c>
      <c r="K491" s="33" t="n">
        <f>4938</f>
        <v>4938.0</v>
      </c>
      <c r="L491" s="34" t="s">
        <v>48</v>
      </c>
      <c r="M491" s="33" t="n">
        <f>5145</f>
        <v>5145.0</v>
      </c>
      <c r="N491" s="34" t="s">
        <v>203</v>
      </c>
      <c r="O491" s="33" t="n">
        <f>4848</f>
        <v>4848.0</v>
      </c>
      <c r="P491" s="34" t="s">
        <v>70</v>
      </c>
      <c r="Q491" s="33" t="n">
        <f>4848</f>
        <v>4848.0</v>
      </c>
      <c r="R491" s="34" t="s">
        <v>70</v>
      </c>
      <c r="S491" s="35" t="n">
        <f>4964.4</f>
        <v>4964.4</v>
      </c>
      <c r="T491" s="32" t="n">
        <f>1219</f>
        <v>1219.0</v>
      </c>
      <c r="U491" s="32" t="str">
        <f>"－"</f>
        <v>－</v>
      </c>
      <c r="V491" s="32" t="n">
        <f>6127459</f>
        <v>6127459.0</v>
      </c>
      <c r="W491" s="32" t="str">
        <f>"－"</f>
        <v>－</v>
      </c>
      <c r="X491" s="36" t="n">
        <f>15</f>
        <v>15.0</v>
      </c>
    </row>
    <row r="492">
      <c r="A492" s="27" t="s">
        <v>42</v>
      </c>
      <c r="B492" s="27" t="s">
        <v>1523</v>
      </c>
      <c r="C492" s="27" t="s">
        <v>1524</v>
      </c>
      <c r="D492" s="27" t="s">
        <v>1525</v>
      </c>
      <c r="E492" s="28" t="s">
        <v>46</v>
      </c>
      <c r="F492" s="29" t="s">
        <v>46</v>
      </c>
      <c r="G492" s="30" t="s">
        <v>46</v>
      </c>
      <c r="H492" s="31"/>
      <c r="I492" s="31" t="s">
        <v>418</v>
      </c>
      <c r="J492" s="32" t="n">
        <v>1.0</v>
      </c>
      <c r="K492" s="33" t="n">
        <f>5021</f>
        <v>5021.0</v>
      </c>
      <c r="L492" s="34" t="s">
        <v>48</v>
      </c>
      <c r="M492" s="33" t="n">
        <f>5107</f>
        <v>5107.0</v>
      </c>
      <c r="N492" s="34" t="s">
        <v>51</v>
      </c>
      <c r="O492" s="33" t="n">
        <f>5004</f>
        <v>5004.0</v>
      </c>
      <c r="P492" s="34" t="s">
        <v>62</v>
      </c>
      <c r="Q492" s="33" t="n">
        <f>5107</f>
        <v>5107.0</v>
      </c>
      <c r="R492" s="34" t="s">
        <v>51</v>
      </c>
      <c r="S492" s="35" t="n">
        <f>5049.88</f>
        <v>5049.88</v>
      </c>
      <c r="T492" s="32" t="n">
        <f>9246</f>
        <v>9246.0</v>
      </c>
      <c r="U492" s="32" t="str">
        <f>"－"</f>
        <v>－</v>
      </c>
      <c r="V492" s="32" t="n">
        <f>46757294</f>
        <v>4.6757294E7</v>
      </c>
      <c r="W492" s="32" t="str">
        <f>"－"</f>
        <v>－</v>
      </c>
      <c r="X492" s="36" t="n">
        <f>17</f>
        <v>17.0</v>
      </c>
    </row>
    <row r="493">
      <c r="A493" s="27" t="s">
        <v>42</v>
      </c>
      <c r="B493" s="27" t="s">
        <v>1526</v>
      </c>
      <c r="C493" s="27" t="s">
        <v>1527</v>
      </c>
      <c r="D493" s="27" t="s">
        <v>1528</v>
      </c>
      <c r="E493" s="28" t="s">
        <v>46</v>
      </c>
      <c r="F493" s="29" t="s">
        <v>46</v>
      </c>
      <c r="G493" s="30" t="s">
        <v>46</v>
      </c>
      <c r="H493" s="31"/>
      <c r="I493" s="31" t="s">
        <v>418</v>
      </c>
      <c r="J493" s="32" t="n">
        <v>1.0</v>
      </c>
      <c r="K493" s="33" t="n">
        <f>1739</f>
        <v>1739.0</v>
      </c>
      <c r="L493" s="34" t="s">
        <v>48</v>
      </c>
      <c r="M493" s="33" t="n">
        <f>2010</f>
        <v>2010.0</v>
      </c>
      <c r="N493" s="34" t="s">
        <v>61</v>
      </c>
      <c r="O493" s="33" t="n">
        <f>1717</f>
        <v>1717.0</v>
      </c>
      <c r="P493" s="34" t="s">
        <v>158</v>
      </c>
      <c r="Q493" s="33" t="n">
        <f>1884</f>
        <v>1884.0</v>
      </c>
      <c r="R493" s="34" t="s">
        <v>51</v>
      </c>
      <c r="S493" s="35" t="n">
        <f>1870.55</f>
        <v>1870.55</v>
      </c>
      <c r="T493" s="32" t="n">
        <f>3526045</f>
        <v>3526045.0</v>
      </c>
      <c r="U493" s="32" t="n">
        <f>2275600</f>
        <v>2275600.0</v>
      </c>
      <c r="V493" s="32" t="n">
        <f>6618952377</f>
        <v>6.618952377E9</v>
      </c>
      <c r="W493" s="32" t="n">
        <f>4275367800</f>
        <v>4.2753678E9</v>
      </c>
      <c r="X493" s="36" t="n">
        <f>22</f>
        <v>22.0</v>
      </c>
    </row>
    <row r="494">
      <c r="A494" s="27" t="s">
        <v>42</v>
      </c>
      <c r="B494" s="27" t="s">
        <v>1529</v>
      </c>
      <c r="C494" s="27" t="s">
        <v>1530</v>
      </c>
      <c r="D494" s="27" t="s">
        <v>1531</v>
      </c>
      <c r="E494" s="28" t="s">
        <v>46</v>
      </c>
      <c r="F494" s="29" t="s">
        <v>46</v>
      </c>
      <c r="G494" s="30" t="s">
        <v>46</v>
      </c>
      <c r="H494" s="31"/>
      <c r="I494" s="31" t="s">
        <v>418</v>
      </c>
      <c r="J494" s="32" t="n">
        <v>10.0</v>
      </c>
      <c r="K494" s="33" t="n">
        <f>1045.5</f>
        <v>1045.5</v>
      </c>
      <c r="L494" s="34" t="s">
        <v>48</v>
      </c>
      <c r="M494" s="33" t="n">
        <f>1395</f>
        <v>1395.0</v>
      </c>
      <c r="N494" s="34" t="s">
        <v>49</v>
      </c>
      <c r="O494" s="33" t="n">
        <f>1011.5</f>
        <v>1011.5</v>
      </c>
      <c r="P494" s="34" t="s">
        <v>214</v>
      </c>
      <c r="Q494" s="33" t="n">
        <f>1075.5</f>
        <v>1075.5</v>
      </c>
      <c r="R494" s="34" t="s">
        <v>51</v>
      </c>
      <c r="S494" s="35" t="n">
        <f>1051.14</f>
        <v>1051.14</v>
      </c>
      <c r="T494" s="32" t="n">
        <f>24910</f>
        <v>24910.0</v>
      </c>
      <c r="U494" s="32" t="str">
        <f>"－"</f>
        <v>－</v>
      </c>
      <c r="V494" s="32" t="n">
        <f>26862470</f>
        <v>2.686247E7</v>
      </c>
      <c r="W494" s="32" t="str">
        <f>"－"</f>
        <v>－</v>
      </c>
      <c r="X494" s="36" t="n">
        <f>22</f>
        <v>22.0</v>
      </c>
    </row>
    <row r="495">
      <c r="A495" s="27" t="s">
        <v>42</v>
      </c>
      <c r="B495" s="27" t="s">
        <v>1532</v>
      </c>
      <c r="C495" s="27" t="s">
        <v>1533</v>
      </c>
      <c r="D495" s="27" t="s">
        <v>1534</v>
      </c>
      <c r="E495" s="28" t="s">
        <v>46</v>
      </c>
      <c r="F495" s="29" t="s">
        <v>46</v>
      </c>
      <c r="G495" s="30" t="s">
        <v>46</v>
      </c>
      <c r="H495" s="31"/>
      <c r="I495" s="31" t="s">
        <v>418</v>
      </c>
      <c r="J495" s="32" t="n">
        <v>1.0</v>
      </c>
      <c r="K495" s="33" t="n">
        <f>2649</f>
        <v>2649.0</v>
      </c>
      <c r="L495" s="34" t="s">
        <v>48</v>
      </c>
      <c r="M495" s="33" t="n">
        <f>2854</f>
        <v>2854.0</v>
      </c>
      <c r="N495" s="34" t="s">
        <v>61</v>
      </c>
      <c r="O495" s="33" t="n">
        <f>2426</f>
        <v>2426.0</v>
      </c>
      <c r="P495" s="34" t="s">
        <v>50</v>
      </c>
      <c r="Q495" s="33" t="n">
        <f>2685</f>
        <v>2685.0</v>
      </c>
      <c r="R495" s="34" t="s">
        <v>51</v>
      </c>
      <c r="S495" s="35" t="n">
        <f>2669</f>
        <v>2669.0</v>
      </c>
      <c r="T495" s="32" t="n">
        <f>256540</f>
        <v>256540.0</v>
      </c>
      <c r="U495" s="32" t="str">
        <f>"－"</f>
        <v>－</v>
      </c>
      <c r="V495" s="32" t="n">
        <f>684278084</f>
        <v>6.84278084E8</v>
      </c>
      <c r="W495" s="32" t="str">
        <f>"－"</f>
        <v>－</v>
      </c>
      <c r="X495" s="36" t="n">
        <f>22</f>
        <v>22.0</v>
      </c>
    </row>
    <row r="496">
      <c r="A496" s="27" t="s">
        <v>42</v>
      </c>
      <c r="B496" s="27" t="s">
        <v>1535</v>
      </c>
      <c r="C496" s="27" t="s">
        <v>1536</v>
      </c>
      <c r="D496" s="27" t="s">
        <v>1537</v>
      </c>
      <c r="E496" s="28" t="s">
        <v>46</v>
      </c>
      <c r="F496" s="29" t="s">
        <v>46</v>
      </c>
      <c r="G496" s="30" t="s">
        <v>46</v>
      </c>
      <c r="H496" s="31"/>
      <c r="I496" s="31" t="s">
        <v>418</v>
      </c>
      <c r="J496" s="32" t="n">
        <v>1.0</v>
      </c>
      <c r="K496" s="33" t="n">
        <f>1125</f>
        <v>1125.0</v>
      </c>
      <c r="L496" s="34" t="s">
        <v>48</v>
      </c>
      <c r="M496" s="33" t="n">
        <f>1148</f>
        <v>1148.0</v>
      </c>
      <c r="N496" s="34" t="s">
        <v>85</v>
      </c>
      <c r="O496" s="33" t="n">
        <f>1056</f>
        <v>1056.0</v>
      </c>
      <c r="P496" s="34" t="s">
        <v>50</v>
      </c>
      <c r="Q496" s="33" t="n">
        <f>1122</f>
        <v>1122.0</v>
      </c>
      <c r="R496" s="34" t="s">
        <v>51</v>
      </c>
      <c r="S496" s="35" t="n">
        <f>1113.32</f>
        <v>1113.32</v>
      </c>
      <c r="T496" s="32" t="n">
        <f>22704505</f>
        <v>2.2704505E7</v>
      </c>
      <c r="U496" s="32" t="n">
        <f>1475</f>
        <v>1475.0</v>
      </c>
      <c r="V496" s="32" t="n">
        <f>25135448066</f>
        <v>2.5135448066E10</v>
      </c>
      <c r="W496" s="32" t="n">
        <f>1644625</f>
        <v>1644625.0</v>
      </c>
      <c r="X496" s="36" t="n">
        <f>22</f>
        <v>22.0</v>
      </c>
    </row>
    <row r="497">
      <c r="A497" s="27" t="s">
        <v>42</v>
      </c>
      <c r="B497" s="27" t="s">
        <v>1538</v>
      </c>
      <c r="C497" s="27" t="s">
        <v>1539</v>
      </c>
      <c r="D497" s="27" t="s">
        <v>1540</v>
      </c>
      <c r="E497" s="28" t="s">
        <v>46</v>
      </c>
      <c r="F497" s="29" t="s">
        <v>46</v>
      </c>
      <c r="G497" s="30" t="s">
        <v>46</v>
      </c>
      <c r="H497" s="31"/>
      <c r="I497" s="31" t="s">
        <v>418</v>
      </c>
      <c r="J497" s="32" t="n">
        <v>1.0</v>
      </c>
      <c r="K497" s="33" t="n">
        <f>1068</f>
        <v>1068.0</v>
      </c>
      <c r="L497" s="34" t="s">
        <v>48</v>
      </c>
      <c r="M497" s="33" t="n">
        <f>1082</f>
        <v>1082.0</v>
      </c>
      <c r="N497" s="34" t="s">
        <v>85</v>
      </c>
      <c r="O497" s="33" t="n">
        <f>1030</f>
        <v>1030.0</v>
      </c>
      <c r="P497" s="34" t="s">
        <v>50</v>
      </c>
      <c r="Q497" s="33" t="n">
        <f>1072</f>
        <v>1072.0</v>
      </c>
      <c r="R497" s="34" t="s">
        <v>51</v>
      </c>
      <c r="S497" s="35" t="n">
        <f>1065.73</f>
        <v>1065.73</v>
      </c>
      <c r="T497" s="32" t="n">
        <f>17302</f>
        <v>17302.0</v>
      </c>
      <c r="U497" s="32" t="str">
        <f>"－"</f>
        <v>－</v>
      </c>
      <c r="V497" s="32" t="n">
        <f>18259376</f>
        <v>1.8259376E7</v>
      </c>
      <c r="W497" s="32" t="str">
        <f>"－"</f>
        <v>－</v>
      </c>
      <c r="X497" s="36" t="n">
        <f>22</f>
        <v>22.0</v>
      </c>
    </row>
    <row r="498">
      <c r="A498" s="27" t="s">
        <v>42</v>
      </c>
      <c r="B498" s="27" t="s">
        <v>1541</v>
      </c>
      <c r="C498" s="27" t="s">
        <v>1542</v>
      </c>
      <c r="D498" s="27" t="s">
        <v>1543</v>
      </c>
      <c r="E498" s="28" t="s">
        <v>46</v>
      </c>
      <c r="F498" s="29" t="s">
        <v>46</v>
      </c>
      <c r="G498" s="30" t="s">
        <v>46</v>
      </c>
      <c r="H498" s="31"/>
      <c r="I498" s="31" t="s">
        <v>418</v>
      </c>
      <c r="J498" s="32" t="n">
        <v>1.0</v>
      </c>
      <c r="K498" s="33" t="n">
        <f>2103</f>
        <v>2103.0</v>
      </c>
      <c r="L498" s="34" t="s">
        <v>48</v>
      </c>
      <c r="M498" s="33" t="n">
        <f>2147</f>
        <v>2147.0</v>
      </c>
      <c r="N498" s="34" t="s">
        <v>203</v>
      </c>
      <c r="O498" s="33" t="n">
        <f>2046</f>
        <v>2046.0</v>
      </c>
      <c r="P498" s="34" t="s">
        <v>50</v>
      </c>
      <c r="Q498" s="33" t="n">
        <f>2119</f>
        <v>2119.0</v>
      </c>
      <c r="R498" s="34" t="s">
        <v>51</v>
      </c>
      <c r="S498" s="35" t="n">
        <f>2097.14</f>
        <v>2097.14</v>
      </c>
      <c r="T498" s="32" t="n">
        <f>25822</f>
        <v>25822.0</v>
      </c>
      <c r="U498" s="32" t="str">
        <f>"－"</f>
        <v>－</v>
      </c>
      <c r="V498" s="32" t="n">
        <f>54432047</f>
        <v>5.4432047E7</v>
      </c>
      <c r="W498" s="32" t="str">
        <f>"－"</f>
        <v>－</v>
      </c>
      <c r="X498" s="36" t="n">
        <f>22</f>
        <v>22.0</v>
      </c>
    </row>
    <row r="499">
      <c r="A499" s="27" t="s">
        <v>42</v>
      </c>
      <c r="B499" s="27" t="s">
        <v>1544</v>
      </c>
      <c r="C499" s="27" t="s">
        <v>1545</v>
      </c>
      <c r="D499" s="27" t="s">
        <v>1546</v>
      </c>
      <c r="E499" s="28" t="s">
        <v>46</v>
      </c>
      <c r="F499" s="29" t="s">
        <v>46</v>
      </c>
      <c r="G499" s="30" t="s">
        <v>46</v>
      </c>
      <c r="H499" s="31"/>
      <c r="I499" s="31" t="s">
        <v>418</v>
      </c>
      <c r="J499" s="32" t="n">
        <v>10.0</v>
      </c>
      <c r="K499" s="33" t="n">
        <f>198.2</f>
        <v>198.2</v>
      </c>
      <c r="L499" s="34" t="s">
        <v>48</v>
      </c>
      <c r="M499" s="33" t="n">
        <f>201.2</f>
        <v>201.2</v>
      </c>
      <c r="N499" s="34" t="s">
        <v>158</v>
      </c>
      <c r="O499" s="33" t="n">
        <f>149.5</f>
        <v>149.5</v>
      </c>
      <c r="P499" s="34" t="s">
        <v>70</v>
      </c>
      <c r="Q499" s="33" t="n">
        <f>156.3</f>
        <v>156.3</v>
      </c>
      <c r="R499" s="34" t="s">
        <v>51</v>
      </c>
      <c r="S499" s="35" t="n">
        <f>176.52</f>
        <v>176.52</v>
      </c>
      <c r="T499" s="32" t="n">
        <f>4371330</f>
        <v>4371330.0</v>
      </c>
      <c r="U499" s="32" t="n">
        <f>90</f>
        <v>90.0</v>
      </c>
      <c r="V499" s="32" t="n">
        <f>739788328</f>
        <v>7.39788328E8</v>
      </c>
      <c r="W499" s="32" t="n">
        <f>17820</f>
        <v>17820.0</v>
      </c>
      <c r="X499" s="36" t="n">
        <f>22</f>
        <v>22.0</v>
      </c>
    </row>
    <row r="500">
      <c r="A500" s="27" t="s">
        <v>42</v>
      </c>
      <c r="B500" s="27" t="s">
        <v>1547</v>
      </c>
      <c r="C500" s="27" t="s">
        <v>1548</v>
      </c>
      <c r="D500" s="27" t="s">
        <v>1549</v>
      </c>
      <c r="E500" s="28" t="s">
        <v>46</v>
      </c>
      <c r="F500" s="29" t="s">
        <v>46</v>
      </c>
      <c r="G500" s="30" t="s">
        <v>46</v>
      </c>
      <c r="H500" s="31"/>
      <c r="I500" s="31" t="s">
        <v>418</v>
      </c>
      <c r="J500" s="32" t="n">
        <v>10.0</v>
      </c>
      <c r="K500" s="33" t="n">
        <f>195</f>
        <v>195.0</v>
      </c>
      <c r="L500" s="34" t="s">
        <v>48</v>
      </c>
      <c r="M500" s="33" t="n">
        <f>201.4</f>
        <v>201.4</v>
      </c>
      <c r="N500" s="34" t="s">
        <v>62</v>
      </c>
      <c r="O500" s="33" t="n">
        <f>158.8</f>
        <v>158.8</v>
      </c>
      <c r="P500" s="34" t="s">
        <v>123</v>
      </c>
      <c r="Q500" s="33" t="n">
        <f>161.2</f>
        <v>161.2</v>
      </c>
      <c r="R500" s="34" t="s">
        <v>51</v>
      </c>
      <c r="S500" s="35" t="n">
        <f>176.15</f>
        <v>176.15</v>
      </c>
      <c r="T500" s="32" t="n">
        <f>1867080</f>
        <v>1867080.0</v>
      </c>
      <c r="U500" s="32" t="str">
        <f>"－"</f>
        <v>－</v>
      </c>
      <c r="V500" s="32" t="n">
        <f>332768765</f>
        <v>3.32768765E8</v>
      </c>
      <c r="W500" s="32" t="str">
        <f>"－"</f>
        <v>－</v>
      </c>
      <c r="X500" s="36" t="n">
        <f>22</f>
        <v>22.0</v>
      </c>
    </row>
    <row r="501">
      <c r="A501" s="27" t="s">
        <v>42</v>
      </c>
      <c r="B501" s="27" t="s">
        <v>1550</v>
      </c>
      <c r="C501" s="27" t="s">
        <v>1551</v>
      </c>
      <c r="D501" s="27" t="s">
        <v>1552</v>
      </c>
      <c r="E501" s="28" t="s">
        <v>46</v>
      </c>
      <c r="F501" s="29" t="s">
        <v>46</v>
      </c>
      <c r="G501" s="30" t="s">
        <v>46</v>
      </c>
      <c r="H501" s="31"/>
      <c r="I501" s="31" t="s">
        <v>418</v>
      </c>
      <c r="J501" s="32" t="n">
        <v>10.0</v>
      </c>
      <c r="K501" s="33" t="n">
        <f>901</f>
        <v>901.0</v>
      </c>
      <c r="L501" s="34" t="s">
        <v>48</v>
      </c>
      <c r="M501" s="33" t="n">
        <f>901.4</f>
        <v>901.4</v>
      </c>
      <c r="N501" s="34" t="s">
        <v>70</v>
      </c>
      <c r="O501" s="33" t="n">
        <f>899.5</f>
        <v>899.5</v>
      </c>
      <c r="P501" s="34" t="s">
        <v>70</v>
      </c>
      <c r="Q501" s="33" t="n">
        <f>900.6</f>
        <v>900.6</v>
      </c>
      <c r="R501" s="34" t="s">
        <v>51</v>
      </c>
      <c r="S501" s="35" t="n">
        <f>900.33</f>
        <v>900.33</v>
      </c>
      <c r="T501" s="32" t="n">
        <f>93300</f>
        <v>93300.0</v>
      </c>
      <c r="U501" s="32" t="str">
        <f>"－"</f>
        <v>－</v>
      </c>
      <c r="V501" s="32" t="n">
        <f>84002520</f>
        <v>8.400252E7</v>
      </c>
      <c r="W501" s="32" t="str">
        <f>"－"</f>
        <v>－</v>
      </c>
      <c r="X501" s="36" t="n">
        <f>22</f>
        <v>22.0</v>
      </c>
    </row>
    <row r="502">
      <c r="A502" s="27" t="s">
        <v>42</v>
      </c>
      <c r="B502" s="27" t="s">
        <v>1553</v>
      </c>
      <c r="C502" s="27" t="s">
        <v>1554</v>
      </c>
      <c r="D502" s="27" t="s">
        <v>1555</v>
      </c>
      <c r="E502" s="28" t="s">
        <v>46</v>
      </c>
      <c r="F502" s="29" t="s">
        <v>46</v>
      </c>
      <c r="G502" s="30" t="s">
        <v>46</v>
      </c>
      <c r="H502" s="31"/>
      <c r="I502" s="31" t="s">
        <v>418</v>
      </c>
      <c r="J502" s="32" t="n">
        <v>10.0</v>
      </c>
      <c r="K502" s="33" t="n">
        <f>500.8</f>
        <v>500.8</v>
      </c>
      <c r="L502" s="34" t="s">
        <v>48</v>
      </c>
      <c r="M502" s="33" t="n">
        <f>511.2</f>
        <v>511.2</v>
      </c>
      <c r="N502" s="34" t="s">
        <v>66</v>
      </c>
      <c r="O502" s="33" t="n">
        <f>500.1</f>
        <v>500.1</v>
      </c>
      <c r="P502" s="34" t="s">
        <v>210</v>
      </c>
      <c r="Q502" s="33" t="n">
        <f>501.6</f>
        <v>501.6</v>
      </c>
      <c r="R502" s="34" t="s">
        <v>51</v>
      </c>
      <c r="S502" s="35" t="n">
        <f>500.94</f>
        <v>500.94</v>
      </c>
      <c r="T502" s="32" t="n">
        <f>4070</f>
        <v>4070.0</v>
      </c>
      <c r="U502" s="32" t="str">
        <f>"－"</f>
        <v>－</v>
      </c>
      <c r="V502" s="32" t="n">
        <f>2040447</f>
        <v>2040447.0</v>
      </c>
      <c r="W502" s="32" t="str">
        <f>"－"</f>
        <v>－</v>
      </c>
      <c r="X502" s="36" t="n">
        <f>17</f>
        <v>17.0</v>
      </c>
    </row>
    <row r="503">
      <c r="A503" s="27" t="s">
        <v>42</v>
      </c>
      <c r="B503" s="27" t="s">
        <v>1556</v>
      </c>
      <c r="C503" s="27" t="s">
        <v>1557</v>
      </c>
      <c r="D503" s="27" t="s">
        <v>1558</v>
      </c>
      <c r="E503" s="28" t="s">
        <v>46</v>
      </c>
      <c r="F503" s="29" t="s">
        <v>46</v>
      </c>
      <c r="G503" s="30" t="s">
        <v>46</v>
      </c>
      <c r="H503" s="31"/>
      <c r="I503" s="31" t="s">
        <v>418</v>
      </c>
      <c r="J503" s="32" t="n">
        <v>10.0</v>
      </c>
      <c r="K503" s="33" t="n">
        <f>501.4</f>
        <v>501.4</v>
      </c>
      <c r="L503" s="34" t="s">
        <v>48</v>
      </c>
      <c r="M503" s="33" t="n">
        <f>511</f>
        <v>511.0</v>
      </c>
      <c r="N503" s="34" t="s">
        <v>50</v>
      </c>
      <c r="O503" s="33" t="n">
        <f>501.4</f>
        <v>501.4</v>
      </c>
      <c r="P503" s="34" t="s">
        <v>48</v>
      </c>
      <c r="Q503" s="33" t="n">
        <f>503.4</f>
        <v>503.4</v>
      </c>
      <c r="R503" s="34" t="s">
        <v>51</v>
      </c>
      <c r="S503" s="35" t="n">
        <f>502.79</f>
        <v>502.79</v>
      </c>
      <c r="T503" s="32" t="n">
        <f>11770</f>
        <v>11770.0</v>
      </c>
      <c r="U503" s="32" t="str">
        <f>"－"</f>
        <v>－</v>
      </c>
      <c r="V503" s="32" t="n">
        <f>5922266</f>
        <v>5922266.0</v>
      </c>
      <c r="W503" s="32" t="str">
        <f>"－"</f>
        <v>－</v>
      </c>
      <c r="X503" s="36" t="n">
        <f>13</f>
        <v>13.0</v>
      </c>
    </row>
    <row r="504">
      <c r="A504" s="27" t="s">
        <v>42</v>
      </c>
      <c r="B504" s="27" t="s">
        <v>1559</v>
      </c>
      <c r="C504" s="27" t="s">
        <v>1560</v>
      </c>
      <c r="D504" s="27" t="s">
        <v>1561</v>
      </c>
      <c r="E504" s="28" t="s">
        <v>46</v>
      </c>
      <c r="F504" s="29" t="s">
        <v>46</v>
      </c>
      <c r="G504" s="30" t="s">
        <v>46</v>
      </c>
      <c r="H504" s="31"/>
      <c r="I504" s="31" t="s">
        <v>418</v>
      </c>
      <c r="J504" s="32" t="n">
        <v>10.0</v>
      </c>
      <c r="K504" s="33" t="n">
        <f>508</f>
        <v>508.0</v>
      </c>
      <c r="L504" s="34" t="s">
        <v>48</v>
      </c>
      <c r="M504" s="33" t="n">
        <f>525</f>
        <v>525.0</v>
      </c>
      <c r="N504" s="34" t="s">
        <v>214</v>
      </c>
      <c r="O504" s="33" t="n">
        <f>501</f>
        <v>501.0</v>
      </c>
      <c r="P504" s="34" t="s">
        <v>62</v>
      </c>
      <c r="Q504" s="33" t="n">
        <f>507.9</f>
        <v>507.9</v>
      </c>
      <c r="R504" s="34" t="s">
        <v>51</v>
      </c>
      <c r="S504" s="35" t="n">
        <f>511.51</f>
        <v>511.51</v>
      </c>
      <c r="T504" s="32" t="n">
        <f>3369810</f>
        <v>3369810.0</v>
      </c>
      <c r="U504" s="32" t="str">
        <f>"－"</f>
        <v>－</v>
      </c>
      <c r="V504" s="32" t="n">
        <f>1723760235</f>
        <v>1.723760235E9</v>
      </c>
      <c r="W504" s="32" t="str">
        <f>"－"</f>
        <v>－</v>
      </c>
      <c r="X504" s="36" t="n">
        <f>22</f>
        <v>22.0</v>
      </c>
    </row>
    <row r="505">
      <c r="A505" s="27" t="s">
        <v>42</v>
      </c>
      <c r="B505" s="27" t="s">
        <v>1562</v>
      </c>
      <c r="C505" s="27" t="s">
        <v>1563</v>
      </c>
      <c r="D505" s="27" t="s">
        <v>1564</v>
      </c>
      <c r="E505" s="28" t="s">
        <v>46</v>
      </c>
      <c r="F505" s="29" t="s">
        <v>46</v>
      </c>
      <c r="G505" s="30" t="s">
        <v>46</v>
      </c>
      <c r="H505" s="31"/>
      <c r="I505" s="31" t="s">
        <v>418</v>
      </c>
      <c r="J505" s="32" t="n">
        <v>1.0</v>
      </c>
      <c r="K505" s="33" t="n">
        <f>1012</f>
        <v>1012.0</v>
      </c>
      <c r="L505" s="34" t="s">
        <v>48</v>
      </c>
      <c r="M505" s="33" t="n">
        <f>1099</f>
        <v>1099.0</v>
      </c>
      <c r="N505" s="34" t="s">
        <v>85</v>
      </c>
      <c r="O505" s="33" t="n">
        <f>920</f>
        <v>920.0</v>
      </c>
      <c r="P505" s="34" t="s">
        <v>70</v>
      </c>
      <c r="Q505" s="33" t="n">
        <f>959</f>
        <v>959.0</v>
      </c>
      <c r="R505" s="34" t="s">
        <v>51</v>
      </c>
      <c r="S505" s="35" t="n">
        <f>995.45</f>
        <v>995.45</v>
      </c>
      <c r="T505" s="32" t="n">
        <f>214415</f>
        <v>214415.0</v>
      </c>
      <c r="U505" s="32" t="str">
        <f>"－"</f>
        <v>－</v>
      </c>
      <c r="V505" s="32" t="n">
        <f>211160505</f>
        <v>2.11160505E8</v>
      </c>
      <c r="W505" s="32" t="str">
        <f>"－"</f>
        <v>－</v>
      </c>
      <c r="X505" s="36" t="n">
        <f>22</f>
        <v>22.0</v>
      </c>
    </row>
    <row r="506">
      <c r="A506" s="27" t="s">
        <v>42</v>
      </c>
      <c r="B506" s="27" t="s">
        <v>1565</v>
      </c>
      <c r="C506" s="27" t="s">
        <v>1566</v>
      </c>
      <c r="D506" s="27" t="s">
        <v>1567</v>
      </c>
      <c r="E506" s="28" t="s">
        <v>46</v>
      </c>
      <c r="F506" s="29" t="s">
        <v>46</v>
      </c>
      <c r="G506" s="30" t="s">
        <v>46</v>
      </c>
      <c r="H506" s="31"/>
      <c r="I506" s="31" t="s">
        <v>418</v>
      </c>
      <c r="J506" s="32" t="n">
        <v>10.0</v>
      </c>
      <c r="K506" s="33" t="n">
        <f>312.8</f>
        <v>312.8</v>
      </c>
      <c r="L506" s="34" t="s">
        <v>48</v>
      </c>
      <c r="M506" s="33" t="n">
        <f>312.8</f>
        <v>312.8</v>
      </c>
      <c r="N506" s="34" t="s">
        <v>48</v>
      </c>
      <c r="O506" s="33" t="n">
        <f>223.9</f>
        <v>223.9</v>
      </c>
      <c r="P506" s="34" t="s">
        <v>70</v>
      </c>
      <c r="Q506" s="33" t="n">
        <f>233.7</f>
        <v>233.7</v>
      </c>
      <c r="R506" s="34" t="s">
        <v>51</v>
      </c>
      <c r="S506" s="35" t="n">
        <f>263.67</f>
        <v>263.67</v>
      </c>
      <c r="T506" s="32" t="n">
        <f>645330</f>
        <v>645330.0</v>
      </c>
      <c r="U506" s="32" t="str">
        <f>"－"</f>
        <v>－</v>
      </c>
      <c r="V506" s="32" t="n">
        <f>170798366</f>
        <v>1.70798366E8</v>
      </c>
      <c r="W506" s="32" t="str">
        <f>"－"</f>
        <v>－</v>
      </c>
      <c r="X506" s="36" t="n">
        <f>22</f>
        <v>22.0</v>
      </c>
    </row>
    <row r="507">
      <c r="A507" s="27" t="s">
        <v>42</v>
      </c>
      <c r="B507" s="27" t="s">
        <v>1568</v>
      </c>
      <c r="C507" s="27" t="s">
        <v>1569</v>
      </c>
      <c r="D507" s="27" t="s">
        <v>1570</v>
      </c>
      <c r="E507" s="28" t="s">
        <v>46</v>
      </c>
      <c r="F507" s="29" t="s">
        <v>46</v>
      </c>
      <c r="G507" s="30" t="s">
        <v>46</v>
      </c>
      <c r="H507" s="31"/>
      <c r="I507" s="31" t="s">
        <v>418</v>
      </c>
      <c r="J507" s="32" t="n">
        <v>10.0</v>
      </c>
      <c r="K507" s="33" t="n">
        <f>304.1</f>
        <v>304.1</v>
      </c>
      <c r="L507" s="34" t="s">
        <v>48</v>
      </c>
      <c r="M507" s="33" t="n">
        <f>312.4</f>
        <v>312.4</v>
      </c>
      <c r="N507" s="34" t="s">
        <v>48</v>
      </c>
      <c r="O507" s="33" t="n">
        <f>220</f>
        <v>220.0</v>
      </c>
      <c r="P507" s="34" t="s">
        <v>123</v>
      </c>
      <c r="Q507" s="33" t="n">
        <f>227.6</f>
        <v>227.6</v>
      </c>
      <c r="R507" s="34" t="s">
        <v>51</v>
      </c>
      <c r="S507" s="35" t="n">
        <f>260.65</f>
        <v>260.65</v>
      </c>
      <c r="T507" s="32" t="n">
        <f>128760</f>
        <v>128760.0</v>
      </c>
      <c r="U507" s="32" t="str">
        <f>"－"</f>
        <v>－</v>
      </c>
      <c r="V507" s="32" t="n">
        <f>33308809</f>
        <v>3.3308809E7</v>
      </c>
      <c r="W507" s="32" t="str">
        <f>"－"</f>
        <v>－</v>
      </c>
      <c r="X507" s="36" t="n">
        <f>22</f>
        <v>22.0</v>
      </c>
    </row>
    <row r="508">
      <c r="A508" s="27" t="s">
        <v>42</v>
      </c>
      <c r="B508" s="27" t="s">
        <v>1571</v>
      </c>
      <c r="C508" s="27" t="s">
        <v>1572</v>
      </c>
      <c r="D508" s="27" t="s">
        <v>1573</v>
      </c>
      <c r="E508" s="28" t="s">
        <v>46</v>
      </c>
      <c r="F508" s="29" t="s">
        <v>46</v>
      </c>
      <c r="G508" s="30" t="s">
        <v>46</v>
      </c>
      <c r="H508" s="31"/>
      <c r="I508" s="31" t="s">
        <v>418</v>
      </c>
      <c r="J508" s="32" t="n">
        <v>1.0</v>
      </c>
      <c r="K508" s="33" t="n">
        <f>1035</f>
        <v>1035.0</v>
      </c>
      <c r="L508" s="34" t="s">
        <v>48</v>
      </c>
      <c r="M508" s="33" t="n">
        <f>1041</f>
        <v>1041.0</v>
      </c>
      <c r="N508" s="34" t="s">
        <v>48</v>
      </c>
      <c r="O508" s="33" t="n">
        <f>818</f>
        <v>818.0</v>
      </c>
      <c r="P508" s="34" t="s">
        <v>50</v>
      </c>
      <c r="Q508" s="33" t="n">
        <f>868</f>
        <v>868.0</v>
      </c>
      <c r="R508" s="34" t="s">
        <v>51</v>
      </c>
      <c r="S508" s="35" t="n">
        <f>926.05</f>
        <v>926.05</v>
      </c>
      <c r="T508" s="32" t="n">
        <f>266396</f>
        <v>266396.0</v>
      </c>
      <c r="U508" s="32" t="str">
        <f>"－"</f>
        <v>－</v>
      </c>
      <c r="V508" s="32" t="n">
        <f>245897574</f>
        <v>2.45897574E8</v>
      </c>
      <c r="W508" s="32" t="str">
        <f>"－"</f>
        <v>－</v>
      </c>
      <c r="X508" s="36" t="n">
        <f>22</f>
        <v>22.0</v>
      </c>
    </row>
    <row r="509">
      <c r="A509" s="27" t="s">
        <v>42</v>
      </c>
      <c r="B509" s="27" t="s">
        <v>1574</v>
      </c>
      <c r="C509" s="27" t="s">
        <v>1575</v>
      </c>
      <c r="D509" s="27" t="s">
        <v>1576</v>
      </c>
      <c r="E509" s="28" t="s">
        <v>46</v>
      </c>
      <c r="F509" s="29" t="s">
        <v>46</v>
      </c>
      <c r="G509" s="30" t="s">
        <v>46</v>
      </c>
      <c r="H509" s="31"/>
      <c r="I509" s="31" t="s">
        <v>418</v>
      </c>
      <c r="J509" s="32" t="n">
        <v>1.0</v>
      </c>
      <c r="K509" s="33" t="n">
        <f>1035</f>
        <v>1035.0</v>
      </c>
      <c r="L509" s="34" t="s">
        <v>48</v>
      </c>
      <c r="M509" s="33" t="n">
        <f>1200</f>
        <v>1200.0</v>
      </c>
      <c r="N509" s="34" t="s">
        <v>85</v>
      </c>
      <c r="O509" s="33" t="n">
        <f>875</f>
        <v>875.0</v>
      </c>
      <c r="P509" s="34" t="s">
        <v>70</v>
      </c>
      <c r="Q509" s="33" t="n">
        <f>905</f>
        <v>905.0</v>
      </c>
      <c r="R509" s="34" t="s">
        <v>51</v>
      </c>
      <c r="S509" s="35" t="n">
        <f>978.77</f>
        <v>978.77</v>
      </c>
      <c r="T509" s="32" t="n">
        <f>569798</f>
        <v>569798.0</v>
      </c>
      <c r="U509" s="32" t="n">
        <f>132</f>
        <v>132.0</v>
      </c>
      <c r="V509" s="32" t="n">
        <f>560633666</f>
        <v>5.60633666E8</v>
      </c>
      <c r="W509" s="32" t="n">
        <f>135244</f>
        <v>135244.0</v>
      </c>
      <c r="X509" s="36" t="n">
        <f>22</f>
        <v>22.0</v>
      </c>
    </row>
    <row r="510">
      <c r="A510" s="27" t="s">
        <v>42</v>
      </c>
      <c r="B510" s="27" t="s">
        <v>1577</v>
      </c>
      <c r="C510" s="27" t="s">
        <v>1578</v>
      </c>
      <c r="D510" s="27" t="s">
        <v>1579</v>
      </c>
      <c r="E510" s="28" t="s">
        <v>1580</v>
      </c>
      <c r="F510" s="29" t="s">
        <v>1581</v>
      </c>
      <c r="G510" s="30" t="s">
        <v>1582</v>
      </c>
      <c r="H510" s="31"/>
      <c r="I510" s="31" t="s">
        <v>418</v>
      </c>
      <c r="J510" s="32" t="n">
        <v>1.0</v>
      </c>
      <c r="K510" s="33" t="n">
        <f>1302</f>
        <v>1302.0</v>
      </c>
      <c r="L510" s="34" t="s">
        <v>62</v>
      </c>
      <c r="M510" s="33" t="n">
        <f>1302</f>
        <v>1302.0</v>
      </c>
      <c r="N510" s="34" t="s">
        <v>62</v>
      </c>
      <c r="O510" s="33" t="n">
        <f>1000</f>
        <v>1000.0</v>
      </c>
      <c r="P510" s="34" t="s">
        <v>50</v>
      </c>
      <c r="Q510" s="33" t="n">
        <f>1032</f>
        <v>1032.0</v>
      </c>
      <c r="R510" s="34" t="s">
        <v>51</v>
      </c>
      <c r="S510" s="35" t="n">
        <f>1058.25</f>
        <v>1058.25</v>
      </c>
      <c r="T510" s="32" t="n">
        <f>637899</f>
        <v>637899.0</v>
      </c>
      <c r="U510" s="32" t="n">
        <f>600000</f>
        <v>600000.0</v>
      </c>
      <c r="V510" s="32" t="n">
        <f>640810928</f>
        <v>6.40810928E8</v>
      </c>
      <c r="W510" s="32" t="n">
        <f>601200000</f>
        <v>6.012E8</v>
      </c>
      <c r="X510" s="36" t="n">
        <f>16</f>
        <v>16.0</v>
      </c>
    </row>
    <row r="511">
      <c r="A511" s="27" t="s">
        <v>42</v>
      </c>
      <c r="B511" s="27" t="s">
        <v>1583</v>
      </c>
      <c r="C511" s="27" t="s">
        <v>1584</v>
      </c>
      <c r="D511" s="27" t="s">
        <v>1585</v>
      </c>
      <c r="E511" s="28" t="s">
        <v>1580</v>
      </c>
      <c r="F511" s="29" t="s">
        <v>1581</v>
      </c>
      <c r="G511" s="30" t="s">
        <v>1582</v>
      </c>
      <c r="H511" s="31"/>
      <c r="I511" s="31" t="s">
        <v>418</v>
      </c>
      <c r="J511" s="32" t="n">
        <v>10.0</v>
      </c>
      <c r="K511" s="33" t="n">
        <f>208</f>
        <v>208.0</v>
      </c>
      <c r="L511" s="34" t="s">
        <v>62</v>
      </c>
      <c r="M511" s="33" t="n">
        <f>219</f>
        <v>219.0</v>
      </c>
      <c r="N511" s="34" t="s">
        <v>154</v>
      </c>
      <c r="O511" s="33" t="n">
        <f>190</f>
        <v>190.0</v>
      </c>
      <c r="P511" s="34" t="s">
        <v>66</v>
      </c>
      <c r="Q511" s="33" t="n">
        <f>199.1</f>
        <v>199.1</v>
      </c>
      <c r="R511" s="34" t="s">
        <v>51</v>
      </c>
      <c r="S511" s="35" t="n">
        <f>195.61</f>
        <v>195.61</v>
      </c>
      <c r="T511" s="32" t="n">
        <f>8270550</f>
        <v>8270550.0</v>
      </c>
      <c r="U511" s="32" t="n">
        <f>240</f>
        <v>240.0</v>
      </c>
      <c r="V511" s="32" t="n">
        <f>1618483499</f>
        <v>1.618483499E9</v>
      </c>
      <c r="W511" s="32" t="n">
        <f>43476</f>
        <v>43476.0</v>
      </c>
      <c r="X511" s="36" t="n">
        <f>16</f>
        <v>16.0</v>
      </c>
    </row>
    <row r="512">
      <c r="A512" s="27" t="s">
        <v>42</v>
      </c>
      <c r="B512" s="27" t="s">
        <v>1586</v>
      </c>
      <c r="C512" s="27" t="s">
        <v>1587</v>
      </c>
      <c r="D512" s="27" t="s">
        <v>1588</v>
      </c>
      <c r="E512" s="28" t="s">
        <v>1580</v>
      </c>
      <c r="F512" s="29" t="s">
        <v>1581</v>
      </c>
      <c r="G512" s="30" t="s">
        <v>1582</v>
      </c>
      <c r="H512" s="31"/>
      <c r="I512" s="31" t="s">
        <v>418</v>
      </c>
      <c r="J512" s="32" t="n">
        <v>1.0</v>
      </c>
      <c r="K512" s="33" t="n">
        <f>115000</f>
        <v>115000.0</v>
      </c>
      <c r="L512" s="34" t="s">
        <v>62</v>
      </c>
      <c r="M512" s="33" t="n">
        <f>120400</f>
        <v>120400.0</v>
      </c>
      <c r="N512" s="34" t="s">
        <v>66</v>
      </c>
      <c r="O512" s="33" t="n">
        <f>110700</f>
        <v>110700.0</v>
      </c>
      <c r="P512" s="34" t="s">
        <v>50</v>
      </c>
      <c r="Q512" s="33" t="n">
        <f>117950</f>
        <v>117950.0</v>
      </c>
      <c r="R512" s="34" t="s">
        <v>51</v>
      </c>
      <c r="S512" s="35" t="n">
        <f>116606.25</f>
        <v>116606.25</v>
      </c>
      <c r="T512" s="32" t="n">
        <f>25674</f>
        <v>25674.0</v>
      </c>
      <c r="U512" s="32" t="str">
        <f>"－"</f>
        <v>－</v>
      </c>
      <c r="V512" s="32" t="n">
        <f>2973053650</f>
        <v>2.97305365E9</v>
      </c>
      <c r="W512" s="32" t="str">
        <f>"－"</f>
        <v>－</v>
      </c>
      <c r="X512" s="36" t="n">
        <f>16</f>
        <v>16.0</v>
      </c>
    </row>
    <row r="513">
      <c r="A513" s="27" t="s">
        <v>42</v>
      </c>
      <c r="B513" s="27" t="s">
        <v>1589</v>
      </c>
      <c r="C513" s="27" t="s">
        <v>1590</v>
      </c>
      <c r="D513" s="27" t="s">
        <v>1591</v>
      </c>
      <c r="E513" s="28" t="s">
        <v>46</v>
      </c>
      <c r="F513" s="29" t="s">
        <v>46</v>
      </c>
      <c r="G513" s="30" t="s">
        <v>46</v>
      </c>
      <c r="H513" s="31"/>
      <c r="I513" s="31" t="s">
        <v>47</v>
      </c>
      <c r="J513" s="32" t="n">
        <v>1.0</v>
      </c>
      <c r="K513" s="33" t="n">
        <f>128000</f>
        <v>128000.0</v>
      </c>
      <c r="L513" s="34" t="s">
        <v>48</v>
      </c>
      <c r="M513" s="33" t="n">
        <f>128600</f>
        <v>128600.0</v>
      </c>
      <c r="N513" s="34" t="s">
        <v>70</v>
      </c>
      <c r="O513" s="33" t="n">
        <f>119000</f>
        <v>119000.0</v>
      </c>
      <c r="P513" s="34" t="s">
        <v>104</v>
      </c>
      <c r="Q513" s="33" t="n">
        <f>125900</f>
        <v>125900.0</v>
      </c>
      <c r="R513" s="34" t="s">
        <v>51</v>
      </c>
      <c r="S513" s="35" t="n">
        <f>122881.82</f>
        <v>122881.82</v>
      </c>
      <c r="T513" s="32" t="n">
        <f>1102320</f>
        <v>1102320.0</v>
      </c>
      <c r="U513" s="32" t="n">
        <f>194969</f>
        <v>194969.0</v>
      </c>
      <c r="V513" s="32" t="n">
        <f>135936282885</f>
        <v>1.35936282885E11</v>
      </c>
      <c r="W513" s="32" t="n">
        <f>24047834685</f>
        <v>2.4047834685E10</v>
      </c>
      <c r="X513" s="36" t="n">
        <f>22</f>
        <v>22.0</v>
      </c>
    </row>
    <row r="514">
      <c r="A514" s="27" t="s">
        <v>42</v>
      </c>
      <c r="B514" s="27" t="s">
        <v>1592</v>
      </c>
      <c r="C514" s="27" t="s">
        <v>1593</v>
      </c>
      <c r="D514" s="27" t="s">
        <v>1594</v>
      </c>
      <c r="E514" s="28" t="s">
        <v>46</v>
      </c>
      <c r="F514" s="29" t="s">
        <v>46</v>
      </c>
      <c r="G514" s="30" t="s">
        <v>46</v>
      </c>
      <c r="H514" s="31"/>
      <c r="I514" s="31" t="s">
        <v>47</v>
      </c>
      <c r="J514" s="32" t="n">
        <v>1.0</v>
      </c>
      <c r="K514" s="33" t="n">
        <f>115100</f>
        <v>115100.0</v>
      </c>
      <c r="L514" s="34" t="s">
        <v>48</v>
      </c>
      <c r="M514" s="33" t="n">
        <f>118300</f>
        <v>118300.0</v>
      </c>
      <c r="N514" s="34" t="s">
        <v>72</v>
      </c>
      <c r="O514" s="33" t="n">
        <f>110300</f>
        <v>110300.0</v>
      </c>
      <c r="P514" s="34" t="s">
        <v>104</v>
      </c>
      <c r="Q514" s="33" t="n">
        <f>115800</f>
        <v>115800.0</v>
      </c>
      <c r="R514" s="34" t="s">
        <v>51</v>
      </c>
      <c r="S514" s="35" t="n">
        <f>114072.73</f>
        <v>114072.73</v>
      </c>
      <c r="T514" s="32" t="n">
        <f>619809</f>
        <v>619809.0</v>
      </c>
      <c r="U514" s="32" t="n">
        <f>119417</f>
        <v>119417.0</v>
      </c>
      <c r="V514" s="32" t="n">
        <f>70736868769</f>
        <v>7.0736868769E10</v>
      </c>
      <c r="W514" s="32" t="n">
        <f>13662543069</f>
        <v>1.3662543069E10</v>
      </c>
      <c r="X514" s="36" t="n">
        <f>22</f>
        <v>22.0</v>
      </c>
    </row>
    <row r="515">
      <c r="A515" s="27" t="s">
        <v>42</v>
      </c>
      <c r="B515" s="27" t="s">
        <v>1595</v>
      </c>
      <c r="C515" s="27" t="s">
        <v>1596</v>
      </c>
      <c r="D515" s="27" t="s">
        <v>1597</v>
      </c>
      <c r="E515" s="28" t="s">
        <v>46</v>
      </c>
      <c r="F515" s="29" t="s">
        <v>46</v>
      </c>
      <c r="G515" s="30" t="s">
        <v>46</v>
      </c>
      <c r="H515" s="31"/>
      <c r="I515" s="31" t="s">
        <v>47</v>
      </c>
      <c r="J515" s="32" t="n">
        <v>1.0</v>
      </c>
      <c r="K515" s="33" t="n">
        <f>113700</f>
        <v>113700.0</v>
      </c>
      <c r="L515" s="34" t="s">
        <v>48</v>
      </c>
      <c r="M515" s="33" t="n">
        <f>114200</f>
        <v>114200.0</v>
      </c>
      <c r="N515" s="34" t="s">
        <v>72</v>
      </c>
      <c r="O515" s="33" t="n">
        <f>107600</f>
        <v>107600.0</v>
      </c>
      <c r="P515" s="34" t="s">
        <v>104</v>
      </c>
      <c r="Q515" s="33" t="n">
        <f>112100</f>
        <v>112100.0</v>
      </c>
      <c r="R515" s="34" t="s">
        <v>51</v>
      </c>
      <c r="S515" s="35" t="n">
        <f>110636.36</f>
        <v>110636.36</v>
      </c>
      <c r="T515" s="32" t="n">
        <f>563880</f>
        <v>563880.0</v>
      </c>
      <c r="U515" s="32" t="n">
        <f>116440</f>
        <v>116440.0</v>
      </c>
      <c r="V515" s="32" t="n">
        <f>62445135652</f>
        <v>6.2445135652E10</v>
      </c>
      <c r="W515" s="32" t="n">
        <f>12926516252</f>
        <v>1.2926516252E10</v>
      </c>
      <c r="X515" s="36" t="n">
        <f>22</f>
        <v>22.0</v>
      </c>
    </row>
    <row r="516">
      <c r="A516" s="27" t="s">
        <v>42</v>
      </c>
      <c r="B516" s="27" t="s">
        <v>1598</v>
      </c>
      <c r="C516" s="27" t="s">
        <v>1599</v>
      </c>
      <c r="D516" s="27" t="s">
        <v>1600</v>
      </c>
      <c r="E516" s="28" t="s">
        <v>46</v>
      </c>
      <c r="F516" s="29" t="s">
        <v>46</v>
      </c>
      <c r="G516" s="30" t="s">
        <v>46</v>
      </c>
      <c r="H516" s="31"/>
      <c r="I516" s="31" t="s">
        <v>47</v>
      </c>
      <c r="J516" s="32" t="n">
        <v>1.0</v>
      </c>
      <c r="K516" s="33" t="n">
        <f>96000</f>
        <v>96000.0</v>
      </c>
      <c r="L516" s="34" t="s">
        <v>48</v>
      </c>
      <c r="M516" s="33" t="n">
        <f>98600</f>
        <v>98600.0</v>
      </c>
      <c r="N516" s="34" t="s">
        <v>72</v>
      </c>
      <c r="O516" s="33" t="n">
        <f>91400</f>
        <v>91400.0</v>
      </c>
      <c r="P516" s="34" t="s">
        <v>104</v>
      </c>
      <c r="Q516" s="33" t="n">
        <f>97500</f>
        <v>97500.0</v>
      </c>
      <c r="R516" s="34" t="s">
        <v>51</v>
      </c>
      <c r="S516" s="35" t="n">
        <f>94709.09</f>
        <v>94709.09</v>
      </c>
      <c r="T516" s="32" t="n">
        <f>417788</f>
        <v>417788.0</v>
      </c>
      <c r="U516" s="32" t="n">
        <f>80677</f>
        <v>80677.0</v>
      </c>
      <c r="V516" s="32" t="n">
        <f>39546200804</f>
        <v>3.9546200804E10</v>
      </c>
      <c r="W516" s="32" t="n">
        <f>7658695604</f>
        <v>7.658695604E9</v>
      </c>
      <c r="X516" s="36" t="n">
        <f>22</f>
        <v>22.0</v>
      </c>
    </row>
    <row r="517">
      <c r="A517" s="27" t="s">
        <v>42</v>
      </c>
      <c r="B517" s="27" t="s">
        <v>1601</v>
      </c>
      <c r="C517" s="27" t="s">
        <v>1602</v>
      </c>
      <c r="D517" s="27" t="s">
        <v>1603</v>
      </c>
      <c r="E517" s="28" t="s">
        <v>46</v>
      </c>
      <c r="F517" s="29" t="s">
        <v>46</v>
      </c>
      <c r="G517" s="30" t="s">
        <v>46</v>
      </c>
      <c r="H517" s="31"/>
      <c r="I517" s="31" t="s">
        <v>47</v>
      </c>
      <c r="J517" s="32" t="n">
        <v>1.0</v>
      </c>
      <c r="K517" s="33" t="n">
        <f>95000</f>
        <v>95000.0</v>
      </c>
      <c r="L517" s="34" t="s">
        <v>48</v>
      </c>
      <c r="M517" s="33" t="n">
        <f>96300</f>
        <v>96300.0</v>
      </c>
      <c r="N517" s="34" t="s">
        <v>70</v>
      </c>
      <c r="O517" s="33" t="n">
        <f>91500</f>
        <v>91500.0</v>
      </c>
      <c r="P517" s="34" t="s">
        <v>104</v>
      </c>
      <c r="Q517" s="33" t="n">
        <f>93300</f>
        <v>93300.0</v>
      </c>
      <c r="R517" s="34" t="s">
        <v>51</v>
      </c>
      <c r="S517" s="35" t="n">
        <f>93477.27</f>
        <v>93477.27</v>
      </c>
      <c r="T517" s="32" t="n">
        <f>243502</f>
        <v>243502.0</v>
      </c>
      <c r="U517" s="32" t="n">
        <f>50696</f>
        <v>50696.0</v>
      </c>
      <c r="V517" s="32" t="n">
        <f>22814247270</f>
        <v>2.281424727E10</v>
      </c>
      <c r="W517" s="32" t="n">
        <f>4750252070</f>
        <v>4.75025207E9</v>
      </c>
      <c r="X517" s="36" t="n">
        <f>22</f>
        <v>22.0</v>
      </c>
    </row>
    <row r="518">
      <c r="A518" s="27" t="s">
        <v>42</v>
      </c>
      <c r="B518" s="27" t="s">
        <v>1604</v>
      </c>
      <c r="C518" s="27" t="s">
        <v>1605</v>
      </c>
      <c r="D518" s="27" t="s">
        <v>1606</v>
      </c>
      <c r="E518" s="28" t="s">
        <v>46</v>
      </c>
      <c r="F518" s="29" t="s">
        <v>46</v>
      </c>
      <c r="G518" s="30" t="s">
        <v>46</v>
      </c>
      <c r="H518" s="31"/>
      <c r="I518" s="31" t="s">
        <v>47</v>
      </c>
      <c r="J518" s="32" t="n">
        <v>1.0</v>
      </c>
      <c r="K518" s="33" t="n">
        <f>132400</f>
        <v>132400.0</v>
      </c>
      <c r="L518" s="34" t="s">
        <v>48</v>
      </c>
      <c r="M518" s="33" t="n">
        <f>136400</f>
        <v>136400.0</v>
      </c>
      <c r="N518" s="34" t="s">
        <v>51</v>
      </c>
      <c r="O518" s="33" t="n">
        <f>127600</f>
        <v>127600.0</v>
      </c>
      <c r="P518" s="34" t="s">
        <v>104</v>
      </c>
      <c r="Q518" s="33" t="n">
        <f>136200</f>
        <v>136200.0</v>
      </c>
      <c r="R518" s="34" t="s">
        <v>51</v>
      </c>
      <c r="S518" s="35" t="n">
        <f>130763.64</f>
        <v>130763.64</v>
      </c>
      <c r="T518" s="32" t="n">
        <f>105599</f>
        <v>105599.0</v>
      </c>
      <c r="U518" s="32" t="n">
        <f>25549</f>
        <v>25549.0</v>
      </c>
      <c r="V518" s="32" t="n">
        <f>13878022050</f>
        <v>1.387802205E10</v>
      </c>
      <c r="W518" s="32" t="n">
        <f>3365080650</f>
        <v>3.36508065E9</v>
      </c>
      <c r="X518" s="36" t="n">
        <f>22</f>
        <v>22.0</v>
      </c>
    </row>
    <row r="519">
      <c r="A519" s="27" t="s">
        <v>42</v>
      </c>
      <c r="B519" s="27" t="s">
        <v>1607</v>
      </c>
      <c r="C519" s="27" t="s">
        <v>1608</v>
      </c>
      <c r="D519" s="27" t="s">
        <v>1609</v>
      </c>
      <c r="E519" s="28" t="s">
        <v>46</v>
      </c>
      <c r="F519" s="29" t="s">
        <v>46</v>
      </c>
      <c r="G519" s="30" t="s">
        <v>46</v>
      </c>
      <c r="H519" s="31"/>
      <c r="I519" s="31" t="s">
        <v>47</v>
      </c>
      <c r="J519" s="32" t="n">
        <v>1.0</v>
      </c>
      <c r="K519" s="33" t="n">
        <f>185300</f>
        <v>185300.0</v>
      </c>
      <c r="L519" s="34" t="s">
        <v>48</v>
      </c>
      <c r="M519" s="33" t="n">
        <f>186600</f>
        <v>186600.0</v>
      </c>
      <c r="N519" s="34" t="s">
        <v>72</v>
      </c>
      <c r="O519" s="33" t="n">
        <f>175000</f>
        <v>175000.0</v>
      </c>
      <c r="P519" s="34" t="s">
        <v>104</v>
      </c>
      <c r="Q519" s="33" t="n">
        <f>184900</f>
        <v>184900.0</v>
      </c>
      <c r="R519" s="34" t="s">
        <v>51</v>
      </c>
      <c r="S519" s="35" t="n">
        <f>180286.36</f>
        <v>180286.36</v>
      </c>
      <c r="T519" s="32" t="n">
        <f>65265</f>
        <v>65265.0</v>
      </c>
      <c r="U519" s="32" t="n">
        <f>14391</f>
        <v>14391.0</v>
      </c>
      <c r="V519" s="32" t="n">
        <f>11782542432</f>
        <v>1.1782542432E10</v>
      </c>
      <c r="W519" s="32" t="n">
        <f>2596400532</f>
        <v>2.596400532E9</v>
      </c>
      <c r="X519" s="36" t="n">
        <f>22</f>
        <v>22.0</v>
      </c>
    </row>
    <row r="520">
      <c r="A520" s="27" t="s">
        <v>42</v>
      </c>
      <c r="B520" s="27" t="s">
        <v>1610</v>
      </c>
      <c r="C520" s="27" t="s">
        <v>1611</v>
      </c>
      <c r="D520" s="27" t="s">
        <v>1612</v>
      </c>
      <c r="E520" s="28" t="s">
        <v>46</v>
      </c>
      <c r="F520" s="29" t="s">
        <v>46</v>
      </c>
      <c r="G520" s="30" t="s">
        <v>46</v>
      </c>
      <c r="H520" s="31"/>
      <c r="I520" s="31" t="s">
        <v>47</v>
      </c>
      <c r="J520" s="32" t="n">
        <v>1.0</v>
      </c>
      <c r="K520" s="33" t="n">
        <f>112100</f>
        <v>112100.0</v>
      </c>
      <c r="L520" s="34" t="s">
        <v>48</v>
      </c>
      <c r="M520" s="33" t="n">
        <f>112300</f>
        <v>112300.0</v>
      </c>
      <c r="N520" s="34" t="s">
        <v>48</v>
      </c>
      <c r="O520" s="33" t="n">
        <f>106300</f>
        <v>106300.0</v>
      </c>
      <c r="P520" s="34" t="s">
        <v>375</v>
      </c>
      <c r="Q520" s="33" t="n">
        <f>109200</f>
        <v>109200.0</v>
      </c>
      <c r="R520" s="34" t="s">
        <v>51</v>
      </c>
      <c r="S520" s="35" t="n">
        <f>109081.82</f>
        <v>109081.82</v>
      </c>
      <c r="T520" s="32" t="n">
        <f>134785</f>
        <v>134785.0</v>
      </c>
      <c r="U520" s="32" t="n">
        <f>30115</f>
        <v>30115.0</v>
      </c>
      <c r="V520" s="32" t="n">
        <f>14706754738</f>
        <v>1.4706754738E10</v>
      </c>
      <c r="W520" s="32" t="n">
        <f>3285610338</f>
        <v>3.285610338E9</v>
      </c>
      <c r="X520" s="36" t="n">
        <f>22</f>
        <v>22.0</v>
      </c>
    </row>
    <row r="521">
      <c r="A521" s="27" t="s">
        <v>42</v>
      </c>
      <c r="B521" s="27" t="s">
        <v>1613</v>
      </c>
      <c r="C521" s="27" t="s">
        <v>1614</v>
      </c>
      <c r="D521" s="27" t="s">
        <v>1615</v>
      </c>
      <c r="E521" s="28" t="s">
        <v>46</v>
      </c>
      <c r="F521" s="29" t="s">
        <v>46</v>
      </c>
      <c r="G521" s="30" t="s">
        <v>46</v>
      </c>
      <c r="H521" s="31"/>
      <c r="I521" s="31" t="s">
        <v>47</v>
      </c>
      <c r="J521" s="32" t="n">
        <v>1.0</v>
      </c>
      <c r="K521" s="33" t="n">
        <f>161900</f>
        <v>161900.0</v>
      </c>
      <c r="L521" s="34" t="s">
        <v>48</v>
      </c>
      <c r="M521" s="33" t="n">
        <f>164100</f>
        <v>164100.0</v>
      </c>
      <c r="N521" s="34" t="s">
        <v>72</v>
      </c>
      <c r="O521" s="33" t="n">
        <f>155600</f>
        <v>155600.0</v>
      </c>
      <c r="P521" s="34" t="s">
        <v>104</v>
      </c>
      <c r="Q521" s="33" t="n">
        <f>162100</f>
        <v>162100.0</v>
      </c>
      <c r="R521" s="34" t="s">
        <v>51</v>
      </c>
      <c r="S521" s="35" t="n">
        <f>159572.73</f>
        <v>159572.73</v>
      </c>
      <c r="T521" s="32" t="n">
        <f>203838</f>
        <v>203838.0</v>
      </c>
      <c r="U521" s="32" t="n">
        <f>45239</f>
        <v>45239.0</v>
      </c>
      <c r="V521" s="32" t="n">
        <f>32543570698</f>
        <v>3.2543570698E10</v>
      </c>
      <c r="W521" s="32" t="n">
        <f>7238151398</f>
        <v>7.238151398E9</v>
      </c>
      <c r="X521" s="36" t="n">
        <f>22</f>
        <v>22.0</v>
      </c>
    </row>
    <row r="522">
      <c r="A522" s="27" t="s">
        <v>42</v>
      </c>
      <c r="B522" s="27" t="s">
        <v>1616</v>
      </c>
      <c r="C522" s="27" t="s">
        <v>1617</v>
      </c>
      <c r="D522" s="27" t="s">
        <v>1618</v>
      </c>
      <c r="E522" s="28" t="s">
        <v>46</v>
      </c>
      <c r="F522" s="29" t="s">
        <v>46</v>
      </c>
      <c r="G522" s="30" t="s">
        <v>46</v>
      </c>
      <c r="H522" s="31"/>
      <c r="I522" s="31" t="s">
        <v>47</v>
      </c>
      <c r="J522" s="32" t="n">
        <v>1.0</v>
      </c>
      <c r="K522" s="33" t="n">
        <f>74000</f>
        <v>74000.0</v>
      </c>
      <c r="L522" s="34" t="s">
        <v>48</v>
      </c>
      <c r="M522" s="33" t="n">
        <f>75000</f>
        <v>75000.0</v>
      </c>
      <c r="N522" s="34" t="s">
        <v>72</v>
      </c>
      <c r="O522" s="33" t="n">
        <f>71200</f>
        <v>71200.0</v>
      </c>
      <c r="P522" s="34" t="s">
        <v>104</v>
      </c>
      <c r="Q522" s="33" t="n">
        <f>74300</f>
        <v>74300.0</v>
      </c>
      <c r="R522" s="34" t="s">
        <v>51</v>
      </c>
      <c r="S522" s="35" t="n">
        <f>72854.55</f>
        <v>72854.55</v>
      </c>
      <c r="T522" s="32" t="n">
        <f>163717</f>
        <v>163717.0</v>
      </c>
      <c r="U522" s="32" t="n">
        <f>36705</f>
        <v>36705.0</v>
      </c>
      <c r="V522" s="32" t="n">
        <f>11940067321</f>
        <v>1.1940067321E10</v>
      </c>
      <c r="W522" s="32" t="n">
        <f>2677710621</f>
        <v>2.677710621E9</v>
      </c>
      <c r="X522" s="36" t="n">
        <f>22</f>
        <v>22.0</v>
      </c>
    </row>
    <row r="523">
      <c r="A523" s="27" t="s">
        <v>42</v>
      </c>
      <c r="B523" s="27" t="s">
        <v>1619</v>
      </c>
      <c r="C523" s="27" t="s">
        <v>1620</v>
      </c>
      <c r="D523" s="27" t="s">
        <v>1621</v>
      </c>
      <c r="E523" s="28" t="s">
        <v>46</v>
      </c>
      <c r="F523" s="29" t="s">
        <v>46</v>
      </c>
      <c r="G523" s="30" t="s">
        <v>46</v>
      </c>
      <c r="H523" s="31"/>
      <c r="I523" s="31" t="s">
        <v>47</v>
      </c>
      <c r="J523" s="32" t="n">
        <v>1.0</v>
      </c>
      <c r="K523" s="33" t="n">
        <f>61700</f>
        <v>61700.0</v>
      </c>
      <c r="L523" s="34" t="s">
        <v>48</v>
      </c>
      <c r="M523" s="33" t="n">
        <f>62700</f>
        <v>62700.0</v>
      </c>
      <c r="N523" s="34" t="s">
        <v>203</v>
      </c>
      <c r="O523" s="33" t="n">
        <f>58700</f>
        <v>58700.0</v>
      </c>
      <c r="P523" s="34" t="s">
        <v>72</v>
      </c>
      <c r="Q523" s="33" t="n">
        <f>59800</f>
        <v>59800.0</v>
      </c>
      <c r="R523" s="34" t="s">
        <v>51</v>
      </c>
      <c r="S523" s="35" t="n">
        <f>60636.36</f>
        <v>60636.36</v>
      </c>
      <c r="T523" s="32" t="n">
        <f>1009271</f>
        <v>1009271.0</v>
      </c>
      <c r="U523" s="32" t="n">
        <f>176504</f>
        <v>176504.0</v>
      </c>
      <c r="V523" s="32" t="n">
        <f>61196104154</f>
        <v>6.1196104154E10</v>
      </c>
      <c r="W523" s="32" t="n">
        <f>10688800154</f>
        <v>1.0688800154E10</v>
      </c>
      <c r="X523" s="36" t="n">
        <f>22</f>
        <v>22.0</v>
      </c>
    </row>
    <row r="524">
      <c r="A524" s="27" t="s">
        <v>42</v>
      </c>
      <c r="B524" s="27" t="s">
        <v>1622</v>
      </c>
      <c r="C524" s="27" t="s">
        <v>1623</v>
      </c>
      <c r="D524" s="27" t="s">
        <v>1624</v>
      </c>
      <c r="E524" s="28" t="s">
        <v>46</v>
      </c>
      <c r="F524" s="29" t="s">
        <v>46</v>
      </c>
      <c r="G524" s="30" t="s">
        <v>46</v>
      </c>
      <c r="H524" s="31"/>
      <c r="I524" s="31" t="s">
        <v>47</v>
      </c>
      <c r="J524" s="32" t="n">
        <v>1.0</v>
      </c>
      <c r="K524" s="33" t="n">
        <f>81600</f>
        <v>81600.0</v>
      </c>
      <c r="L524" s="34" t="s">
        <v>48</v>
      </c>
      <c r="M524" s="33" t="n">
        <f>82300</f>
        <v>82300.0</v>
      </c>
      <c r="N524" s="34" t="s">
        <v>203</v>
      </c>
      <c r="O524" s="33" t="n">
        <f>79200</f>
        <v>79200.0</v>
      </c>
      <c r="P524" s="34" t="s">
        <v>104</v>
      </c>
      <c r="Q524" s="33" t="n">
        <f>80400</f>
        <v>80400.0</v>
      </c>
      <c r="R524" s="34" t="s">
        <v>51</v>
      </c>
      <c r="S524" s="35" t="n">
        <f>80709.09</f>
        <v>80709.09</v>
      </c>
      <c r="T524" s="32" t="n">
        <f>221413</f>
        <v>221413.0</v>
      </c>
      <c r="U524" s="32" t="n">
        <f>42221</f>
        <v>42221.0</v>
      </c>
      <c r="V524" s="32" t="n">
        <f>17856677133</f>
        <v>1.7856677133E10</v>
      </c>
      <c r="W524" s="32" t="n">
        <f>3401514633</f>
        <v>3.401514633E9</v>
      </c>
      <c r="X524" s="36" t="n">
        <f>22</f>
        <v>22.0</v>
      </c>
    </row>
    <row r="525">
      <c r="A525" s="27" t="s">
        <v>42</v>
      </c>
      <c r="B525" s="27" t="s">
        <v>1625</v>
      </c>
      <c r="C525" s="27" t="s">
        <v>1626</v>
      </c>
      <c r="D525" s="27" t="s">
        <v>1627</v>
      </c>
      <c r="E525" s="28" t="s">
        <v>46</v>
      </c>
      <c r="F525" s="29" t="s">
        <v>46</v>
      </c>
      <c r="G525" s="30" t="s">
        <v>46</v>
      </c>
      <c r="H525" s="31"/>
      <c r="I525" s="31" t="s">
        <v>47</v>
      </c>
      <c r="J525" s="32" t="n">
        <v>1.0</v>
      </c>
      <c r="K525" s="33" t="n">
        <f>135600</f>
        <v>135600.0</v>
      </c>
      <c r="L525" s="34" t="s">
        <v>48</v>
      </c>
      <c r="M525" s="33" t="n">
        <f>136600</f>
        <v>136600.0</v>
      </c>
      <c r="N525" s="34" t="s">
        <v>203</v>
      </c>
      <c r="O525" s="33" t="n">
        <f>130200</f>
        <v>130200.0</v>
      </c>
      <c r="P525" s="34" t="s">
        <v>104</v>
      </c>
      <c r="Q525" s="33" t="n">
        <f>134300</f>
        <v>134300.0</v>
      </c>
      <c r="R525" s="34" t="s">
        <v>51</v>
      </c>
      <c r="S525" s="35" t="n">
        <f>133263.64</f>
        <v>133263.64</v>
      </c>
      <c r="T525" s="32" t="n">
        <f>193645</f>
        <v>193645.0</v>
      </c>
      <c r="U525" s="32" t="n">
        <f>40961</f>
        <v>40961.0</v>
      </c>
      <c r="V525" s="32" t="n">
        <f>25809208031</f>
        <v>2.5809208031E10</v>
      </c>
      <c r="W525" s="32" t="n">
        <f>5461537431</f>
        <v>5.461537431E9</v>
      </c>
      <c r="X525" s="36" t="n">
        <f>22</f>
        <v>22.0</v>
      </c>
    </row>
    <row r="526">
      <c r="A526" s="27" t="s">
        <v>42</v>
      </c>
      <c r="B526" s="27" t="s">
        <v>1628</v>
      </c>
      <c r="C526" s="27" t="s">
        <v>1629</v>
      </c>
      <c r="D526" s="27" t="s">
        <v>1630</v>
      </c>
      <c r="E526" s="28" t="s">
        <v>46</v>
      </c>
      <c r="F526" s="29" t="s">
        <v>46</v>
      </c>
      <c r="G526" s="30" t="s">
        <v>46</v>
      </c>
      <c r="H526" s="31"/>
      <c r="I526" s="31" t="s">
        <v>47</v>
      </c>
      <c r="J526" s="32" t="n">
        <v>1.0</v>
      </c>
      <c r="K526" s="33" t="n">
        <f>92000</f>
        <v>92000.0</v>
      </c>
      <c r="L526" s="34" t="s">
        <v>48</v>
      </c>
      <c r="M526" s="33" t="n">
        <f>96000</f>
        <v>96000.0</v>
      </c>
      <c r="N526" s="34" t="s">
        <v>51</v>
      </c>
      <c r="O526" s="33" t="n">
        <f>89900</f>
        <v>89900.0</v>
      </c>
      <c r="P526" s="34" t="s">
        <v>158</v>
      </c>
      <c r="Q526" s="33" t="n">
        <f>94900</f>
        <v>94900.0</v>
      </c>
      <c r="R526" s="34" t="s">
        <v>51</v>
      </c>
      <c r="S526" s="35" t="n">
        <f>92613.64</f>
        <v>92613.64</v>
      </c>
      <c r="T526" s="32" t="n">
        <f>157495</f>
        <v>157495.0</v>
      </c>
      <c r="U526" s="32" t="n">
        <f>38949</f>
        <v>38949.0</v>
      </c>
      <c r="V526" s="32" t="n">
        <f>14596381297</f>
        <v>1.4596381297E10</v>
      </c>
      <c r="W526" s="32" t="n">
        <f>3613561197</f>
        <v>3.613561197E9</v>
      </c>
      <c r="X526" s="36" t="n">
        <f>22</f>
        <v>22.0</v>
      </c>
    </row>
    <row r="527">
      <c r="A527" s="27" t="s">
        <v>42</v>
      </c>
      <c r="B527" s="27" t="s">
        <v>1631</v>
      </c>
      <c r="C527" s="27" t="s">
        <v>1632</v>
      </c>
      <c r="D527" s="27" t="s">
        <v>1633</v>
      </c>
      <c r="E527" s="28" t="s">
        <v>46</v>
      </c>
      <c r="F527" s="29" t="s">
        <v>46</v>
      </c>
      <c r="G527" s="30" t="s">
        <v>46</v>
      </c>
      <c r="H527" s="31"/>
      <c r="I527" s="31" t="s">
        <v>47</v>
      </c>
      <c r="J527" s="32" t="n">
        <v>1.0</v>
      </c>
      <c r="K527" s="33" t="n">
        <f>170600</f>
        <v>170600.0</v>
      </c>
      <c r="L527" s="34" t="s">
        <v>48</v>
      </c>
      <c r="M527" s="33" t="n">
        <f>174600</f>
        <v>174600.0</v>
      </c>
      <c r="N527" s="34" t="s">
        <v>203</v>
      </c>
      <c r="O527" s="33" t="n">
        <f>167200</f>
        <v>167200.0</v>
      </c>
      <c r="P527" s="34" t="s">
        <v>104</v>
      </c>
      <c r="Q527" s="33" t="n">
        <f>172400</f>
        <v>172400.0</v>
      </c>
      <c r="R527" s="34" t="s">
        <v>51</v>
      </c>
      <c r="S527" s="35" t="n">
        <f>170318.18</f>
        <v>170318.18</v>
      </c>
      <c r="T527" s="32" t="n">
        <f>45386</f>
        <v>45386.0</v>
      </c>
      <c r="U527" s="32" t="n">
        <f>10877</f>
        <v>10877.0</v>
      </c>
      <c r="V527" s="32" t="n">
        <f>7738967843</f>
        <v>7.738967843E9</v>
      </c>
      <c r="W527" s="32" t="n">
        <f>1854941543</f>
        <v>1.854941543E9</v>
      </c>
      <c r="X527" s="36" t="n">
        <f>22</f>
        <v>22.0</v>
      </c>
    </row>
    <row r="528">
      <c r="A528" s="27" t="s">
        <v>42</v>
      </c>
      <c r="B528" s="27" t="s">
        <v>1634</v>
      </c>
      <c r="C528" s="27" t="s">
        <v>1635</v>
      </c>
      <c r="D528" s="27" t="s">
        <v>1636</v>
      </c>
      <c r="E528" s="28" t="s">
        <v>46</v>
      </c>
      <c r="F528" s="29" t="s">
        <v>46</v>
      </c>
      <c r="G528" s="30" t="s">
        <v>46</v>
      </c>
      <c r="H528" s="31"/>
      <c r="I528" s="31" t="s">
        <v>47</v>
      </c>
      <c r="J528" s="32" t="n">
        <v>1.0</v>
      </c>
      <c r="K528" s="33" t="n">
        <f>158900</f>
        <v>158900.0</v>
      </c>
      <c r="L528" s="34" t="s">
        <v>48</v>
      </c>
      <c r="M528" s="33" t="n">
        <f>158900</f>
        <v>158900.0</v>
      </c>
      <c r="N528" s="34" t="s">
        <v>48</v>
      </c>
      <c r="O528" s="33" t="n">
        <f>149900</f>
        <v>149900.0</v>
      </c>
      <c r="P528" s="34" t="s">
        <v>49</v>
      </c>
      <c r="Q528" s="33" t="n">
        <f>154900</f>
        <v>154900.0</v>
      </c>
      <c r="R528" s="34" t="s">
        <v>51</v>
      </c>
      <c r="S528" s="35" t="n">
        <f>154822.73</f>
        <v>154822.73</v>
      </c>
      <c r="T528" s="32" t="n">
        <f>402576</f>
        <v>402576.0</v>
      </c>
      <c r="U528" s="32" t="n">
        <f>98518</f>
        <v>98518.0</v>
      </c>
      <c r="V528" s="32" t="n">
        <f>62234154452</f>
        <v>6.2234154452E10</v>
      </c>
      <c r="W528" s="32" t="n">
        <f>15206035152</f>
        <v>1.5206035152E10</v>
      </c>
      <c r="X528" s="36" t="n">
        <f>22</f>
        <v>22.0</v>
      </c>
    </row>
    <row r="529">
      <c r="A529" s="27" t="s">
        <v>42</v>
      </c>
      <c r="B529" s="27" t="s">
        <v>1637</v>
      </c>
      <c r="C529" s="27" t="s">
        <v>1638</v>
      </c>
      <c r="D529" s="27" t="s">
        <v>1639</v>
      </c>
      <c r="E529" s="28" t="s">
        <v>46</v>
      </c>
      <c r="F529" s="29" t="s">
        <v>46</v>
      </c>
      <c r="G529" s="30" t="s">
        <v>46</v>
      </c>
      <c r="H529" s="31"/>
      <c r="I529" s="31" t="s">
        <v>47</v>
      </c>
      <c r="J529" s="32" t="n">
        <v>1.0</v>
      </c>
      <c r="K529" s="33" t="n">
        <f>86600</f>
        <v>86600.0</v>
      </c>
      <c r="L529" s="34" t="s">
        <v>48</v>
      </c>
      <c r="M529" s="33" t="n">
        <f>98100</f>
        <v>98100.0</v>
      </c>
      <c r="N529" s="34" t="s">
        <v>50</v>
      </c>
      <c r="O529" s="33" t="n">
        <f>83200</f>
        <v>83200.0</v>
      </c>
      <c r="P529" s="34" t="s">
        <v>104</v>
      </c>
      <c r="Q529" s="33" t="n">
        <f>93100</f>
        <v>93100.0</v>
      </c>
      <c r="R529" s="34" t="s">
        <v>51</v>
      </c>
      <c r="S529" s="35" t="n">
        <f>89227.27</f>
        <v>89227.27</v>
      </c>
      <c r="T529" s="32" t="n">
        <f>125484</f>
        <v>125484.0</v>
      </c>
      <c r="U529" s="32" t="n">
        <f>29403</f>
        <v>29403.0</v>
      </c>
      <c r="V529" s="32" t="n">
        <f>11363791874</f>
        <v>1.1363791874E10</v>
      </c>
      <c r="W529" s="32" t="n">
        <f>2661028574</f>
        <v>2.661028574E9</v>
      </c>
      <c r="X529" s="36" t="n">
        <f>22</f>
        <v>22.0</v>
      </c>
    </row>
    <row r="530">
      <c r="A530" s="27" t="s">
        <v>42</v>
      </c>
      <c r="B530" s="27" t="s">
        <v>1640</v>
      </c>
      <c r="C530" s="27" t="s">
        <v>1641</v>
      </c>
      <c r="D530" s="27" t="s">
        <v>1642</v>
      </c>
      <c r="E530" s="28" t="s">
        <v>46</v>
      </c>
      <c r="F530" s="29" t="s">
        <v>46</v>
      </c>
      <c r="G530" s="30" t="s">
        <v>46</v>
      </c>
      <c r="H530" s="31"/>
      <c r="I530" s="31" t="s">
        <v>47</v>
      </c>
      <c r="J530" s="32" t="n">
        <v>1.0</v>
      </c>
      <c r="K530" s="33" t="n">
        <f>319500</f>
        <v>319500.0</v>
      </c>
      <c r="L530" s="34" t="s">
        <v>48</v>
      </c>
      <c r="M530" s="33" t="n">
        <f>332000</f>
        <v>332000.0</v>
      </c>
      <c r="N530" s="34" t="s">
        <v>51</v>
      </c>
      <c r="O530" s="33" t="n">
        <f>308500</f>
        <v>308500.0</v>
      </c>
      <c r="P530" s="34" t="s">
        <v>104</v>
      </c>
      <c r="Q530" s="33" t="n">
        <f>327000</f>
        <v>327000.0</v>
      </c>
      <c r="R530" s="34" t="s">
        <v>51</v>
      </c>
      <c r="S530" s="35" t="n">
        <f>319295.45</f>
        <v>319295.45</v>
      </c>
      <c r="T530" s="32" t="n">
        <f>49936</f>
        <v>49936.0</v>
      </c>
      <c r="U530" s="32" t="n">
        <f>9829</f>
        <v>9829.0</v>
      </c>
      <c r="V530" s="32" t="n">
        <f>15948086918</f>
        <v>1.5948086918E10</v>
      </c>
      <c r="W530" s="32" t="n">
        <f>3148961918</f>
        <v>3.148961918E9</v>
      </c>
      <c r="X530" s="36" t="n">
        <f>22</f>
        <v>22.0</v>
      </c>
    </row>
    <row r="531">
      <c r="A531" s="27" t="s">
        <v>42</v>
      </c>
      <c r="B531" s="27" t="s">
        <v>1643</v>
      </c>
      <c r="C531" s="27" t="s">
        <v>1644</v>
      </c>
      <c r="D531" s="27" t="s">
        <v>1645</v>
      </c>
      <c r="E531" s="28" t="s">
        <v>46</v>
      </c>
      <c r="F531" s="29" t="s">
        <v>46</v>
      </c>
      <c r="G531" s="30" t="s">
        <v>46</v>
      </c>
      <c r="H531" s="31"/>
      <c r="I531" s="31" t="s">
        <v>47</v>
      </c>
      <c r="J531" s="32" t="n">
        <v>1.0</v>
      </c>
      <c r="K531" s="33" t="n">
        <f>143500</f>
        <v>143500.0</v>
      </c>
      <c r="L531" s="34" t="s">
        <v>48</v>
      </c>
      <c r="M531" s="33" t="n">
        <f>143700</f>
        <v>143700.0</v>
      </c>
      <c r="N531" s="34" t="s">
        <v>48</v>
      </c>
      <c r="O531" s="33" t="n">
        <f>134000</f>
        <v>134000.0</v>
      </c>
      <c r="P531" s="34" t="s">
        <v>61</v>
      </c>
      <c r="Q531" s="33" t="n">
        <f>138800</f>
        <v>138800.0</v>
      </c>
      <c r="R531" s="34" t="s">
        <v>51</v>
      </c>
      <c r="S531" s="35" t="n">
        <f>137677.27</f>
        <v>137677.27</v>
      </c>
      <c r="T531" s="32" t="n">
        <f>48895</f>
        <v>48895.0</v>
      </c>
      <c r="U531" s="32" t="n">
        <f>10210</f>
        <v>10210.0</v>
      </c>
      <c r="V531" s="32" t="n">
        <f>6749301984</f>
        <v>6.749301984E9</v>
      </c>
      <c r="W531" s="32" t="n">
        <f>1408234684</f>
        <v>1.408234684E9</v>
      </c>
      <c r="X531" s="36" t="n">
        <f>22</f>
        <v>22.0</v>
      </c>
    </row>
    <row r="532">
      <c r="A532" s="27" t="s">
        <v>42</v>
      </c>
      <c r="B532" s="27" t="s">
        <v>1646</v>
      </c>
      <c r="C532" s="27" t="s">
        <v>1647</v>
      </c>
      <c r="D532" s="27" t="s">
        <v>1648</v>
      </c>
      <c r="E532" s="28" t="s">
        <v>46</v>
      </c>
      <c r="F532" s="29" t="s">
        <v>46</v>
      </c>
      <c r="G532" s="30" t="s">
        <v>46</v>
      </c>
      <c r="H532" s="31"/>
      <c r="I532" s="31" t="s">
        <v>418</v>
      </c>
      <c r="J532" s="32" t="n">
        <v>1.0</v>
      </c>
      <c r="K532" s="33" t="n">
        <f>187700</f>
        <v>187700.0</v>
      </c>
      <c r="L532" s="34" t="s">
        <v>48</v>
      </c>
      <c r="M532" s="33" t="n">
        <f>191600</f>
        <v>191600.0</v>
      </c>
      <c r="N532" s="34" t="s">
        <v>72</v>
      </c>
      <c r="O532" s="33" t="n">
        <f>179000</f>
        <v>179000.0</v>
      </c>
      <c r="P532" s="34" t="s">
        <v>210</v>
      </c>
      <c r="Q532" s="33" t="n">
        <f>188700</f>
        <v>188700.0</v>
      </c>
      <c r="R532" s="34" t="s">
        <v>51</v>
      </c>
      <c r="S532" s="35" t="n">
        <f>183186.36</f>
        <v>183186.36</v>
      </c>
      <c r="T532" s="32" t="n">
        <f>18283</f>
        <v>18283.0</v>
      </c>
      <c r="U532" s="32" t="n">
        <f>2707</f>
        <v>2707.0</v>
      </c>
      <c r="V532" s="32" t="n">
        <f>3357777906</f>
        <v>3.357777906E9</v>
      </c>
      <c r="W532" s="32" t="n">
        <f>498333906</f>
        <v>4.98333906E8</v>
      </c>
      <c r="X532" s="36" t="n">
        <f>22</f>
        <v>22.0</v>
      </c>
    </row>
    <row r="533">
      <c r="A533" s="27" t="s">
        <v>42</v>
      </c>
      <c r="B533" s="27" t="s">
        <v>1649</v>
      </c>
      <c r="C533" s="27" t="s">
        <v>1650</v>
      </c>
      <c r="D533" s="27" t="s">
        <v>1651</v>
      </c>
      <c r="E533" s="28" t="s">
        <v>46</v>
      </c>
      <c r="F533" s="29" t="s">
        <v>46</v>
      </c>
      <c r="G533" s="30" t="s">
        <v>46</v>
      </c>
      <c r="H533" s="31"/>
      <c r="I533" s="31" t="s">
        <v>47</v>
      </c>
      <c r="J533" s="32" t="n">
        <v>1.0</v>
      </c>
      <c r="K533" s="33" t="n">
        <f>120300</f>
        <v>120300.0</v>
      </c>
      <c r="L533" s="34" t="s">
        <v>48</v>
      </c>
      <c r="M533" s="33" t="n">
        <f>122400</f>
        <v>122400.0</v>
      </c>
      <c r="N533" s="34" t="s">
        <v>72</v>
      </c>
      <c r="O533" s="33" t="n">
        <f>116600</f>
        <v>116600.0</v>
      </c>
      <c r="P533" s="34" t="s">
        <v>158</v>
      </c>
      <c r="Q533" s="33" t="n">
        <f>120500</f>
        <v>120500.0</v>
      </c>
      <c r="R533" s="34" t="s">
        <v>51</v>
      </c>
      <c r="S533" s="35" t="n">
        <f>119031.82</f>
        <v>119031.82</v>
      </c>
      <c r="T533" s="32" t="n">
        <f>254358</f>
        <v>254358.0</v>
      </c>
      <c r="U533" s="32" t="n">
        <f>59532</f>
        <v>59532.0</v>
      </c>
      <c r="V533" s="32" t="n">
        <f>30273569524</f>
        <v>3.0273569524E10</v>
      </c>
      <c r="W533" s="32" t="n">
        <f>7097601124</f>
        <v>7.097601124E9</v>
      </c>
      <c r="X533" s="36" t="n">
        <f>22</f>
        <v>22.0</v>
      </c>
    </row>
    <row r="534">
      <c r="A534" s="27" t="s">
        <v>42</v>
      </c>
      <c r="B534" s="27" t="s">
        <v>1652</v>
      </c>
      <c r="C534" s="27" t="s">
        <v>1653</v>
      </c>
      <c r="D534" s="27" t="s">
        <v>1654</v>
      </c>
      <c r="E534" s="28" t="s">
        <v>46</v>
      </c>
      <c r="F534" s="29" t="s">
        <v>46</v>
      </c>
      <c r="G534" s="30" t="s">
        <v>46</v>
      </c>
      <c r="H534" s="31"/>
      <c r="I534" s="31" t="s">
        <v>47</v>
      </c>
      <c r="J534" s="32" t="n">
        <v>1.0</v>
      </c>
      <c r="K534" s="33" t="n">
        <f>77300</f>
        <v>77300.0</v>
      </c>
      <c r="L534" s="34" t="s">
        <v>48</v>
      </c>
      <c r="M534" s="33" t="n">
        <f>80300</f>
        <v>80300.0</v>
      </c>
      <c r="N534" s="34" t="s">
        <v>51</v>
      </c>
      <c r="O534" s="33" t="n">
        <f>74300</f>
        <v>74300.0</v>
      </c>
      <c r="P534" s="34" t="s">
        <v>158</v>
      </c>
      <c r="Q534" s="33" t="n">
        <f>79300</f>
        <v>79300.0</v>
      </c>
      <c r="R534" s="34" t="s">
        <v>51</v>
      </c>
      <c r="S534" s="35" t="n">
        <f>76931.82</f>
        <v>76931.82</v>
      </c>
      <c r="T534" s="32" t="n">
        <f>602257</f>
        <v>602257.0</v>
      </c>
      <c r="U534" s="32" t="n">
        <f>121065</f>
        <v>121065.0</v>
      </c>
      <c r="V534" s="32" t="n">
        <f>46482291199</f>
        <v>4.6482291199E10</v>
      </c>
      <c r="W534" s="32" t="n">
        <f>9351697799</f>
        <v>9.351697799E9</v>
      </c>
      <c r="X534" s="36" t="n">
        <f>22</f>
        <v>22.0</v>
      </c>
    </row>
    <row r="535">
      <c r="A535" s="27" t="s">
        <v>42</v>
      </c>
      <c r="B535" s="27" t="s">
        <v>1655</v>
      </c>
      <c r="C535" s="27" t="s">
        <v>1656</v>
      </c>
      <c r="D535" s="27" t="s">
        <v>1657</v>
      </c>
      <c r="E535" s="28" t="s">
        <v>46</v>
      </c>
      <c r="F535" s="29" t="s">
        <v>46</v>
      </c>
      <c r="G535" s="30" t="s">
        <v>46</v>
      </c>
      <c r="H535" s="31"/>
      <c r="I535" s="31" t="s">
        <v>47</v>
      </c>
      <c r="J535" s="32" t="n">
        <v>1.0</v>
      </c>
      <c r="K535" s="33" t="n">
        <f>101000</f>
        <v>101000.0</v>
      </c>
      <c r="L535" s="34" t="s">
        <v>48</v>
      </c>
      <c r="M535" s="33" t="n">
        <f>101500</f>
        <v>101500.0</v>
      </c>
      <c r="N535" s="34" t="s">
        <v>203</v>
      </c>
      <c r="O535" s="33" t="n">
        <f>96600</f>
        <v>96600.0</v>
      </c>
      <c r="P535" s="34" t="s">
        <v>158</v>
      </c>
      <c r="Q535" s="33" t="n">
        <f>99500</f>
        <v>99500.0</v>
      </c>
      <c r="R535" s="34" t="s">
        <v>51</v>
      </c>
      <c r="S535" s="35" t="n">
        <f>98859.09</f>
        <v>98859.09</v>
      </c>
      <c r="T535" s="32" t="n">
        <f>140210</f>
        <v>140210.0</v>
      </c>
      <c r="U535" s="32" t="n">
        <f>31610</f>
        <v>31610.0</v>
      </c>
      <c r="V535" s="32" t="n">
        <f>13891927268</f>
        <v>1.3891927268E10</v>
      </c>
      <c r="W535" s="32" t="n">
        <f>3133147968</f>
        <v>3.133147968E9</v>
      </c>
      <c r="X535" s="36" t="n">
        <f>22</f>
        <v>22.0</v>
      </c>
    </row>
    <row r="536">
      <c r="A536" s="27" t="s">
        <v>42</v>
      </c>
      <c r="B536" s="27" t="s">
        <v>1658</v>
      </c>
      <c r="C536" s="27" t="s">
        <v>1659</v>
      </c>
      <c r="D536" s="27" t="s">
        <v>1660</v>
      </c>
      <c r="E536" s="28" t="s">
        <v>46</v>
      </c>
      <c r="F536" s="29" t="s">
        <v>46</v>
      </c>
      <c r="G536" s="30" t="s">
        <v>46</v>
      </c>
      <c r="H536" s="31"/>
      <c r="I536" s="31" t="s">
        <v>47</v>
      </c>
      <c r="J536" s="32" t="n">
        <v>1.0</v>
      </c>
      <c r="K536" s="33" t="n">
        <f>141000</f>
        <v>141000.0</v>
      </c>
      <c r="L536" s="34" t="s">
        <v>48</v>
      </c>
      <c r="M536" s="33" t="n">
        <f>141000</f>
        <v>141000.0</v>
      </c>
      <c r="N536" s="34" t="s">
        <v>48</v>
      </c>
      <c r="O536" s="33" t="n">
        <f>134300</f>
        <v>134300.0</v>
      </c>
      <c r="P536" s="34" t="s">
        <v>62</v>
      </c>
      <c r="Q536" s="33" t="n">
        <f>137000</f>
        <v>137000.0</v>
      </c>
      <c r="R536" s="34" t="s">
        <v>51</v>
      </c>
      <c r="S536" s="35" t="n">
        <f>137131.82</f>
        <v>137131.82</v>
      </c>
      <c r="T536" s="32" t="n">
        <f>85831</f>
        <v>85831.0</v>
      </c>
      <c r="U536" s="32" t="n">
        <f>23638</f>
        <v>23638.0</v>
      </c>
      <c r="V536" s="32" t="n">
        <f>11782213146</f>
        <v>1.1782213146E10</v>
      </c>
      <c r="W536" s="32" t="n">
        <f>3241874746</f>
        <v>3.241874746E9</v>
      </c>
      <c r="X536" s="36" t="n">
        <f>22</f>
        <v>22.0</v>
      </c>
    </row>
    <row r="537">
      <c r="A537" s="27" t="s">
        <v>42</v>
      </c>
      <c r="B537" s="27" t="s">
        <v>1661</v>
      </c>
      <c r="C537" s="27" t="s">
        <v>1662</v>
      </c>
      <c r="D537" s="27" t="s">
        <v>1663</v>
      </c>
      <c r="E537" s="28" t="s">
        <v>46</v>
      </c>
      <c r="F537" s="29" t="s">
        <v>46</v>
      </c>
      <c r="G537" s="30" t="s">
        <v>46</v>
      </c>
      <c r="H537" s="31"/>
      <c r="I537" s="31" t="s">
        <v>418</v>
      </c>
      <c r="J537" s="32" t="n">
        <v>1.0</v>
      </c>
      <c r="K537" s="33" t="n">
        <f>57300</f>
        <v>57300.0</v>
      </c>
      <c r="L537" s="34" t="s">
        <v>48</v>
      </c>
      <c r="M537" s="33" t="n">
        <f>57700</f>
        <v>57700.0</v>
      </c>
      <c r="N537" s="34" t="s">
        <v>48</v>
      </c>
      <c r="O537" s="33" t="n">
        <f>48100</f>
        <v>48100.0</v>
      </c>
      <c r="P537" s="34" t="s">
        <v>51</v>
      </c>
      <c r="Q537" s="33" t="n">
        <f>48550</f>
        <v>48550.0</v>
      </c>
      <c r="R537" s="34" t="s">
        <v>51</v>
      </c>
      <c r="S537" s="35" t="n">
        <f>55727.27</f>
        <v>55727.27</v>
      </c>
      <c r="T537" s="32" t="n">
        <f>8402</f>
        <v>8402.0</v>
      </c>
      <c r="U537" s="32" t="n">
        <f>74</f>
        <v>74.0</v>
      </c>
      <c r="V537" s="32" t="n">
        <f>451601250</f>
        <v>4.5160125E8</v>
      </c>
      <c r="W537" s="32" t="n">
        <f>4107000</f>
        <v>4107000.0</v>
      </c>
      <c r="X537" s="36" t="n">
        <f>22</f>
        <v>22.0</v>
      </c>
    </row>
    <row r="538">
      <c r="A538" s="27" t="s">
        <v>42</v>
      </c>
      <c r="B538" s="27" t="s">
        <v>1664</v>
      </c>
      <c r="C538" s="27" t="s">
        <v>1665</v>
      </c>
      <c r="D538" s="27" t="s">
        <v>1666</v>
      </c>
      <c r="E538" s="28" t="s">
        <v>46</v>
      </c>
      <c r="F538" s="29" t="s">
        <v>46</v>
      </c>
      <c r="G538" s="30" t="s">
        <v>46</v>
      </c>
      <c r="H538" s="31"/>
      <c r="I538" s="31" t="s">
        <v>418</v>
      </c>
      <c r="J538" s="32" t="n">
        <v>1.0</v>
      </c>
      <c r="K538" s="33" t="n">
        <f>88400</f>
        <v>88400.0</v>
      </c>
      <c r="L538" s="34" t="s">
        <v>48</v>
      </c>
      <c r="M538" s="33" t="n">
        <f>88400</f>
        <v>88400.0</v>
      </c>
      <c r="N538" s="34" t="s">
        <v>48</v>
      </c>
      <c r="O538" s="33" t="n">
        <f>81000</f>
        <v>81000.0</v>
      </c>
      <c r="P538" s="34" t="s">
        <v>51</v>
      </c>
      <c r="Q538" s="33" t="n">
        <f>81400</f>
        <v>81400.0</v>
      </c>
      <c r="R538" s="34" t="s">
        <v>51</v>
      </c>
      <c r="S538" s="35" t="n">
        <f>85886.36</f>
        <v>85886.36</v>
      </c>
      <c r="T538" s="32" t="n">
        <f>30934</f>
        <v>30934.0</v>
      </c>
      <c r="U538" s="32" t="n">
        <f>366</f>
        <v>366.0</v>
      </c>
      <c r="V538" s="32" t="n">
        <f>2635323003</f>
        <v>2.635323003E9</v>
      </c>
      <c r="W538" s="32" t="n">
        <f>31315403</f>
        <v>3.1315403E7</v>
      </c>
      <c r="X538" s="36" t="n">
        <f>22</f>
        <v>22.0</v>
      </c>
    </row>
    <row r="539">
      <c r="A539" s="27" t="s">
        <v>42</v>
      </c>
      <c r="B539" s="27" t="s">
        <v>1667</v>
      </c>
      <c r="C539" s="27" t="s">
        <v>1668</v>
      </c>
      <c r="D539" s="27" t="s">
        <v>1669</v>
      </c>
      <c r="E539" s="28" t="s">
        <v>46</v>
      </c>
      <c r="F539" s="29" t="s">
        <v>46</v>
      </c>
      <c r="G539" s="30" t="s">
        <v>46</v>
      </c>
      <c r="H539" s="31"/>
      <c r="I539" s="31" t="s">
        <v>418</v>
      </c>
      <c r="J539" s="32" t="n">
        <v>1.0</v>
      </c>
      <c r="K539" s="33" t="n">
        <f>48950</f>
        <v>48950.0</v>
      </c>
      <c r="L539" s="34" t="s">
        <v>48</v>
      </c>
      <c r="M539" s="33" t="n">
        <f>49400</f>
        <v>49400.0</v>
      </c>
      <c r="N539" s="34" t="s">
        <v>375</v>
      </c>
      <c r="O539" s="33" t="n">
        <f>44550</f>
        <v>44550.0</v>
      </c>
      <c r="P539" s="34" t="s">
        <v>51</v>
      </c>
      <c r="Q539" s="33" t="n">
        <f>44900</f>
        <v>44900.0</v>
      </c>
      <c r="R539" s="34" t="s">
        <v>51</v>
      </c>
      <c r="S539" s="35" t="n">
        <f>47968.18</f>
        <v>47968.18</v>
      </c>
      <c r="T539" s="32" t="n">
        <f>8618</f>
        <v>8618.0</v>
      </c>
      <c r="U539" s="32" t="str">
        <f>"－"</f>
        <v>－</v>
      </c>
      <c r="V539" s="32" t="n">
        <f>407166650</f>
        <v>4.0716665E8</v>
      </c>
      <c r="W539" s="32" t="str">
        <f>"－"</f>
        <v>－</v>
      </c>
      <c r="X539" s="36" t="n">
        <f>22</f>
        <v>22.0</v>
      </c>
    </row>
    <row r="540">
      <c r="A540" s="27" t="s">
        <v>42</v>
      </c>
      <c r="B540" s="27" t="s">
        <v>1670</v>
      </c>
      <c r="C540" s="27" t="s">
        <v>1671</v>
      </c>
      <c r="D540" s="27" t="s">
        <v>1672</v>
      </c>
      <c r="E540" s="28" t="s">
        <v>46</v>
      </c>
      <c r="F540" s="29" t="s">
        <v>46</v>
      </c>
      <c r="G540" s="30" t="s">
        <v>46</v>
      </c>
      <c r="H540" s="31"/>
      <c r="I540" s="31" t="s">
        <v>47</v>
      </c>
      <c r="J540" s="32" t="n">
        <v>1.0</v>
      </c>
      <c r="K540" s="33" t="n">
        <f>55400</f>
        <v>55400.0</v>
      </c>
      <c r="L540" s="34" t="s">
        <v>48</v>
      </c>
      <c r="M540" s="33" t="n">
        <f>55400</f>
        <v>55400.0</v>
      </c>
      <c r="N540" s="34" t="s">
        <v>48</v>
      </c>
      <c r="O540" s="33" t="n">
        <f>52300</f>
        <v>52300.0</v>
      </c>
      <c r="P540" s="34" t="s">
        <v>49</v>
      </c>
      <c r="Q540" s="33" t="n">
        <f>53900</f>
        <v>53900.0</v>
      </c>
      <c r="R540" s="34" t="s">
        <v>51</v>
      </c>
      <c r="S540" s="35" t="n">
        <f>53831.82</f>
        <v>53831.82</v>
      </c>
      <c r="T540" s="32" t="n">
        <f>30223</f>
        <v>30223.0</v>
      </c>
      <c r="U540" s="32" t="n">
        <f>584</f>
        <v>584.0</v>
      </c>
      <c r="V540" s="32" t="n">
        <f>1631197309</f>
        <v>1.631197309E9</v>
      </c>
      <c r="W540" s="32" t="n">
        <f>31572609</f>
        <v>3.1572609E7</v>
      </c>
      <c r="X540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