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2330"/>
  </bookViews>
  <sheets>
    <sheet name="BO_EM0004" sheetId="1" r:id="rId1"/>
  </sheets>
  <definedNames>
    <definedName name="_xlnm.Print_Titles" localSheetId="0">BO_EM0004!$1:$6</definedName>
  </definedNames>
  <calcPr calcId="145621"/>
</workbook>
</file>

<file path=xl/sharedStrings.xml><?xml version="1.0" encoding="utf-8"?>
<sst xmlns="http://schemas.openxmlformats.org/spreadsheetml/2006/main" count="6547" uniqueCount="1696">
  <si>
    <t>(注) 1.信用：制度信用銘柄                  　　　　　　　　　　 (Notes) 1."信用"：Issues eligible for Standardized margin transactions.
     2.貸借：制度信用銘柄及び貸借銘柄                                   2."貸借"：Issues eligible for Standardized margin transactions and loan transactions.
     3.審　：監理銘柄（審査中）　確　：監理銘柄（確認中）               3."審""確""監"：Securities Under Supervision(Examination/Confirmation).
       監　：監理銘柄（審査中・確認中）                                   "整"　　　　：Securities to be Delisted.
       整　：整理銘柄</t>
    <phoneticPr fontId="3"/>
  </si>
  <si>
    <t>投　信　等　相　場　表</t>
    <rPh sb="0" eb="1">
      <t>トウ</t>
    </rPh>
    <rPh sb="2" eb="3">
      <t>シン</t>
    </rPh>
    <rPh sb="4" eb="5">
      <t>トウ</t>
    </rPh>
    <rPh sb="6" eb="7">
      <t>ソウ</t>
    </rPh>
    <rPh sb="8" eb="9">
      <t>バ</t>
    </rPh>
    <rPh sb="10" eb="11">
      <t>ヒョウ</t>
    </rPh>
    <phoneticPr fontId="3"/>
  </si>
  <si>
    <t>Investment Trust Quotations</t>
    <phoneticPr fontId="3"/>
  </si>
  <si>
    <t>年月</t>
  </si>
  <si>
    <t>銘柄コード</t>
    <rPh sb="0" eb="2">
      <t>メイガラ</t>
    </rPh>
    <phoneticPr fontId="3"/>
  </si>
  <si>
    <t>銘柄名称</t>
    <rPh sb="0" eb="2">
      <t>メイガラ</t>
    </rPh>
    <rPh sb="2" eb="4">
      <t>メイショウ</t>
    </rPh>
    <phoneticPr fontId="3"/>
  </si>
  <si>
    <t>Issues</t>
  </si>
  <si>
    <t>銘柄属性</t>
    <phoneticPr fontId="3"/>
  </si>
  <si>
    <t>Attribute</t>
    <phoneticPr fontId="3"/>
  </si>
  <si>
    <t>日付</t>
    <rPh sb="0" eb="2">
      <t>ヒヅケ</t>
    </rPh>
    <phoneticPr fontId="3"/>
  </si>
  <si>
    <t>区分</t>
  </si>
  <si>
    <t>信用・貸借</t>
    <rPh sb="0" eb="2">
      <t>シンヨウ</t>
    </rPh>
    <rPh sb="3" eb="5">
      <t>タイシャク</t>
    </rPh>
    <phoneticPr fontId="3"/>
  </si>
  <si>
    <t>売買単位</t>
    <rPh sb="0" eb="2">
      <t>バイバイ</t>
    </rPh>
    <rPh sb="2" eb="4">
      <t>タンイ</t>
    </rPh>
    <phoneticPr fontId="3"/>
  </si>
  <si>
    <t>始値</t>
    <rPh sb="0" eb="2">
      <t>ハジメネ</t>
    </rPh>
    <phoneticPr fontId="3"/>
  </si>
  <si>
    <t>高値</t>
    <rPh sb="0" eb="1">
      <t>タカ</t>
    </rPh>
    <rPh sb="1" eb="2">
      <t>ネ</t>
    </rPh>
    <phoneticPr fontId="3"/>
  </si>
  <si>
    <t>安値</t>
    <rPh sb="0" eb="2">
      <t>ヤスネ</t>
    </rPh>
    <phoneticPr fontId="3"/>
  </si>
  <si>
    <t>終値</t>
    <rPh sb="0" eb="2">
      <t>オワリネ</t>
    </rPh>
    <phoneticPr fontId="3"/>
  </si>
  <si>
    <t>終値平均</t>
    <rPh sb="0" eb="2">
      <t>オワリネ</t>
    </rPh>
    <rPh sb="2" eb="4">
      <t>ヘイキン</t>
    </rPh>
    <phoneticPr fontId="3"/>
  </si>
  <si>
    <t>売買高</t>
    <rPh sb="0" eb="3">
      <t>バイバイダカ</t>
    </rPh>
    <phoneticPr fontId="3"/>
  </si>
  <si>
    <t>うちToSTNeT売買高</t>
  </si>
  <si>
    <t>売買代金</t>
    <rPh sb="0" eb="2">
      <t>バイバイ</t>
    </rPh>
    <rPh sb="2" eb="4">
      <t>ダイキン</t>
    </rPh>
    <phoneticPr fontId="3"/>
  </si>
  <si>
    <t>うちToSTNeT売買代金</t>
  </si>
  <si>
    <t>値付日数</t>
    <rPh sb="0" eb="2">
      <t>ネツ</t>
    </rPh>
    <rPh sb="2" eb="4">
      <t>ニッスウ</t>
    </rPh>
    <phoneticPr fontId="3"/>
  </si>
  <si>
    <t>Year/Month</t>
  </si>
  <si>
    <t>Code</t>
    <phoneticPr fontId="10"/>
  </si>
  <si>
    <t>Date</t>
    <phoneticPr fontId="3"/>
  </si>
  <si>
    <t>Sector</t>
  </si>
  <si>
    <t>margin/loan</t>
    <phoneticPr fontId="10"/>
  </si>
  <si>
    <t>Trading Unit</t>
    <phoneticPr fontId="3"/>
  </si>
  <si>
    <t>Open</t>
  </si>
  <si>
    <t>High</t>
    <phoneticPr fontId="3"/>
  </si>
  <si>
    <t>Low</t>
  </si>
  <si>
    <t>Close</t>
  </si>
  <si>
    <t>Average Closing Price</t>
    <phoneticPr fontId="10"/>
  </si>
  <si>
    <t>Trading Volume</t>
  </si>
  <si>
    <t>Trading Volume(ToSTNeT)</t>
    <phoneticPr fontId="10"/>
  </si>
  <si>
    <t>Trading Value</t>
  </si>
  <si>
    <t>Trading Value(ToSTNeT)</t>
    <phoneticPr fontId="10"/>
  </si>
  <si>
    <t>Days Traded</t>
    <phoneticPr fontId="3"/>
  </si>
  <si>
    <t>口(units）</t>
    <phoneticPr fontId="10"/>
  </si>
  <si>
    <t>円(￥)</t>
    <phoneticPr fontId="10"/>
  </si>
  <si>
    <t>口(units）</t>
  </si>
  <si>
    <t>2026/07</t>
  </si>
  <si>
    <t>1305</t>
  </si>
  <si>
    <t>ｉＦｒｅｅＥＴＦ　ＴＯＰＩＸ（年１回決算型）　受益証券</t>
  </si>
  <si>
    <t>iFreeETF TOPIX (Yearly Dividend Type)</t>
  </si>
  <si>
    <t/>
  </si>
  <si>
    <t>貸借</t>
  </si>
  <si>
    <t>1</t>
  </si>
  <si>
    <t>7</t>
  </si>
  <si>
    <t>17</t>
  </si>
  <si>
    <t>31</t>
  </si>
  <si>
    <t>1306</t>
  </si>
  <si>
    <t>ＮＥＸＴ　ＦＵＮＤＳ　ＴＯＰＩＸ連動型上場投信　受益証券</t>
  </si>
  <si>
    <t>NEXT FUNDS TOPIX Exchange Traded Fund</t>
  </si>
  <si>
    <t>1308</t>
  </si>
  <si>
    <t>上場インデックスファンドＴＯＰＩＸ　受益証券</t>
  </si>
  <si>
    <t>Listed Index Fund TOPIX</t>
  </si>
  <si>
    <t>6</t>
  </si>
  <si>
    <t>1309</t>
  </si>
  <si>
    <t>ＮＥＸＴ　ＦＵＮＤＳ　ＣｈｉｎａＡＭＣ・中国株式・上証５０連動型上場投信　受益証券</t>
  </si>
  <si>
    <t>NEXT FUNDS ChinaAMC SSE50 Index Exchange Traded Fund</t>
  </si>
  <si>
    <t>27</t>
  </si>
  <si>
    <t>1311</t>
  </si>
  <si>
    <t>ＮＥＸＴ　ＦＵＮＤＳ　ＴＯＰＩＸ　Ｃｏｒｅ　３０連動型上場投信　受益証券</t>
  </si>
  <si>
    <t>NEXT FUNDS TOPIX Core 30 Exchange Traded Fund</t>
  </si>
  <si>
    <t>1319</t>
  </si>
  <si>
    <t>ＮＥＸＴ　ＦＵＮＤＳ　日経３００株価指数連動型上場投信　受益証券</t>
  </si>
  <si>
    <t>NEXT FUNDS Nikkei 300 Index Exchange Traded Fund</t>
  </si>
  <si>
    <t>2</t>
  </si>
  <si>
    <t>9</t>
  </si>
  <si>
    <t>24</t>
  </si>
  <si>
    <t>1320</t>
  </si>
  <si>
    <t>ｉＦｒｅｅＥＴＦ　日経２２５（年１回決算型）　受益証券</t>
  </si>
  <si>
    <t>iFreeETF Nikkei225 (Yearly Dividend Type)</t>
  </si>
  <si>
    <t>29</t>
  </si>
  <si>
    <t>1321</t>
  </si>
  <si>
    <t>ＮＥＸＴ　ＦＵＮＤＳ　日経２２５連動型上場投信　受益証券</t>
  </si>
  <si>
    <t>NEXT FUNDS Nikkei 225 Exchange Traded Fund</t>
  </si>
  <si>
    <t>1322</t>
  </si>
  <si>
    <t>上場インデックスファンド中国Ａ株（パンダ）Ｅ　Ｆｕｎｄ　ＣＳＩ３００　受益証券</t>
  </si>
  <si>
    <t>Listed Index Fund China A Share (Panda) E Fund CSI300</t>
  </si>
  <si>
    <t>1325</t>
  </si>
  <si>
    <t>ＮＥＸＴ　ＦＵＮＤＳ　ブラジル株式指数・ボベスパ連動型上場投信　受益証券</t>
  </si>
  <si>
    <t>NEXT FUNDS Ibovespa Linked Exchange Traded Fund</t>
  </si>
  <si>
    <t>1326</t>
  </si>
  <si>
    <t>ＳＰＤＲゴールド・シェア　受益証券</t>
  </si>
  <si>
    <t>SPDR Gold Shares</t>
  </si>
  <si>
    <t>1328</t>
  </si>
  <si>
    <t>ＮＥＸＴ　ＦＵＮＤＳ　金価格連動型上場投信　受益証券</t>
  </si>
  <si>
    <t>NEXT FUNDS Gold Price Exchange Traded Fund</t>
  </si>
  <si>
    <t>1329</t>
  </si>
  <si>
    <t>ｉシェアーズ・コア　日経２２５　ＥＴＦ　受益証券</t>
  </si>
  <si>
    <t>iShares Core Nikkei 225 ETF</t>
  </si>
  <si>
    <t>1330</t>
  </si>
  <si>
    <t>上場インデックスファンド２２５　受益証券</t>
  </si>
  <si>
    <t>Listed Index Fund 225</t>
  </si>
  <si>
    <t>133A</t>
  </si>
  <si>
    <t>グローバルＸ　超短期米国債　ＥＴＦ　受益証券</t>
  </si>
  <si>
    <t>Global X Ultra Short-Term T-Bill ETF</t>
  </si>
  <si>
    <t>22</t>
  </si>
  <si>
    <t>1343</t>
  </si>
  <si>
    <t>ＮＥＸＴ　ＦＵＮＤＳ　東証ＲＥＩＴ　指数連動型上場投信　受益証券</t>
  </si>
  <si>
    <t>NEXT FUNDS REIT INDEX ETF</t>
  </si>
  <si>
    <t>1345</t>
  </si>
  <si>
    <t>上場インデックスファンドＪリート（東証ＲＥＩＴ指数）隔月分配型　受益証券</t>
  </si>
  <si>
    <t>Listed Index Fund J-REIT (Tokyo Stock Exchange REIT Index)Bi-Monthly Dividend Payment Type</t>
  </si>
  <si>
    <t>1346</t>
  </si>
  <si>
    <t>ＭＡＸＩＳ　日経２２５上場投信　受益証券</t>
  </si>
  <si>
    <t>MAXIS NIKKEI 225 ETF</t>
  </si>
  <si>
    <t>1348</t>
  </si>
  <si>
    <t>ＭＡＸＩＳ　トピックス上場投信　受益証券</t>
  </si>
  <si>
    <t>MAXIS TOPIX ETF</t>
  </si>
  <si>
    <t>1349</t>
  </si>
  <si>
    <t>ABF汎アジア債券インデックス・ファンド　受益証券</t>
  </si>
  <si>
    <t>ABF PAN ASIA BOND INDEX FUND</t>
  </si>
  <si>
    <t>21</t>
  </si>
  <si>
    <t>1356</t>
  </si>
  <si>
    <t>ＴＯＰＩＸベア２倍上場投信　受益証券</t>
  </si>
  <si>
    <t>TOPIX Bear -2x ETF</t>
  </si>
  <si>
    <t>1357</t>
  </si>
  <si>
    <t>ＮＥＸＴ　ＦＵＮＤＳ　日経平均ダブルインバース・インデックス連動型上場投信　受益証券</t>
  </si>
  <si>
    <t>NEXT FUNDS Nikkei 225 Double Inverse Index Exchange Traded Fund</t>
  </si>
  <si>
    <t>1358</t>
  </si>
  <si>
    <t>上場インデックスファンド日経レバレッジ指数　受益証券</t>
  </si>
  <si>
    <t>Listed Index Fund Nikkei Leveraged Index</t>
  </si>
  <si>
    <t>1360</t>
  </si>
  <si>
    <t>日経平均ベア２倍上場投信　受益証券</t>
  </si>
  <si>
    <t>Nikkei225 Bear -2x ETF</t>
  </si>
  <si>
    <t>1364</t>
  </si>
  <si>
    <t>ｉシェアーズ　ＪＰＸ日経４００　ＥＴＦ　受益証券</t>
  </si>
  <si>
    <t>iShares JPX-Nikkei 400 ETF</t>
  </si>
  <si>
    <t>1365</t>
  </si>
  <si>
    <t>ｉＦｒｅｅＥＴＦ　日経平均レバレッジ・インデックス　受益証券</t>
  </si>
  <si>
    <t>iFreeETF Nikkei225 Leveraged Index</t>
  </si>
  <si>
    <t>1366</t>
  </si>
  <si>
    <t>ｉＦｒｅｅＥＴＦ　日経平均ダブルインバース・インデックス　受益証券</t>
  </si>
  <si>
    <t>iFreeETF Nikkei225 Double Inverse Index</t>
  </si>
  <si>
    <t>1367</t>
  </si>
  <si>
    <t>ｉＦｒｅｅＥＴＦ　ＴＯＰＩＸレバレッジ（２倍）指数　受益証券</t>
  </si>
  <si>
    <t>iFreeETF TOPIX Leveraged (2x) Index</t>
  </si>
  <si>
    <t>1368</t>
  </si>
  <si>
    <t>ｉＦｒｅｅＥＴＦ　ＴＯＰＩＸダブルインバース（－２倍）指数　受益証券</t>
  </si>
  <si>
    <t>iFreeETF TOPIX Double Inverse (-2x) Index</t>
  </si>
  <si>
    <t>1369</t>
  </si>
  <si>
    <t>Ｏｎｅ　ＥＴＦ　日経２２５　受益証券</t>
  </si>
  <si>
    <t>One ETF Nikkei225</t>
  </si>
  <si>
    <t>1397</t>
  </si>
  <si>
    <t>ＳＭＤＡＭ　日経２２５上場投信　受益証券</t>
  </si>
  <si>
    <t>SMDAM NIKKEI225 ETF</t>
  </si>
  <si>
    <t>1398</t>
  </si>
  <si>
    <t>ＳＭＤＡＭ　東証ＲＥＩＴ指数上場投信　受益証券</t>
  </si>
  <si>
    <t>SMDAM REIT Index ETF</t>
  </si>
  <si>
    <t>1399</t>
  </si>
  <si>
    <t>上場インデックスファンドＭＳＣＩ日本株高配当低ボラティリティ　受益証券</t>
  </si>
  <si>
    <t>Listed Index Fund MSCI Japan Equity High Dividend Low Volatility</t>
  </si>
  <si>
    <t>28</t>
  </si>
  <si>
    <t>140A</t>
  </si>
  <si>
    <t>ｉＦｒｅｅＥＴＦ　米国１０年国債先物インバース　受益証券</t>
  </si>
  <si>
    <t>iFreeETF 10-Year U.S. Treasury Note Futures Inverse</t>
  </si>
  <si>
    <t>14</t>
  </si>
  <si>
    <t>1456</t>
  </si>
  <si>
    <t>ｉＦｒｅｅＥＴＦ　日経平均インバース・インデックス　受益証券</t>
  </si>
  <si>
    <t>iFreeETF Nikkei225 Inverse Index</t>
  </si>
  <si>
    <t>1457</t>
  </si>
  <si>
    <t>ｉＦｒｅｅＥＴＦ　ＴＯＰＩＸインバース（－１倍）指数　受益証券</t>
  </si>
  <si>
    <t>iFreeETF TOPIX Inverse (-1x) Index</t>
  </si>
  <si>
    <t>1458</t>
  </si>
  <si>
    <t>楽天ＥＴＦ‐日経レバレッジ指数連動型　受益証券</t>
  </si>
  <si>
    <t>Rakuten ETF - Nikkei 225 Leveraged Index</t>
  </si>
  <si>
    <t>1459</t>
  </si>
  <si>
    <t>楽天ＥＴＦ‐日経ダブルインバース指数連動型　受益証券</t>
  </si>
  <si>
    <t>Rakuten ETF - Nikkei 225 Double Inverse Index</t>
  </si>
  <si>
    <t>1466</t>
  </si>
  <si>
    <t>ｉＦｒｅｅＥＴＦ　ＪＰＸ日経４００ダブルインバース・インデックス　受益証券</t>
  </si>
  <si>
    <t>iFreeETF JPX-Nikkei400 Double Inverse (-2x) Index</t>
  </si>
  <si>
    <t>1469</t>
  </si>
  <si>
    <t>ＪＰＸ日経４００ベア２倍上場投信（ダブルインバース）　受益証券</t>
  </si>
  <si>
    <t>JPX-Nikkei 400 Bear -2x Double Inverse ETF</t>
  </si>
  <si>
    <t>1472</t>
  </si>
  <si>
    <t>ＮＥＸＴ　ＦＵＮＤＳ　ＪＰＸ日経４００ダブルインバース・インデックス連動型上場投信　受益証券</t>
  </si>
  <si>
    <t>NEXT FUNDS JPX-Nikkei 400 Double Inverse Index Exchange Traded Fund</t>
  </si>
  <si>
    <t>1473</t>
  </si>
  <si>
    <t>Ｏｎｅ　ＥＴＦ　トピックス　受益証券</t>
  </si>
  <si>
    <t>One ETF TOPIX</t>
  </si>
  <si>
    <t>1474</t>
  </si>
  <si>
    <t>Ｏｎｅ　ＥＴＦ　ＪＰＸ日経４００　受益証券</t>
  </si>
  <si>
    <t>One ETF JPX-Nikkei 400</t>
  </si>
  <si>
    <t>1475</t>
  </si>
  <si>
    <t>ｉシェアーズ・コア　ＴＯＰＩＸ　ＥＴＦ　受益証券</t>
  </si>
  <si>
    <t>iShares Core TOPIX ETF</t>
  </si>
  <si>
    <t>1476</t>
  </si>
  <si>
    <t>ｉシェアーズ・コア　Ｊリート　ＥＴＦ　受益証券</t>
  </si>
  <si>
    <t>iShares Core Japan REIT ETF</t>
  </si>
  <si>
    <t>1477</t>
  </si>
  <si>
    <t>ｉシェアーズ　ＭＳＣＩ　日本株最小分散　ＥＴＦ　受益証券</t>
  </si>
  <si>
    <t>iShares MSCI Japan Minimum Volatility (ex-REITs) ETF</t>
  </si>
  <si>
    <t>30</t>
  </si>
  <si>
    <t>1478</t>
  </si>
  <si>
    <t>ｉシェアーズ　ＭＳＣＩ　ジャパン高配当利回り　ＥＴＦ　受益証券</t>
  </si>
  <si>
    <t>iShares MSCI Japan High Dividend ETF</t>
  </si>
  <si>
    <t>1479</t>
  </si>
  <si>
    <t>ｉＦｒｅｅＥＴＦ　ＭＳＣＩ日本株人材設備投資指数　受益証券</t>
  </si>
  <si>
    <t>iFreeETF MSCI Japan Human and Physical Investment Index</t>
  </si>
  <si>
    <t>1480</t>
  </si>
  <si>
    <t>ＮＥＸＴ　ＦＵＮＤＳ　野村企業価値分配指数連動型上場投信　受益証券</t>
  </si>
  <si>
    <t>NEXT FUNDS Nomura Enterprise Value Allocation Index Exchange Traded Fund</t>
  </si>
  <si>
    <t>10</t>
  </si>
  <si>
    <t>1481</t>
  </si>
  <si>
    <t>上場インデックスファンド日本経済貢献株　受益証券</t>
  </si>
  <si>
    <t>Listed Index Fund Japanese Economy Contributor Stocks</t>
  </si>
  <si>
    <t>1482</t>
  </si>
  <si>
    <t>ｉシェアーズ・コア　米国債７－１０年　ＥＴＦ（為替ヘッジあり）　受益証券</t>
  </si>
  <si>
    <t>iShares Core 7-10 Year US Treasury Bond JPY Hedged ETF</t>
  </si>
  <si>
    <t>3</t>
  </si>
  <si>
    <t>1483</t>
  </si>
  <si>
    <t>ｉシェアーズ　ＪＰＸ／Ｓ＆Ｐ設備・人材投資　ＥＴＦ　受益証券</t>
  </si>
  <si>
    <t>iShares JPX/S&amp;P CAPEX &amp; Human Capital ETF</t>
  </si>
  <si>
    <t>1484</t>
  </si>
  <si>
    <t>Ｏｎｅ　ＥＴＦ　ＪＰＸ／Ｓ＆Ｐ　設備・人材投資指数　受益証券</t>
  </si>
  <si>
    <t>One ETF JPX/S&amp;P CAPEX &amp; Human Capital Index</t>
  </si>
  <si>
    <t>1485</t>
  </si>
  <si>
    <t>ＭＡＸＩＳ　ＪＡＰＡＮ　設備・人材積極投資企業２００上場投信　受益証券</t>
  </si>
  <si>
    <t>MAXIS JAPAN Proactive Investment in Physical and Human Capital 200 Index ETF</t>
  </si>
  <si>
    <t>8</t>
  </si>
  <si>
    <t>1486</t>
  </si>
  <si>
    <t>上場インデックスファンド米国債券（為替ヘッジなし）　受益証券</t>
  </si>
  <si>
    <t>Listed Index Fund US Bond (No Currency Hedge)</t>
  </si>
  <si>
    <t>1487</t>
  </si>
  <si>
    <t>上場インデックスファンド米国債券（為替ヘッジあり）　受益証券</t>
  </si>
  <si>
    <t>Listed Index Fund US Bond (Currency Hedge)</t>
  </si>
  <si>
    <t>1488</t>
  </si>
  <si>
    <t>ｉＦｒｅｅＥＴＦ　東証ＲＥＩＴ指数　受益証券</t>
  </si>
  <si>
    <t>iFreeETF Tokyo Stock Exchange REIT Index</t>
  </si>
  <si>
    <t>1489</t>
  </si>
  <si>
    <t>ＮＥＸＴ　ＦＵＮＤＳ　日経平均高配当株５０指数連動型上場投信　受益証券</t>
  </si>
  <si>
    <t>NEXT FUNDS Nikkei 225 High Dividend Yield Stock 50 Index Exchange Traded Fund</t>
  </si>
  <si>
    <t>1490</t>
  </si>
  <si>
    <t>上場インデックスファンドＭＳＣＩ日本株高配当低ボラティリティ（βヘッジ）　受益証券</t>
  </si>
  <si>
    <t>Listed Index Fund MSCI Japan Equity High Dividend Low Volatility (Beta Hedged)</t>
  </si>
  <si>
    <t>1493</t>
  </si>
  <si>
    <t>Ｏｎｅ　ＥＴＦ　ＪＰＸ日経中小型　受益証券</t>
  </si>
  <si>
    <t>One ETF JPX-Nikkei Mid Small</t>
  </si>
  <si>
    <t>1494</t>
  </si>
  <si>
    <t>Ｏｎｅ　ＥＴＦ　高配当日本株　受益証券</t>
  </si>
  <si>
    <t>One ETF High Dividend Japan Equity</t>
  </si>
  <si>
    <t>1495</t>
  </si>
  <si>
    <t>上場インデックスファンドアジアリート　受益証券</t>
  </si>
  <si>
    <t>Listed Index Fund Asian REIT</t>
  </si>
  <si>
    <t>16</t>
  </si>
  <si>
    <t>1496</t>
  </si>
  <si>
    <t>ｉシェアーズ　米ドル建て投資適格社債　ＥＴＦ（為替ヘッジあり）　受益証券</t>
  </si>
  <si>
    <t>iShares USD Investment Grade Corporate Bond JPY Hedged ETF</t>
  </si>
  <si>
    <t>1497</t>
  </si>
  <si>
    <t>ｉシェアーズ　米ドル建てハイイールド社債　ＥＴＦ（為替ヘッジあり）　受益証券</t>
  </si>
  <si>
    <t>iShares USD High Yield Corporate Bond JPY Hedged ETF</t>
  </si>
  <si>
    <t>1498</t>
  </si>
  <si>
    <t>Ｏｎｅ　ＥＴＦ　ＥＳＧ　受益証券</t>
  </si>
  <si>
    <t>One ETF ESG</t>
  </si>
  <si>
    <t>1499</t>
  </si>
  <si>
    <t>ＭＡＸＩＳ日本株高配当７０マーケットニュートラル上場投信　受益証券</t>
  </si>
  <si>
    <t>MAXIS Japan Equity High Dividend 70 Market Neutral ETF</t>
  </si>
  <si>
    <t>1540</t>
  </si>
  <si>
    <t>純金上場信託（現物国内保管型）　受益証券</t>
  </si>
  <si>
    <t>Japan Physical Gold ETF</t>
  </si>
  <si>
    <t>1541</t>
  </si>
  <si>
    <t>純プラチナ上場信託（現物国内保管型）　受益証券</t>
  </si>
  <si>
    <t>Japan Physical Platinum ETF</t>
  </si>
  <si>
    <t>1542</t>
  </si>
  <si>
    <t>純銀上場信託（現物国内保管型）　受益証券</t>
  </si>
  <si>
    <t>Japan Physical Silver ETF</t>
  </si>
  <si>
    <t>1543</t>
  </si>
  <si>
    <t>純パラジウム上場信託（現物国内保管型）　受益証券</t>
  </si>
  <si>
    <t>Japan Physical Palladium ETF</t>
  </si>
  <si>
    <t>15</t>
  </si>
  <si>
    <t>1545</t>
  </si>
  <si>
    <t>ＮＥＸＴ　ＦＵＮＤＳ　ＮＡＳＤＡＱ－１００（為替ヘッジなし）連動型上場投信　受益証券</t>
  </si>
  <si>
    <t>NEXT FUNDS NASDAQ-100(R) (Unhedged) Exchange Traded Fund</t>
  </si>
  <si>
    <t>1546</t>
  </si>
  <si>
    <t>ＮＥＸＴ　ＦＵＮＤＳ　ダウ・ジョーンズ工業株３０種平均株価（為替ヘッジなし）連動型上場投信　受益証券</t>
  </si>
  <si>
    <t>NEXT FUNDS DJIA (Unhedged) Exchange Traded Fund</t>
  </si>
  <si>
    <t>1547</t>
  </si>
  <si>
    <t>上場インデックスファンド米国株式（Ｓ＆Ｐ５００）　受益証券</t>
  </si>
  <si>
    <t>Listed Index Fund US Equity (S&amp;P500)</t>
  </si>
  <si>
    <t>1550</t>
  </si>
  <si>
    <t>ＭＡＸＩＳ　海外株式（ＭＳＣＩコクサイ）上場投信　受益証券</t>
  </si>
  <si>
    <t>MAXIS Global Equity (MSCI Kokusai) ETF</t>
  </si>
  <si>
    <t>1551</t>
  </si>
  <si>
    <t>東証スタンダードＴＯＰ２０ＥＴＦ　受益証券</t>
  </si>
  <si>
    <t>TSE Standard Top 20 ETF</t>
  </si>
  <si>
    <t>1554</t>
  </si>
  <si>
    <t>上場インデックスファンド世界株式（ＭＳＣＩ　ＡＣＷＩ）除く日本　受益証券</t>
  </si>
  <si>
    <t>Listed Index Fund World Equity (MSCI ACWI) ex Japan</t>
  </si>
  <si>
    <t>1555</t>
  </si>
  <si>
    <t>上場インデックスファンド豪州リート（Ｓ＆Ｐ／ＡＳＸ２００　Ａ－ＲＥＩＴ）　受益証券</t>
  </si>
  <si>
    <t>Listed Index Fund Australian REIT (S&amp;P/ASX200 A-REIT)</t>
  </si>
  <si>
    <t>1557</t>
  </si>
  <si>
    <t>ＳＰＤＲ　Ｓ＆Ｐ５００　ＥＴＦ　受益証券</t>
  </si>
  <si>
    <t>State Street SPDR S&amp;P 500 ETF Trust</t>
  </si>
  <si>
    <t>1559</t>
  </si>
  <si>
    <t>ＮＥＸＴ　ＦＵＮＤＳ　タイ株式ＳＥＴ５０指数連動型上場投信　受益証券</t>
  </si>
  <si>
    <t>NEXT FUNDS Thai Stock SET50 Exchange Traded Fund</t>
  </si>
  <si>
    <t>1560</t>
  </si>
  <si>
    <t>ＮＥＸＴ　ＦＵＮＤＳ　ＦＴＳＥブルサ・マレーシアＫＬＣＩ連動型上場投信　受益証券</t>
  </si>
  <si>
    <t>NEXT FUNDS FTSE Bursa Malaysia KLCI Exchange Traded Fund</t>
  </si>
  <si>
    <t>1563</t>
  </si>
  <si>
    <t>東証グロース・コアＥＴＦ　受益証券</t>
  </si>
  <si>
    <t>TSE Growth Core ETF</t>
  </si>
  <si>
    <t>1566</t>
  </si>
  <si>
    <t>上場インデックスファンド新興国債券　受益証券</t>
  </si>
  <si>
    <t>Listed Index Fund Emerging Bond</t>
  </si>
  <si>
    <t>1568</t>
  </si>
  <si>
    <t>ＴＯＰＩＸブル２倍上場投信　受益証券</t>
  </si>
  <si>
    <t>TOPIX Bull 2x ETF</t>
  </si>
  <si>
    <t>1569</t>
  </si>
  <si>
    <t>ＴＯＰＩＸベア上場投信　受益証券</t>
  </si>
  <si>
    <t>TOPIX Bear -1x ETF</t>
  </si>
  <si>
    <t>1570</t>
  </si>
  <si>
    <t>ＮＥＸＴ　ＦＵＮＤＳ　日経平均レバレッジ・インデックス連動型上場投信　受益証券</t>
  </si>
  <si>
    <t>NEXT FUNDS Nikkei 225 Leveraged Index Exchange Traded Fund</t>
  </si>
  <si>
    <t>1571</t>
  </si>
  <si>
    <t>ＮＥＸＴ　ＦＵＮＤＳ　日経平均インバース・インデックス連動型上場投信　受益証券</t>
  </si>
  <si>
    <t>NEXT FUNDS Nikkei 225 Inverse Index Exchange Traded Fund</t>
  </si>
  <si>
    <t>1572</t>
  </si>
  <si>
    <t>中国Ｈ株ブル２倍上場投信　受益証券</t>
  </si>
  <si>
    <t>China Bull 2x HSCEI ETF</t>
  </si>
  <si>
    <t>1573</t>
  </si>
  <si>
    <t>中国Ｈ株ベア上場投信　受益証券</t>
  </si>
  <si>
    <t>China Bear -1x HSCEI ETF</t>
  </si>
  <si>
    <t>1577</t>
  </si>
  <si>
    <t>ＮＥＸＴ　ＦＵＮＤＳ　野村日本株高配当７０連動型上場投信　受益証券</t>
  </si>
  <si>
    <t>NEXT FUNDS Nomura Japan Equity High Dividend 70 Exchange Traded Fund</t>
  </si>
  <si>
    <t>1578</t>
  </si>
  <si>
    <t>上場インデックスファンド日経２２５（ミニ）　受益証券</t>
  </si>
  <si>
    <t>Listed Index Fund Nikkei 225 (Mini)</t>
  </si>
  <si>
    <t>1579</t>
  </si>
  <si>
    <t>日経平均ブル２倍上場投信　受益証券</t>
  </si>
  <si>
    <t>Nikkei 225 Bull 2x ETF</t>
  </si>
  <si>
    <t>1580</t>
  </si>
  <si>
    <t>日経平均ベア上場投信　受益証券</t>
  </si>
  <si>
    <t>Nikkei 225 Bear -1x ETF</t>
  </si>
  <si>
    <t>1585</t>
  </si>
  <si>
    <t>ｉＦｒｅｅＥＴＦ　ＴＯＰＩＸ　Ｅｘ－Ｆｉｎａｎｃｉａｌｓ　受益証券</t>
  </si>
  <si>
    <t>iFreeETF TOPIX Ex-Financials</t>
  </si>
  <si>
    <t>1586</t>
  </si>
  <si>
    <t>上場インデックスファンドＴＯＰＩＸ　Ｅｘ－Ｆｉｎａｎｃｉａｌｓ　受益証券</t>
  </si>
  <si>
    <t>Listed Index Fund TOPIX Ex-Financials</t>
  </si>
  <si>
    <t>1591</t>
  </si>
  <si>
    <t>ＮＥＸＴ　ＦＵＮＤＳ　ＪＰＸ日経インデックス４００連動型上場投信　受益証券</t>
  </si>
  <si>
    <t>NEXT FUNDS JPX-Nikkei Index 400 Exchange Traded Fund</t>
  </si>
  <si>
    <t>1592</t>
  </si>
  <si>
    <t>上場インデックスファンドＪＰＸ日経インデックス４００　受益証券</t>
  </si>
  <si>
    <t>Listed Index Fund JPX-Nikkei Index 400</t>
  </si>
  <si>
    <t>1593</t>
  </si>
  <si>
    <t>ＭＡＸＩＳ　ＪＰＸ日経インデックス４００上場投信　受益証券</t>
  </si>
  <si>
    <t>MAXIS JPX-Nikkei Index 400 ETF</t>
  </si>
  <si>
    <t>1595</t>
  </si>
  <si>
    <t>ＮＺＡＭ　上場投信　東証ＲＥＩＴ指数　受益証券</t>
  </si>
  <si>
    <t>NZAM ETF J-REIT Index</t>
  </si>
  <si>
    <t>1596</t>
  </si>
  <si>
    <t>ＮＺＡＭ　上場投信　ＴＯＰＩＸ　Ｅｘ－Ｆｉｎａｎｃｉａｌｓ　受益証券</t>
  </si>
  <si>
    <t>NZAM ETF TOPIX Ex-Financials</t>
  </si>
  <si>
    <t>1597</t>
  </si>
  <si>
    <t>ＭＡＸＩＳ　Ｊリート上場投信　受益証券</t>
  </si>
  <si>
    <t>MAXIS J-REIT ETF</t>
  </si>
  <si>
    <t>1599</t>
  </si>
  <si>
    <t>ｉＦｒｅｅＥＴＦ　ＪＰＸ日経４００　受益証券</t>
  </si>
  <si>
    <t>iFreeETF JPX-Nikkei400</t>
  </si>
  <si>
    <t>159A</t>
  </si>
  <si>
    <t>ＮＥＸＴ　ＦＵＮＤＳ　ＪＰＸプライム１５０指数連動型上場投信　受益証券</t>
  </si>
  <si>
    <t>NEXT FUNDS JPX Prime 150 Index Exchange Traded Fund</t>
  </si>
  <si>
    <t>1615</t>
  </si>
  <si>
    <t>ＮＥＸＴ　ＦＵＮＤＳ　東証銀行業株価指数連動型上場投信　受益証券</t>
  </si>
  <si>
    <t>NEXT FUNDS TOPIX Banks Exchange Traded Fund</t>
  </si>
  <si>
    <t>1617</t>
  </si>
  <si>
    <t>ＮＥＸＴ　ＦＵＮＤＳ　食品（ＴＯＰＩＸ－１７）上場投信　受益証券</t>
  </si>
  <si>
    <t>NEXT FUNDS TOPIX-17 FOODS ETF</t>
  </si>
  <si>
    <t>1618</t>
  </si>
  <si>
    <t>ＮＥＸＴ　ＦＵＮＤＳ　エネルギー資源（ＴＯＰＩＸ－１７）上場投信　受益証券</t>
  </si>
  <si>
    <t>NEXT FUNDS TOPIX-17 ENERGY RESOURCES ETF</t>
  </si>
  <si>
    <t>1619</t>
  </si>
  <si>
    <t>ＮＥＸＴ　ＦＵＮＤＳ　建設・資材（ＴＯＰＩＸ－１７）上場投信　受益証券</t>
  </si>
  <si>
    <t>NEXT FUNDS TOPIX-17 CONSTRUCTION &amp; MATERIALS ETF</t>
  </si>
  <si>
    <t>1620</t>
  </si>
  <si>
    <t>ＮＥＸＴ　ＦＵＮＤＳ　素材・化学（ＴＯＰＩＸ－１７）上場投信　受益証券</t>
  </si>
  <si>
    <t>NEXT FUNDS TOPIX-17 RAW MATERIALS &amp; CHEMICALS ETF</t>
  </si>
  <si>
    <t>1621</t>
  </si>
  <si>
    <t>ＮＥＸＴ　ＦＵＮＤＳ　医薬品（ＴＯＰＩＸ－１７）上場投信　受益証券</t>
  </si>
  <si>
    <t>NEXT FUNDS TOPIX-17 PHARMACEUTICAL ETF</t>
  </si>
  <si>
    <t>1622</t>
  </si>
  <si>
    <t>ＮＥＸＴ　ＦＵＮＤＳ　自動車・輸送機（ＴＯＰＩＸ－１７）上場投信　受益証券</t>
  </si>
  <si>
    <t>NEXT FUNDS TOPIX-17 AUTOMOBILES TRANSPORTATION EQUIPMENT ETF</t>
  </si>
  <si>
    <t>1623</t>
  </si>
  <si>
    <t>ＮＥＸＴ　ＦＵＮＤＳ　鉄鋼・非鉄（ＴＯＰＩＸ－１７）上場投信　受益証券</t>
  </si>
  <si>
    <t>NEXT FUNDS TOPIX-17 STEEL &amp; NONFERROUS ETF</t>
  </si>
  <si>
    <t>1624</t>
  </si>
  <si>
    <t>ＮＥＸＴ　ＦＵＮＤＳ　機械（ＴＯＰＩＸ－１７）上場投信　受益証券</t>
  </si>
  <si>
    <t>NEXT FUNDS TOPIX-17 MACHINERY ETF</t>
  </si>
  <si>
    <t>1625</t>
  </si>
  <si>
    <t>ＮＥＸＴ　ＦＵＮＤＳ　電機・精密（ＴＯＰＩＸ－１７）上場投信　受益証券</t>
  </si>
  <si>
    <t>NEXT FUNDS TOPIX-17 ELECTRIC &amp; PRECISION INSTRUMENTS ETF</t>
  </si>
  <si>
    <t>1626</t>
  </si>
  <si>
    <t>ＮＥＸＴ　ＦＵＮＤＳ　情報通信・サービスその他（ＴＯＰＩＸ－１７）上場投信　受益証券</t>
  </si>
  <si>
    <t>NEXT FUNDS TOPIX-17 IT &amp; SERVICES,OTHERS ETF</t>
  </si>
  <si>
    <t>1627</t>
  </si>
  <si>
    <t>ＮＥＸＴ　ＦＵＮＤＳ　電力・ガス（ＴＯＰＩＸ－１７）上場投信　受益証券</t>
  </si>
  <si>
    <t>NEXT FUNDS TOPIX-17 ELECTRIC POWER &amp; GAS ETF</t>
  </si>
  <si>
    <t>1628</t>
  </si>
  <si>
    <t>ＮＥＸＴ　ＦＵＮＤＳ　運輸・物流（ＴＯＰＩＸ－１７）上場投信　受益証券</t>
  </si>
  <si>
    <t>NEXT FUNDS TOPIX-17 TRANSPORTATION &amp; LOGISTICS ETF</t>
  </si>
  <si>
    <t>1629</t>
  </si>
  <si>
    <t>ＮＥＸＴ　ＦＵＮＤＳ　商社・卸売（ＴＯＰＩＸ－１７）上場投信　受益証券</t>
  </si>
  <si>
    <t>NEXT FUNDS TOPIX-17 COMMERCIAL &amp; WHOLESALE TRADE ETF</t>
  </si>
  <si>
    <t>162A</t>
  </si>
  <si>
    <t>ＡＩセレクトメガトレンド　日本株（ネットリターン）ＥＴＮ　受益証券</t>
  </si>
  <si>
    <t>AI Select Megatrend Japan Equity Net Return ETN</t>
  </si>
  <si>
    <t>信用</t>
  </si>
  <si>
    <t>1630</t>
  </si>
  <si>
    <t>ＮＥＸＴ　ＦＵＮＤＳ　小売（ＴＯＰＩＸ－１７）上場投信　受益証券</t>
  </si>
  <si>
    <t>NEXT FUNDS TOPIX-17 RETAIL TRADE ETF</t>
  </si>
  <si>
    <t>1631</t>
  </si>
  <si>
    <t>ＮＥＸＴ　ＦＵＮＤＳ　銀行（ＴＯＰＩＸ－１７）上場投信　受益証券</t>
  </si>
  <si>
    <t>NEXT FUNDS TOPIX-17 BANKS ETF</t>
  </si>
  <si>
    <t>1632</t>
  </si>
  <si>
    <t>ＮＥＸＴ　ＦＵＮＤＳ　金融（除く銀行）（ＴＯＰＩＸ－１７）上場投信　受益証券</t>
  </si>
  <si>
    <t>NEXT FUNDS TOPIX-17 FINANCIALS (EX BANKS) ETF</t>
  </si>
  <si>
    <t>1633</t>
  </si>
  <si>
    <t>ＮＥＸＴ　ＦＵＮＤＳ　不動産（ＴＯＰＩＸ－１７）上場投信　受益証券</t>
  </si>
  <si>
    <t>NEXT FUNDS TOPIX-17 REAL ESTATE ETF</t>
  </si>
  <si>
    <t>163A</t>
  </si>
  <si>
    <t>半導体フォーカス　日本株（ネットリターン）ＥＴＮ　受益証券</t>
  </si>
  <si>
    <t>Semiconductor Focus Japan Equity Net Return ETN</t>
  </si>
  <si>
    <t>1651</t>
  </si>
  <si>
    <t>ｉＦｒｅｅＥＴＦ　ＴＯＰＩＸ高配当４０指数　受益証券</t>
  </si>
  <si>
    <t>iFreeETF TOPIX High Dividend Yield 40 Index</t>
  </si>
  <si>
    <t>1652</t>
  </si>
  <si>
    <t>ｉＦｒｅｅＥＴＦ　ＭＳＣＩ日本株女性活躍指数（ＷＩＮ）　受益証券</t>
  </si>
  <si>
    <t>iFreeETF MSCI Japan Empowering Women Index (WIN)</t>
  </si>
  <si>
    <t>1653</t>
  </si>
  <si>
    <t>ｉＦｒｅｅＥＴＦ　ＭＳＣＩジャパンＥＳＧセレクト・リーダーズ指数　受益証券</t>
  </si>
  <si>
    <t>iFreeETF MSCI Japan ESG Select Leaders Index</t>
  </si>
  <si>
    <t>1654</t>
  </si>
  <si>
    <t>ｉＦｒｅｅＥＴＦ　ＦＴＳＥ　ＪＰＸ　Ｂｌｏｓｓｏｍ　Ｊａｐａｎ　Ｉｎｄｅｘ　受益証券</t>
  </si>
  <si>
    <t>iFreeETF FTSE JPX Blossom Japan Index</t>
  </si>
  <si>
    <t>1655</t>
  </si>
  <si>
    <t>ｉシェアーズ　Ｓ＆Ｐ　５００　米国株　ＥＴＦ　受益証券</t>
  </si>
  <si>
    <t>iShares S&amp;P 500 ETF</t>
  </si>
  <si>
    <t>1656</t>
  </si>
  <si>
    <t>ｉシェアーズ・コア　米国債７－１０年　ＥＴＦ　受益証券</t>
  </si>
  <si>
    <t>iShares Core 7-10 Year US Treasury Bond ETF</t>
  </si>
  <si>
    <t>1657</t>
  </si>
  <si>
    <t>ｉシェアーズ・コア　ＭＳＣＩ　先進国株（除く日本）ＥＴＦ　受益証券</t>
  </si>
  <si>
    <t>iShares Core MSCI Kokusai ETF</t>
  </si>
  <si>
    <t>1658</t>
  </si>
  <si>
    <t>ｉシェアーズ・コア　ＭＳＣＩ　新興国株　ＥＴＦ　受益証券</t>
  </si>
  <si>
    <t>iShares Core MSCI Emerging Markets IMI ETF</t>
  </si>
  <si>
    <t>1659</t>
  </si>
  <si>
    <t>ｉシェアーズ　米国リート　ＥＴＦ　受益証券</t>
  </si>
  <si>
    <t>iShares US REIT ETF</t>
  </si>
  <si>
    <t>1660</t>
  </si>
  <si>
    <t>ＭＡＸＩＳ高利回りＪリート上場投信　受益証券</t>
  </si>
  <si>
    <t>MAXIS High Yield J-REIT ETF</t>
  </si>
  <si>
    <t>1671</t>
  </si>
  <si>
    <t>ＷＴＩ原油価格連動型上場投信　受益証券</t>
  </si>
  <si>
    <t>Simplex WTI ETF</t>
  </si>
  <si>
    <t>1672</t>
  </si>
  <si>
    <t>ＥＴＦＳ　金上場投資信託　投資証券</t>
  </si>
  <si>
    <t>WisdomTree Physical Gold Individual Securities</t>
  </si>
  <si>
    <t>1673</t>
  </si>
  <si>
    <t>ＥＴＦＳ　銀上場投資信託　投資証券</t>
  </si>
  <si>
    <t>WisdomTree Physical Silver Individual Securities</t>
  </si>
  <si>
    <t>1674</t>
  </si>
  <si>
    <t>ＥＴＦＳ　白金上場投資信託　投資証券</t>
  </si>
  <si>
    <t>WisdomTree Physical Platinum Individual Securities</t>
  </si>
  <si>
    <t>23</t>
  </si>
  <si>
    <t>1675</t>
  </si>
  <si>
    <t>ＥＴＦＳ　パラジウム上場投資信託　投資証券</t>
  </si>
  <si>
    <t>WisdomTree Physical Palladium Individual Securities</t>
  </si>
  <si>
    <t>1676</t>
  </si>
  <si>
    <t>ＥＴＦＳ　貴金属バスケット上場投資信託　投資証券</t>
  </si>
  <si>
    <t>WisdomTree Physical Precious Metals Basket Securities</t>
  </si>
  <si>
    <t>1677</t>
  </si>
  <si>
    <t>上場インデックスファンド海外債券（ＦＴＳＥ　ＷＧＢＩ）毎月分配型　受益証券</t>
  </si>
  <si>
    <t>Listed Index Fund International Bond (FTSE WGBI) Monthly Dividend Payment Type</t>
  </si>
  <si>
    <t>1678</t>
  </si>
  <si>
    <t>ＮＥＸＴ　ＦＵＮＤＳ　インド株式指数・Ｎｉｆｔｙ　５０　連動型上場投信　受益証券</t>
  </si>
  <si>
    <t>NEXT FUNDS Nifty 50 Linked Exchange Traded Fund</t>
  </si>
  <si>
    <t>1679</t>
  </si>
  <si>
    <t>Ｓｉｍｐｌｅ－Ｘ　ＮＹ　ダウ・ジョーンズ・インデックス上場投信　受益証券</t>
  </si>
  <si>
    <t>Simple-X NY Dow Jones Index ETF</t>
  </si>
  <si>
    <t>1680</t>
  </si>
  <si>
    <t>上場インデックスファンド海外先進国株式（ＭＳＣＩ－ＫＯＫＵＳＡＩ）　受益証券</t>
  </si>
  <si>
    <t>Listed Index Fund International Developed Countries Equity (MSCI-KOKUSAI)</t>
  </si>
  <si>
    <t>1681</t>
  </si>
  <si>
    <t>上場インデックスファンド海外新興国株式（ＭＳＣＩ　エマージング）　受益証券</t>
  </si>
  <si>
    <t>Listed Index Fund International Emerging Countries Equity (MSCI EMERGING)</t>
  </si>
  <si>
    <t>1684</t>
  </si>
  <si>
    <t>ＥＴＦＳ　総合上場投資信託　投資証券</t>
  </si>
  <si>
    <t>WisdomTree Broad Commodities</t>
  </si>
  <si>
    <t>1685</t>
  </si>
  <si>
    <t>ＥＴＦＳ　エネルギー上場投資信託　投資証券</t>
  </si>
  <si>
    <t>WisdomTree Energy</t>
  </si>
  <si>
    <t>1686</t>
  </si>
  <si>
    <t>ＥＴＦＳ　産業用金属上場投資信託　投資証券</t>
  </si>
  <si>
    <t>WisdomTree Industrial Metals</t>
  </si>
  <si>
    <t>1687</t>
  </si>
  <si>
    <t>ＥＴＦＳ　農産物上場投資信託　投資証券</t>
  </si>
  <si>
    <t>WisdomTree Agriculture</t>
  </si>
  <si>
    <t>1688</t>
  </si>
  <si>
    <t>ＥＴＦＳ　穀物上場投資信託　投資証券</t>
  </si>
  <si>
    <t>WisdomTree Grains</t>
  </si>
  <si>
    <t>1689</t>
  </si>
  <si>
    <t>ＥＴＦＳ　天然ガス上場投資信託　投資証券</t>
  </si>
  <si>
    <t>WisdomTree Natural Gas</t>
  </si>
  <si>
    <t>1690</t>
  </si>
  <si>
    <t>ＥＴＦＳ　ＷＴＩ　原油上場投資信託　投資証券</t>
  </si>
  <si>
    <t>WisdomTree WTI Crude Oil</t>
  </si>
  <si>
    <t>1691</t>
  </si>
  <si>
    <t>ＥＴＦＳ　ガソリン上場投資信託　投資証券</t>
  </si>
  <si>
    <t>WisdomTree Gasoline</t>
  </si>
  <si>
    <t>1692</t>
  </si>
  <si>
    <t>ＥＴＦＳ　アルミニウム上場投資信託　投資証券</t>
  </si>
  <si>
    <t>WisdomTree Aluminium</t>
  </si>
  <si>
    <t>1693</t>
  </si>
  <si>
    <t>ＥＴＦＳ　銅上場投資信託　投資証券</t>
  </si>
  <si>
    <t>WisdomTree Copper</t>
  </si>
  <si>
    <t>1694</t>
  </si>
  <si>
    <t>ＥＴＦＳ　ニッケル上場投資信託　投資証券</t>
  </si>
  <si>
    <t>WisdomTree Nickel</t>
  </si>
  <si>
    <t>1695</t>
  </si>
  <si>
    <t>ＥＴＦＳ　小麦上場投資信託　投資証券</t>
  </si>
  <si>
    <t>WisdomTree Wheat</t>
  </si>
  <si>
    <t>1696</t>
  </si>
  <si>
    <t>ＥＴＦＳ　とうもろこし上場投資信託　投資証券</t>
  </si>
  <si>
    <t>WisdomTree Corn</t>
  </si>
  <si>
    <t>1697</t>
  </si>
  <si>
    <t>ＥＴＦＳ　大豆上場投資信託　投資証券</t>
  </si>
  <si>
    <t>WisdomTree Soybeans</t>
  </si>
  <si>
    <t>1698</t>
  </si>
  <si>
    <t>上場インデックスファンド日本高配当（東証配当フォーカス１００）　受益証券</t>
  </si>
  <si>
    <t>Listed Index Fund Japan High Dividend (TSE Dividend Focus 100)</t>
  </si>
  <si>
    <t>1699</t>
  </si>
  <si>
    <t>ＮＥＸＴ　ＦＵＮＤＳ　ＮＯＭＵＲＡ　原油インデックス連動型上場投信　受益証券</t>
  </si>
  <si>
    <t>NEXT FUNDS NOMURA Crude Oil Long Index Linked Exchange Traded Fund</t>
  </si>
  <si>
    <t>170A</t>
  </si>
  <si>
    <t>ＳＭＴ　ＥＴＦ日本好配当株アクティブ　受益証券</t>
  </si>
  <si>
    <t>SMT ETF Japan Equity Income Strategy Active</t>
  </si>
  <si>
    <t>178A</t>
  </si>
  <si>
    <t>グローバルＸ　革新的優良企業　ＥＴＦ　受益証券</t>
  </si>
  <si>
    <t>Global X Innovative Bluechip Top 10+ ETF</t>
  </si>
  <si>
    <t>179A</t>
  </si>
  <si>
    <t>グローバルＸ　超長期米国債　ＥＴＦ（為替ヘッジあり）　受益証券</t>
  </si>
  <si>
    <t>Global X 25+ Year T-Bond ETF (JPY Hedged)</t>
  </si>
  <si>
    <t>180A</t>
  </si>
  <si>
    <t>グローバルＸ　超長期米国債　ＥＴＦ　受益証券</t>
  </si>
  <si>
    <t>Global X 25+ Year T-Bond ETF</t>
  </si>
  <si>
    <t>181A</t>
  </si>
  <si>
    <t>ＭＡＸＩＳ米国国債１－３年上場投信（為替ヘッジなし）　受益証券</t>
  </si>
  <si>
    <t>MAXIS US Treasury Bond 1-3 Year ETF (Unhedged)</t>
  </si>
  <si>
    <t>182A</t>
  </si>
  <si>
    <t>ＭＡＸＩＳ米国国債２０年超上場投信（為替ヘッジなし）　受益証券</t>
  </si>
  <si>
    <t>MAXIS US Treasury Bond 20+ Year ETF (Unhedged)</t>
  </si>
  <si>
    <t>183A</t>
  </si>
  <si>
    <t>ＭＡＸＩＳ米国国債２０年超上場投信（為替ヘッジあり）　受益証券</t>
  </si>
  <si>
    <t>MAXIS US Treasury Bond 20+ Year ETF (JPY Hedged)</t>
  </si>
  <si>
    <t>188A</t>
  </si>
  <si>
    <t>グローバルＸ　インド・トップ１０＋　ＥＴＦ　受益証券</t>
  </si>
  <si>
    <t>Global X India Top 10+ ETF</t>
  </si>
  <si>
    <t>200A</t>
  </si>
  <si>
    <t>ＮＥＸＴ　ＦＵＮＤＳ　日経半導体株指数連動型上場投信　受益証券</t>
  </si>
  <si>
    <t>NEXT FUNDS Nikkei Semiconductor Stock Index Exchange Traded Fund</t>
  </si>
  <si>
    <t>2011</t>
  </si>
  <si>
    <t>ＳＭＤＡＭ　Ａｃｔｉｖｅ　ＥＴＦ　日本高配当株式　受益証券</t>
  </si>
  <si>
    <t>SMDAM Active ETF Japan High Dividend Equity</t>
  </si>
  <si>
    <t>2012</t>
  </si>
  <si>
    <t>ｉシェアーズ　米国債０－３ヶ月　ＥＴＦ　受益証券</t>
  </si>
  <si>
    <t>iShares 0-3 Month US Treasury Bond ETF</t>
  </si>
  <si>
    <t>2013</t>
  </si>
  <si>
    <t>ｉシェアーズ　米国高配当株　ＥＴＦ　受益証券</t>
  </si>
  <si>
    <t>iShares US High Dividend ETF</t>
  </si>
  <si>
    <t>2014</t>
  </si>
  <si>
    <t>ｉシェアーズ　米国連続増配株　ＥＴＦ　受益証券</t>
  </si>
  <si>
    <t>iShares US Dividend Growth ETF</t>
  </si>
  <si>
    <t>2015</t>
  </si>
  <si>
    <t>ｉＦｒｅｅＥＴＦ　米国国債７－１０年（為替ヘッジなし）　受益証券</t>
  </si>
  <si>
    <t>iFreeETF US Treasury Bond 7-10 Year (NON HEDGED)</t>
  </si>
  <si>
    <t>2016</t>
  </si>
  <si>
    <t>ｉＦｒｅｅＥＴＦ　米国国債７－１０年（為替ヘッジあり）　受益証券</t>
  </si>
  <si>
    <t>iFreeETF US Treasury Bond 7-10 Year (JPY HEDGED)</t>
  </si>
  <si>
    <t>2017</t>
  </si>
  <si>
    <t>ｉＦｒｅｅＥＴＦ　ＪＰＸプライム１５０　受益証券</t>
  </si>
  <si>
    <t>iFreeETF JPX Prime 150</t>
  </si>
  <si>
    <t>2018</t>
  </si>
  <si>
    <t>グローバルＸ　ＵＳ　ＲＥＩＴ・トップ２０　ＥＴＦ　受益証券</t>
  </si>
  <si>
    <t>Global X US REIT Top 20 ETF</t>
  </si>
  <si>
    <t>2019</t>
  </si>
  <si>
    <t>グローバルＸ　米国優先証券　ＥＴＦ（隔月分配型）　受益証券</t>
  </si>
  <si>
    <t>Global X U.S. Preferred Security ETF (Bi-monthly dividend type)</t>
  </si>
  <si>
    <t>201A</t>
  </si>
  <si>
    <t>ｉシェアーズ　Ｎｉｆｔｙ　５０　インド株　ＥＴＦ　受益証券</t>
  </si>
  <si>
    <t>iShares Nifty 50 ETF</t>
  </si>
  <si>
    <t>2031</t>
  </si>
  <si>
    <t>ＮＥＸＴ　ＮＯＴＥＳ　香港ハンセン・ダブル・ブル　ＥＴＮ　受益証券</t>
  </si>
  <si>
    <t>NEXT NOTES HSI Leveraged ETN</t>
  </si>
  <si>
    <t>2032</t>
  </si>
  <si>
    <t>ＮＥＸＴ　ＮＯＴＥＳ　香港ハンセン・ベア　ＥＴＮ　受益証券</t>
  </si>
  <si>
    <t>NEXT NOTES HSI Short ETN</t>
  </si>
  <si>
    <t>2033</t>
  </si>
  <si>
    <t>ＮＥＸＴ　ＮＯＴＥＳ　韓国ＫＯＳＰＩ・ダブル・ブル　ＥＴＮ　受益証券</t>
  </si>
  <si>
    <t>NEXT NOTES KOSPI200 Leverage ETN</t>
  </si>
  <si>
    <t>2034</t>
  </si>
  <si>
    <t>ＮＥＸＴ　ＮＯＴＥＳ　韓国ＫＯＳＰＩ・ベア　ＥＴＮ　受益証券</t>
  </si>
  <si>
    <t>NEXT NOTES F-KOSPI200 Inverse ETN</t>
  </si>
  <si>
    <t>2036</t>
  </si>
  <si>
    <t>ＮＥＸＴ　ＮＯＴＥＳ　金先物　ダブル・ブル　ＥＴＮ　受益証券</t>
  </si>
  <si>
    <t>NEXT NOTES Gold Futures Double Bull ETN</t>
  </si>
  <si>
    <t>2037</t>
  </si>
  <si>
    <t>ＮＥＸＴ　ＮＯＴＥＳ　金先物　ベア　ＥＴＮ　受益証券</t>
  </si>
  <si>
    <t>NEXT NOTES Gold Futures Bear ETN</t>
  </si>
  <si>
    <t>2038</t>
  </si>
  <si>
    <t>ＮＥＸＴ　ＮＯＴＥＳ　ドバイ原油先物　ダブル・ブル　ＥＴＮ　受益証券</t>
  </si>
  <si>
    <t>NEXT NOTES Dubai Crude Oil Futures Double Bull ETN</t>
  </si>
  <si>
    <t>2039</t>
  </si>
  <si>
    <t>ＮＥＸＴ　ＮＯＴＥＳ　ドバイ原油先物　ベア　ＥＴＮ　受益証券</t>
  </si>
  <si>
    <t>NEXT NOTES Dubai Crude Oil Futures Bear ETN</t>
  </si>
  <si>
    <t>2040</t>
  </si>
  <si>
    <t>ＮＥＸＴ　ＮＯＴＥＳ　ＮＹダウ・ダブル・ブル・ドルヘッジ　ＥＴＮ　受益証券</t>
  </si>
  <si>
    <t>NEXT NOTES DJIA PR JPY-Monthly Hedged Leveraged (x2) ETN</t>
  </si>
  <si>
    <t>2041</t>
  </si>
  <si>
    <t>ＮＥＸＴ　ＮＯＴＥＳ　ＮＹダウ・ベア・ドルヘッジ　ＥＴＮ　受益証券</t>
  </si>
  <si>
    <t>NEXT NOTES DJIA TR JPY-Monthly Hedged Inverse (x1) ETN</t>
  </si>
  <si>
    <t>2042</t>
  </si>
  <si>
    <t>ＮＥＸＴ　ＮＯＴＥＳ　東証グロース市場２５０　ＥＴＮ　受益証券</t>
  </si>
  <si>
    <t>NEXT NOTES Tokyo Stock Exchange Growth Market 250 Index ETN</t>
  </si>
  <si>
    <t>2043</t>
  </si>
  <si>
    <t>ＮＥＸＴ　ＮＯＴＥＳ　ＳＴＯＸＸ　アセアン好配当５０（円、ネットリターン）ＥＴＮ　受益証券</t>
  </si>
  <si>
    <t>NEXT NOTES STOXX ASEAN-Five Select Dividend 50(NR-JPY) ETN</t>
  </si>
  <si>
    <t>2044</t>
  </si>
  <si>
    <t>ＮＥＸＴ　ＮＯＴＥＳ　Ｓ＆Ｐ５００　配当貴族（ネットリターン）　ＥＴＮ　受益証券</t>
  </si>
  <si>
    <t>NEXT NOTES S&amp;P 500 Dividend Aristocrats Net Total Return Index ETN</t>
  </si>
  <si>
    <t>2045</t>
  </si>
  <si>
    <t>ＮＥＸＴ　ＮＯＴＥＳ　Ｓ＆Ｐ　シンガポール　リート（ネットリターン）　ＥＴＮ　受益証券</t>
  </si>
  <si>
    <t>NEXT NOTES S&amp;P Singapore REIT Net Total Return Index ETN</t>
  </si>
  <si>
    <t>2046</t>
  </si>
  <si>
    <t>ＮＥＸＴ　ＮＯＴＥＳ　インドＮｉｆｔｙ・ダブル・ブル　ＥＴＮ　受益証券</t>
  </si>
  <si>
    <t>NEXT NOTES Nifty PR 2x Leverage Index ETN</t>
  </si>
  <si>
    <t>2047</t>
  </si>
  <si>
    <t>ＮＥＸＴ　ＮＯＴＥＳ　インドＮｉｆｔｙ・ベア　ＥＴＮ　受益証券</t>
  </si>
  <si>
    <t>NEXT NOTES Nifty Total Returns(TR) Daily Inverse Index ETN</t>
  </si>
  <si>
    <t>2048</t>
  </si>
  <si>
    <t>ＮＥＸＴ　ＮＯＴＥＳ　野村日本株高配当７０（ドルヘッジ、ネットリターン）ＥＴＮ　受益証券</t>
  </si>
  <si>
    <t>NEXT NOTES Nomura Japan Equity High Dividend 70,Net Total Return US Dollar Hedged Index ETN</t>
  </si>
  <si>
    <t>2050</t>
  </si>
  <si>
    <t>ＮＥＸＴ　ＮＯＴＥＳ　ニッチトップ　中小型日本株（ネットリターン）ＥＴＮ　受益証券</t>
  </si>
  <si>
    <t>NEXT NOTES Niche Top Mid Small Cap Japan Equity, Net Total Return ETN</t>
  </si>
  <si>
    <t>2065</t>
  </si>
  <si>
    <t>ＮＥＸＴ　ＮＯＴＥＳ　日本株配当貴族（ドルヘッジ、ネットリターン）ＥＴＮ　受益証券</t>
  </si>
  <si>
    <t>NEXT NOTES S&amp;P/JPX Dividend Aristocrats Index USD Hedged NTR ETN</t>
  </si>
  <si>
    <t>2066</t>
  </si>
  <si>
    <t>ＮＥＸＴ　ＮＯＴＥＳ　東証ＲＥＩＴ（ドルヘッジ、ネットリターン）ＥＴＮ　受益証券</t>
  </si>
  <si>
    <t>NEXT NOTES Tokyo Stock Exchange REIT Net Total Return US Dollar Hedged Index ETN</t>
  </si>
  <si>
    <t>13</t>
  </si>
  <si>
    <t>2067</t>
  </si>
  <si>
    <t>ＮＥＸＴ　ＮＯＴＥＳ　野村ＡＩビジネス７０（ネットリターン）ＥＴＮ　受益証券</t>
  </si>
  <si>
    <t>NEXT NOTES AI Companies 70,Net Total Return ETN</t>
  </si>
  <si>
    <t>2068</t>
  </si>
  <si>
    <t>ＮＥＸＴ　ＮＯＴＥＳ　高ベータ３０（ネットリターン）ＥＴＮ　受益証券</t>
  </si>
  <si>
    <t>NEXT NOTES Japan Equity High Beta Select 30,Net Total Return ETN</t>
  </si>
  <si>
    <t>2069</t>
  </si>
  <si>
    <t>ＮＥＸＴ　ＮＯＴＥＳ　低ベータ５０（ネットリターン）ＥＴＮ　受益証券</t>
  </si>
  <si>
    <t>NEXT NOTES Japan Equity Low Beta Select 50,Net Total Return ETN</t>
  </si>
  <si>
    <t>2070</t>
  </si>
  <si>
    <t>スマートＥＳＧ３０女性活躍（ネットリターン）ＥＴＮ　受益証券</t>
  </si>
  <si>
    <t>Smart ESG 30 Empowering Women Net Return ETN</t>
  </si>
  <si>
    <t>2071</t>
  </si>
  <si>
    <t>スマートＥＳＧ３０総合（ネットリターン）ＥＴＮ　受益証券</t>
  </si>
  <si>
    <t>Smart ESG 30 Net Return ETN</t>
  </si>
  <si>
    <t>2072</t>
  </si>
  <si>
    <t>トップシェアインデックス（ネットリターン）ＥＴＮ　受益証券</t>
  </si>
  <si>
    <t>Market Share Leaders Net Return ETN</t>
  </si>
  <si>
    <t>2073</t>
  </si>
  <si>
    <t>スマートＥＳＧ３０低カーボンリスク（ネットリターン）ＥＴＮ　受益証券</t>
  </si>
  <si>
    <t>Smart ESG 30 Low Carbon Risk Net Return ETN</t>
  </si>
  <si>
    <t>2080</t>
  </si>
  <si>
    <t>ＰＢＲ１倍割れ解消推進ＥＴＦ　受益証券</t>
  </si>
  <si>
    <t>PBR Improvement over 1x ETF</t>
  </si>
  <si>
    <t>2081</t>
  </si>
  <si>
    <t>政策保有解消推進ＥＴＦ　受益証券</t>
  </si>
  <si>
    <t>Strategic Shareholding Disposal Promotion ETF</t>
  </si>
  <si>
    <t>2082</t>
  </si>
  <si>
    <t>投資家経営者一心同体ＥＴＦ　受益証券</t>
  </si>
  <si>
    <t>Investor-Management Unite as One ETF</t>
  </si>
  <si>
    <t>2083</t>
  </si>
  <si>
    <t>ＮＥＸＴ　ＦＵＮＤＳ　日本成長株アクティブ上場投信　受益証券</t>
  </si>
  <si>
    <t>NEXT FUNDS Japan Growth Equity Active Exchange Traded Fund</t>
  </si>
  <si>
    <t>2084</t>
  </si>
  <si>
    <t>ＮＥＸＴ　ＦＵＮＤＳ　日本高配当株アクティブ上場投信　受益証券</t>
  </si>
  <si>
    <t>NEXT FUNDS Japan High Dividend Equity Active Exchange Traded Fund</t>
  </si>
  <si>
    <t>2085</t>
  </si>
  <si>
    <t>ＭＡＸＩＳ高配当日本株アクティブ上場投信　受益証券</t>
  </si>
  <si>
    <t>MAXIS High Dividend Japan Equity Actively Managed ETF</t>
  </si>
  <si>
    <t>2086</t>
  </si>
  <si>
    <t>ＮＺＡＭ　上場投信　Ｓ＆Ｐ５００（為替ヘッジあり）　受益証券</t>
  </si>
  <si>
    <t>NZAM ETF S&amp;P500 (JPY Hedged)</t>
  </si>
  <si>
    <t>2087</t>
  </si>
  <si>
    <t>ＮＺＡＭ　上場投信　ＮＡＳＤＡＱ１００（為替ヘッジあり）　受益証券</t>
  </si>
  <si>
    <t>NZAM ETF NASDAQ100 (JPY Hedged)</t>
  </si>
  <si>
    <t>2088</t>
  </si>
  <si>
    <t>ＮＺＡＭ　上場投信　ＮＹダウ３０（為替ヘッジあり）　受益証券</t>
  </si>
  <si>
    <t>NZAM ETF NY Dow30 (JPY Hedged)</t>
  </si>
  <si>
    <t>2089</t>
  </si>
  <si>
    <t>ＮＺＡＭ　上場投信　ＤＡＸ（為替ヘッジあり）　受益証券</t>
  </si>
  <si>
    <t>NZAM ETF DAX (JPY Hedged)</t>
  </si>
  <si>
    <t>2090</t>
  </si>
  <si>
    <t>ＮＺＡＭ　上場投信　米国国債７－１０年（為替ヘッジあり）　受益証券</t>
  </si>
  <si>
    <t>NZAM ETF US Treasury 7-10Y (JPY Hedged)</t>
  </si>
  <si>
    <t>2091</t>
  </si>
  <si>
    <t>ＮＺＡＭ　上場投信　ドイツ国債７－１０年（為替ヘッジあり）　受益証券</t>
  </si>
  <si>
    <t>NZAM ETF German Government Bond 7-10Y (JPY Hedged)</t>
  </si>
  <si>
    <t>2092</t>
  </si>
  <si>
    <t>ＮＺＡＭ　上場投信　フランス国債７－１０年（為替ヘッジあり）　受益証券</t>
  </si>
  <si>
    <t>NZAM ETF France Government Bond 7-10Y (JPY Hedged)</t>
  </si>
  <si>
    <t>2093</t>
  </si>
  <si>
    <t>上場Ｔｒａｃｅｒｓ　米国債０－２年ラダー（為替ヘッジなし）　受益証券</t>
  </si>
  <si>
    <t>Listed Tracers US Government Bond 0-2years Ladder (No Currency Hedge)</t>
  </si>
  <si>
    <t>2094</t>
  </si>
  <si>
    <t>東証ＲＥＩＴインバースＥＴＦ　受益証券</t>
  </si>
  <si>
    <t>TSE REIT Inverse ETF</t>
  </si>
  <si>
    <t>2095</t>
  </si>
  <si>
    <t>グローバルＸ　Ｓ＆Ｐ５００配当貴族　ＥＴＦ（為替ヘッジあり）　受益証券</t>
  </si>
  <si>
    <t>Global X S&amp;P 500 Dividend Aristocrats ETF (JPY Hedged)</t>
  </si>
  <si>
    <t>2096</t>
  </si>
  <si>
    <t>グローバルＸ　オフィス・Ｊ－ＲＥＩＴ　ＥＴＦ　受益証券</t>
  </si>
  <si>
    <t>Global X Office J-REIT ETF</t>
  </si>
  <si>
    <t>2097</t>
  </si>
  <si>
    <t>グローバルＸ　レジデンシャル・Ｊ－ＲＥＩＴ　ＥＴＦ　受益証券</t>
  </si>
  <si>
    <t>Global X Residential J-REIT ETF</t>
  </si>
  <si>
    <t>2098</t>
  </si>
  <si>
    <t>グローバルＸ　ホテル＆リテール・Ｊ－ＲＥＩＴ　ＥＴＦ　受益証券</t>
  </si>
  <si>
    <t>Global X Hotel &amp; Retail J-REIT ETF</t>
  </si>
  <si>
    <t>210A</t>
  </si>
  <si>
    <t>ｉＦｒｅｅＥＴＦ　日経高利回りＲＥＩＴ指数　受益証券</t>
  </si>
  <si>
    <t>iFreeETF Nikkei High Yield REIT Index</t>
  </si>
  <si>
    <t>213A</t>
  </si>
  <si>
    <t>上場インデックスファンド日経半導体株　受益証券</t>
  </si>
  <si>
    <t>Listed Index Fund Nikkei Semiconductor Stock</t>
  </si>
  <si>
    <t>221A</t>
  </si>
  <si>
    <t>ＭＡＸＩＳ日経半導体株上場投信　受益証券</t>
  </si>
  <si>
    <t>MAXIS Nikkei Semiconductor Stock (Japan) ETF</t>
  </si>
  <si>
    <t>2235</t>
  </si>
  <si>
    <t>上場インデックスファンド米国株式（ダウ平均）為替ヘッジなし　受益証券</t>
  </si>
  <si>
    <t>Listed Index Fund US Equity (Dow Average) No Currency Hedge</t>
  </si>
  <si>
    <t>2236</t>
  </si>
  <si>
    <t>グローバルＸ　Ｓ＆Ｐ５００配当貴族ＥＴＦ　受益証券</t>
  </si>
  <si>
    <t>Global X S&amp;P 500 Dividend Aristocrats ETF</t>
  </si>
  <si>
    <t>2237</t>
  </si>
  <si>
    <t>ｉＦｒｅｅＥＴＦ　Ｓ＆Ｐ５００レバレッジ　受益証券</t>
  </si>
  <si>
    <t>iFreeETF S&amp;P500 Leveraged (2x)</t>
  </si>
  <si>
    <t xml:space="preserve">新株落ち  </t>
  </si>
  <si>
    <t xml:space="preserve">ex-subscription right  </t>
  </si>
  <si>
    <t>2238</t>
  </si>
  <si>
    <t>ｉＦｒｅｅＥＴＦ　Ｓ＆Ｐ５００インバース　受益証券</t>
  </si>
  <si>
    <t>iFreeETF S&amp;P500 Inverse</t>
  </si>
  <si>
    <t>2239</t>
  </si>
  <si>
    <t>上場インデックスファンドＳ＆Ｐ５００先物レバレッジ２倍　受益証券</t>
  </si>
  <si>
    <t>Listed Index Fund S&amp;P500 Futures Leveraged Two Times</t>
  </si>
  <si>
    <t>223A</t>
  </si>
  <si>
    <t>グローバルＸ　ＡＩ＆ビッグデータ　ＥＴＦ　受益証券</t>
  </si>
  <si>
    <t>Global X Artificial Intelligence &amp; Technology ETF</t>
  </si>
  <si>
    <t>2240</t>
  </si>
  <si>
    <t>上場インデックスファンドＳ＆Ｐ５００先物インバース　受益証券</t>
  </si>
  <si>
    <t>Listed Index Fund S&amp;P500 Futures Inverse</t>
  </si>
  <si>
    <t>2241</t>
  </si>
  <si>
    <t>ＭＡＸＩＳ　ＮＹダウ上場投信　受益証券</t>
  </si>
  <si>
    <t>MAXIS NY Dow Industrial Average ETF</t>
  </si>
  <si>
    <t>2242</t>
  </si>
  <si>
    <t>ＭＡＸＩＳ　ＮＹダウ上場投信（為替ヘッジあり）　受益証券</t>
  </si>
  <si>
    <t>MAXIS NY Dow Industrial Average ETF (JPY Hedged)</t>
  </si>
  <si>
    <t>2243</t>
  </si>
  <si>
    <t>グローバルＸ　半導体　ＥＴＦ　受益証券</t>
  </si>
  <si>
    <t>Global X Semiconductor ETF</t>
  </si>
  <si>
    <t>2244</t>
  </si>
  <si>
    <t>グローバルＸ　ＵＳ　テック・トップ２０　ＥＴＦ　受益証券</t>
  </si>
  <si>
    <t>Global X US Tech Top 20 ETF</t>
  </si>
  <si>
    <t>2245</t>
  </si>
  <si>
    <t>ＮＥＸＴ　ＦＵＮＤＳ　ブルームバーグ・ドイツ国債（７－１０年）インデックス（為替ヘッジあり）連動型上場投信　受益証券</t>
  </si>
  <si>
    <t>NEXT FUNDS Bloomberg Germany Treasury Bond (7-10 year) Index (Yen-Hedged) Exchange Traded Fund</t>
  </si>
  <si>
    <t>2247</t>
  </si>
  <si>
    <t>ｉＦｒｅｅＥＴＦ　Ｓ＆Ｐ５００（為替ヘッジなし）　受益証券</t>
  </si>
  <si>
    <t>iFreeETF S&amp;P500 (NON HEDGED)</t>
  </si>
  <si>
    <t>2248</t>
  </si>
  <si>
    <t>ｉＦｒｅｅＥＴＦ　Ｓ＆Ｐ５００（為替ヘッジあり）　受益証券</t>
  </si>
  <si>
    <t>iFreeETF S&amp;P500 (JPY HEDGED)</t>
  </si>
  <si>
    <t>2249</t>
  </si>
  <si>
    <t>ｉＦｒｅｅＥＴＦ　Ｓ＆Ｐ５００ダブルインバース　受益証券</t>
  </si>
  <si>
    <t>iFreeETF S&amp;P500 Double Inverse (-2x)</t>
  </si>
  <si>
    <t>224A</t>
  </si>
  <si>
    <t>グローバルＸ　ウラニウムビジネス　ＥＴＦ　受益証券</t>
  </si>
  <si>
    <t>Global X Uranium ETF</t>
  </si>
  <si>
    <t>2250</t>
  </si>
  <si>
    <t>ｉシェアーズ　ＭＳＣＩ　ジャパン気候変動アクション　ＥＴＦ　受益証券</t>
  </si>
  <si>
    <t>iShares MSCI Japan Climate Action ETF</t>
  </si>
  <si>
    <t>2251</t>
  </si>
  <si>
    <t>ＮＥＸＴ　ＦＵＮＤＳ　ＪＰＸ国債先物ダブルインバース指数連動型上場投信　受益証券</t>
  </si>
  <si>
    <t>NEXT FUNDS JPX JGB Futures Double Inverse Index Exchange Traded Fund</t>
  </si>
  <si>
    <t>2252</t>
  </si>
  <si>
    <t>グローバルＸ　Ｍｏｒｎｉｎｇｓｔａｒ　米国中小型　Ｍｏａｔ　ＥＴＦ　受益証券</t>
  </si>
  <si>
    <t>Global X Morningstar US Small Mid Moat ETF</t>
  </si>
  <si>
    <t>2253</t>
  </si>
  <si>
    <t>グローバルＸ　スーパーディビィデンド－ＵＳ　ＥＴＦ　受益証券</t>
  </si>
  <si>
    <t>Global X SuperDividend U.S. ETF</t>
  </si>
  <si>
    <t>2254</t>
  </si>
  <si>
    <t>グローバルＸ　チャイナＥＶ＆バッテリー　ＥＴＦ　受益証券</t>
  </si>
  <si>
    <t>Global X China Electric Vehicle and Battery ETF</t>
  </si>
  <si>
    <t>2255</t>
  </si>
  <si>
    <t>ｉシェアーズ　米国債２０年超　ＥＴＦ　受益証券</t>
  </si>
  <si>
    <t>iShares 20+ Year US Treasury Bond ETF</t>
  </si>
  <si>
    <t>2256</t>
  </si>
  <si>
    <t>ｉシェアーズ　米国総合債券　ＥＴＦ　受益証券</t>
  </si>
  <si>
    <t>iShares US Aggregate Bond ETF</t>
  </si>
  <si>
    <t>2257</t>
  </si>
  <si>
    <t>ｉシェアーズ　米ドル建て投資適格社債　ＥＴＦ　受益証券</t>
  </si>
  <si>
    <t>iShares USD Investment Grade Corporate Bond ETF</t>
  </si>
  <si>
    <t>2258</t>
  </si>
  <si>
    <t>ｉシェアーズ　米ドル建てハイイールド社債　ＥＴＦ　受益証券</t>
  </si>
  <si>
    <t>iShares USD High Yield Corporate Bond ETF</t>
  </si>
  <si>
    <t>2259</t>
  </si>
  <si>
    <t>ｉシェアーズ　フランス国債７－１０年　ＥＴＦ（為替ヘッジあり）　受益証券</t>
  </si>
  <si>
    <t>iShares 7-10 Year France Government Bond JPY Hedged ETF</t>
  </si>
  <si>
    <t>233A</t>
  </si>
  <si>
    <t>ｉＦｒｅｅＥＴＦ　インドＮｉｆｔｙ５０　受益証券</t>
  </si>
  <si>
    <t>iFreeETF Nifty50</t>
  </si>
  <si>
    <t>234A</t>
  </si>
  <si>
    <t>グローバルＸ　ＭＳＣＩ　キャッシュフローキング－日本株式　ＥＴＦ　受益証券</t>
  </si>
  <si>
    <t>Global X MSCI Japan Cash Flow Kings ETF</t>
  </si>
  <si>
    <t>235A</t>
  </si>
  <si>
    <t>グローバルＸ　高配当３０－日本株式　ＥＴＦ　受益証券</t>
  </si>
  <si>
    <t>Global X Japan High Dividend 30 ETF</t>
  </si>
  <si>
    <t>236A</t>
  </si>
  <si>
    <t>ｉシェアーズ　日本国債７－１０年　ＥＴＦ　受益証券</t>
  </si>
  <si>
    <t>iShares 7-10 Year Japan Government Bond ETF</t>
  </si>
  <si>
    <t>237A</t>
  </si>
  <si>
    <t>ｉシェアーズ　米国債２５年超　ロングデュレーション　ＥＴＦ　受益証券</t>
  </si>
  <si>
    <t>iShares 25+ Year US Treasury Bond Long Duration ETF</t>
  </si>
  <si>
    <t>238A</t>
  </si>
  <si>
    <t>ｉシェアーズ　米国債２５年超　ロングデュレーション　ＥＴＦ（為替ヘッジあり）　受益証券</t>
  </si>
  <si>
    <t>iShares 25+ Year US Treasury Bond Long Duration JPY Hedged ETF</t>
  </si>
  <si>
    <t>2510</t>
  </si>
  <si>
    <t>ＮＥＸＴ　ＦＵＮＤＳ　国内債券・ＮＯＭＵＲＡ－ＢＰＩ総合連動型上場投信　受益証券</t>
  </si>
  <si>
    <t>NEXT FUNDS Japan Bond NOMURA-BPI Exchange Traded Fund</t>
  </si>
  <si>
    <t>2511</t>
  </si>
  <si>
    <t>ＮＥＸＴ　ＦＵＮＤＳ　外国債券・ＦＴＳＥ世界国債インデックス（除く日本・為替ヘッジなし）連動型上場投信　受益証券</t>
  </si>
  <si>
    <t>NEXT FUNDS International Bond FTSE World Government Bond Index (ex Japan Unhedged) Exchange Traded Fund</t>
  </si>
  <si>
    <t>2512</t>
  </si>
  <si>
    <t>ＮＥＸＴ　ＦＵＮＤＳ　外国債券・ＦＴＳＥ世界国債インデックス（除く日本・為替ヘッジあり）連動型上場投信　受益証券</t>
  </si>
  <si>
    <t>NEXT FUNDS International Bond FTSE World Government Bond Index (ex Japan Yen-Hedged) Exchange Traded Fund</t>
  </si>
  <si>
    <t>2513</t>
  </si>
  <si>
    <t>ＮＥＸＴ　ＦＵＮＤＳ　外国株式・ＭＳＣＩ－ＫＯＫＵＳＡＩ指数（為替ヘッジなし）連動型上場投信　受益証券</t>
  </si>
  <si>
    <t>NEXT FUNDS International Equity MSCI-KOKUSAI (Unhedged) Exchange Traded Fund</t>
  </si>
  <si>
    <t>2514</t>
  </si>
  <si>
    <t>ＮＥＸＴ　ＦＵＮＤＳ　外国株式・ＭＳＣＩ－ＫＯＫＵＳＡＩ指数（為替ヘッジあり）連動型上場投信　受益証券</t>
  </si>
  <si>
    <t>NEXT FUNDS International Equity MSCI-KOKUSAI (Yen-Hedged) Exchange Traded Fund</t>
  </si>
  <si>
    <t>2515</t>
  </si>
  <si>
    <t>ＮＥＸＴ　ＦＵＮＤＳ　外国ＲＥＩＴ・Ｓ＆Ｐ先進国ＲＥＩＴ指数（除く日本・為替ヘッジなし）連動型上場投信　受益証券</t>
  </si>
  <si>
    <t>NEXT FUNDS International REIT S&amp;P Developed REIT Index (ex Japan Unhedged) Exchange Traded Fund</t>
  </si>
  <si>
    <t>2516</t>
  </si>
  <si>
    <t>東証グロース２５０ＥＴＦ　受益証券</t>
  </si>
  <si>
    <t>TSE Growth 250 ETF</t>
  </si>
  <si>
    <t>2517</t>
  </si>
  <si>
    <t>ＭＡＸＩＳ　Ｊリート・コア上場投信　受益証券</t>
  </si>
  <si>
    <t>MAXIS J-REIT Core ETF</t>
  </si>
  <si>
    <t>2518</t>
  </si>
  <si>
    <t>ＮＥＸＴ　ＦＵＮＤＳ　ＭＳＣＩ日本株女性活躍指数（セレクト）連動型上場投信　受益証券</t>
  </si>
  <si>
    <t>NEXT FUNDS MSCI Japan Empowering Women Select Index Exchange Traded Fund</t>
  </si>
  <si>
    <t>2519</t>
  </si>
  <si>
    <t>ＮＥＸＴ　ＦＵＮＤＳ　新興国債券・Ｊ．Ｐ．モルガン・エマージング・マーケット・ボンド・インデックス・プラス（為替ヘッジなし）連動型上場投信　受益証券</t>
  </si>
  <si>
    <t>NEXT FUNDS Emerging Market Bond J.P. Morgan EMBI Plus (Unhedged) Exchange Traded Fund</t>
  </si>
  <si>
    <t>2520</t>
  </si>
  <si>
    <t>ＮＥＸＴ　ＦＵＮＤＳ　新興国株式・ＭＳＣＩエマージング・マーケット・インデックス（為替ヘッジなし）連動型上場投信　受益証券</t>
  </si>
  <si>
    <t>NEXT FUNDS Emerging Market Equity MSCI-EM (Unhedged) Exchange Traded Fund</t>
  </si>
  <si>
    <t>2521</t>
  </si>
  <si>
    <t>上場インデックスファンド米国株式（Ｓ＆Ｐ５００）為替ヘッジあり　受益証券</t>
  </si>
  <si>
    <t>Listed Index Fund US Equity (S&amp;P500) Currency Hedge</t>
  </si>
  <si>
    <t>2522</t>
  </si>
  <si>
    <t>ｉシェアーズ　オートメーション　＆　ロボット　ＥＴＦ　受益証券</t>
  </si>
  <si>
    <t>iShares Automation &amp; Robot ETF</t>
  </si>
  <si>
    <t>2523</t>
  </si>
  <si>
    <t>ＭＡＸＩＳトピックス（除く金融）上場投信　受益証券</t>
  </si>
  <si>
    <t>MAXIS TOPIX Ex-Financials ETF</t>
  </si>
  <si>
    <t>2524</t>
  </si>
  <si>
    <t>ＮＺＡＭ　上場投信　ＴＯＰＩＸ　受益証券</t>
  </si>
  <si>
    <t>NZAM ETF TOPIX</t>
  </si>
  <si>
    <t>2525</t>
  </si>
  <si>
    <t>ＮＺＡＭ　上場投信　日経２２５　受益証券</t>
  </si>
  <si>
    <t>NZAM ETF Nikkei 225</t>
  </si>
  <si>
    <t>2526</t>
  </si>
  <si>
    <t>ＮＺＡＭ　上場投信　ＪＰＸ日経４００　受益証券</t>
  </si>
  <si>
    <t>NZAM ETF JPX-Nikkei400</t>
  </si>
  <si>
    <t>2527</t>
  </si>
  <si>
    <t>ＮＺＡＭ　上場投信　東証ＲＥＩＴ　Ｃｏｒｅ指数　受益証券</t>
  </si>
  <si>
    <t>NZAM ETF J-REIT Core Index</t>
  </si>
  <si>
    <t>2528</t>
  </si>
  <si>
    <t>ｉＦｒｅｅＥＴＦ　東証ＲＥＩＴ　Ｃｏｒｅ指数　受益証券</t>
  </si>
  <si>
    <t>iFreeETF Tokyo Stock Exchange REIT Core Index</t>
  </si>
  <si>
    <t>2529</t>
  </si>
  <si>
    <t>ＮＥＸＴ　ＦＵＮＤＳ　野村株主還元７０連動型上場投信　受益証券</t>
  </si>
  <si>
    <t>NEXT FUNDS Nomura Shareholder Yield 70 Exchange Traded Fund</t>
  </si>
  <si>
    <t>2530</t>
  </si>
  <si>
    <t>ＭＡＸＩＳ　ＨｕａＡｎ中国株式（上海１８０Ａ株）上場投信　受益証券</t>
  </si>
  <si>
    <t>MAXIS HuaAn China Equity (SSE 180 index) ETF</t>
  </si>
  <si>
    <t>2552</t>
  </si>
  <si>
    <t>上場インデックスファンドＪリート（東証ＲＥＩＴ指数）隔月分配型（ミニ）　受益証券</t>
  </si>
  <si>
    <t>Listed Index Fund J-REIT (Tokyo Stock Exchange REIT Index) Bi-Monthly Dividend Payment Type (Mini)</t>
  </si>
  <si>
    <t>2553</t>
  </si>
  <si>
    <t>Ｏｎｅ　ＥＴＦ　南方　中国Ａ株　ＣＳＩ５００　受益証券</t>
  </si>
  <si>
    <t>One ETF Southern China A-Share CSI 500</t>
  </si>
  <si>
    <t>2554</t>
  </si>
  <si>
    <t>ＮＥＸＴ　ＦＵＮＤＳ　ブルームバーグ米国投資適格社債（１－１０年）インデックス（為替ヘッジあり）連動型上場投信　受益証券</t>
  </si>
  <si>
    <t>NEXT FUNDS Bloomberg US Intermediate Corporate Index (JPY Hedged) Exchange Traded Fund</t>
  </si>
  <si>
    <t>2555</t>
  </si>
  <si>
    <t>東証ＲＥＩＴ　ＥＴＦ　受益証券</t>
  </si>
  <si>
    <t>TSE REIT ETF</t>
  </si>
  <si>
    <t>2556</t>
  </si>
  <si>
    <t>Ｏｎｅ　ＥＴＦ　東証ＲＥＩＴ指数　受益証券</t>
  </si>
  <si>
    <t>One ETF Tokyo Stock Exchange REIT Index</t>
  </si>
  <si>
    <t>2557</t>
  </si>
  <si>
    <t>ＳＭＤＡＭ　トピックス上場投信　受益証券</t>
  </si>
  <si>
    <t>SMDAM TOPIX ETF</t>
  </si>
  <si>
    <t>2558</t>
  </si>
  <si>
    <t>ＭＡＸＩＳ米国株式（Ｓ＆Ｐ５００）上場投信　受益証券</t>
  </si>
  <si>
    <t>MAXIS S&amp;P500 US Equity ETF</t>
  </si>
  <si>
    <t>2559</t>
  </si>
  <si>
    <t>ＭＡＸＩＳ全世界株式（オール・カントリー）上場投信　受益証券</t>
  </si>
  <si>
    <t>MAXIS World Equity (MSCI ACWI) ETF</t>
  </si>
  <si>
    <t>2560</t>
  </si>
  <si>
    <t>ＭＡＸＩＳカーボン・エフィシェント日本株上場投信　受益証券</t>
  </si>
  <si>
    <t>MAXIS Carbon Efficient Japan Equity ETF</t>
  </si>
  <si>
    <t>2561</t>
  </si>
  <si>
    <t>ｉシェアーズ・コア　日本国債　ＥＴＦ　受益証券</t>
  </si>
  <si>
    <t>iShares Core Japan Government Bond ETF</t>
  </si>
  <si>
    <t>2562</t>
  </si>
  <si>
    <t>上場インデックスファンド米国株式（ダウ平均）為替ヘッジあり　受益証券</t>
  </si>
  <si>
    <t>Listed Index Fund US Equity (Dow Average) Currency Hedge</t>
  </si>
  <si>
    <t>2563</t>
  </si>
  <si>
    <t>ｉシェアーズ　Ｓ＆Ｐ　５００　米国株　ＥＴＦ（為替ヘッジあり）　受益証券</t>
  </si>
  <si>
    <t>iShares S&amp;P 500 JPY Hedged ETF</t>
  </si>
  <si>
    <t>2564</t>
  </si>
  <si>
    <t>グローバルＸ　ＭＳＣＩスーパーディビィデンド－日本株式　ＥＴＦ　受益証券</t>
  </si>
  <si>
    <t>Global X MSCI SuperDividend Japan ETF</t>
  </si>
  <si>
    <t>2565</t>
  </si>
  <si>
    <t>グローバルＸ　ロジスティクス・Ｊ－ＲＥＩＴ　ＥＴＦ　受益証券</t>
  </si>
  <si>
    <t>Global X Logistics J-REIT ETF</t>
  </si>
  <si>
    <t>2566</t>
  </si>
  <si>
    <t>上場インデックスファンド日経ＥＳＧリート　受益証券</t>
  </si>
  <si>
    <t>Listed Index Fund Nikkei ESG REIT</t>
  </si>
  <si>
    <t>2567</t>
  </si>
  <si>
    <t>ＮＺＡＭ　上場投信　Ｓ＆Ｐ／ＪＰＸカーボン・エフィシェント指数　受益証券</t>
  </si>
  <si>
    <t>NZAM ETF S&amp;P/JPX Carbon Efficient Index</t>
  </si>
  <si>
    <t>2568</t>
  </si>
  <si>
    <t>上場インデックスファンド米国株式（ＮＡＳＤＡＱ１００）為替ヘッジなし　受益証券</t>
  </si>
  <si>
    <t>Listed Index Fund US Equity (NASDAQ100) No Currency Hedge</t>
  </si>
  <si>
    <t>2569</t>
  </si>
  <si>
    <t>上場インデックスファンド米国株式（ＮＡＳＤＡＱ１００）為替ヘッジあり　受益証券</t>
  </si>
  <si>
    <t>Listed Index Fund US Equity (NASDAQ100) Currency Hedge</t>
  </si>
  <si>
    <t>257A</t>
  </si>
  <si>
    <t>ＳＭＴ　ＥＴＦ日本株厳選投資アクティブ　受益証券</t>
  </si>
  <si>
    <t>SMT ETF Selected Japan Equity Active</t>
  </si>
  <si>
    <t>258A</t>
  </si>
  <si>
    <t>ＳＭＴ　ＥＴＦ国内リート厳選投資アクティブ　受益証券</t>
  </si>
  <si>
    <t>SMT ETF Selected J-REIT Active</t>
  </si>
  <si>
    <t>2620</t>
  </si>
  <si>
    <t>ｉシェアーズ　米国債１－３年　ＥＴＦ　受益証券</t>
  </si>
  <si>
    <t>iShares 1-3 Year US Treasury Bond ETF</t>
  </si>
  <si>
    <t>2621</t>
  </si>
  <si>
    <t>ｉシェアーズ　米国債２０年超　ＥＴＦ（為替ヘッジあり）　受益証券</t>
  </si>
  <si>
    <t>iShares 20+ Year US Treasury Bond JPY Hedged ETF</t>
  </si>
  <si>
    <t>2622</t>
  </si>
  <si>
    <t>ｉシェアーズ　米ドル建て新興国債券　ＥＴＦ（為替ヘッジあり）　受益証券</t>
  </si>
  <si>
    <t>iShares USD Emerging Markets Bond JPY Hedged ETF</t>
  </si>
  <si>
    <t>2623</t>
  </si>
  <si>
    <t>ｉシェアーズ　ユーロ建て投資適格社債　ＥＴＦ（為替ヘッジあり）　受益証券</t>
  </si>
  <si>
    <t>iShares Euro Investment Grade Corporate Bond JPY Hedged ETF</t>
  </si>
  <si>
    <t>2624</t>
  </si>
  <si>
    <t>ｉＦｒｅｅＥＴＦ　日経２２５（年４回決算型）　受益証券</t>
  </si>
  <si>
    <t>iFreeETF Nikkei225 (Quarterly Dividend Type)</t>
  </si>
  <si>
    <t>2625</t>
  </si>
  <si>
    <t>ｉＦｒｅｅＥＴＦ　ＴＯＰＩＸ（年４回決算型）　受益証券</t>
  </si>
  <si>
    <t>iFreeETF TOPIX (Quarterly Dividend Type)</t>
  </si>
  <si>
    <t>2626</t>
  </si>
  <si>
    <t>グローバルＸ　デジタル・イノベーション－日本株式　ＥＴＦ　受益証券</t>
  </si>
  <si>
    <t>Global X Digital Innovation Japan ETF</t>
  </si>
  <si>
    <t>2627</t>
  </si>
  <si>
    <t>グローバルＸ　ｅコマース－日本株式　ＥＴＦ　受益証券</t>
  </si>
  <si>
    <t>Global X E-Commerce Japan ETF</t>
  </si>
  <si>
    <t>2628</t>
  </si>
  <si>
    <t>ｉＦｒｅｅＥＴＦ　中国科創板５０（ＳＴＡＲ５０）　受益証券</t>
  </si>
  <si>
    <t>iFreeETF China STAR50</t>
  </si>
  <si>
    <t>2629</t>
  </si>
  <si>
    <t>ｉＦｒｅｅＥＴＦ　中国グレーターベイエリア・イノベーション１００（ＧＢＡ１００）　受益証券</t>
  </si>
  <si>
    <t>iFreeETF China GBA100</t>
  </si>
  <si>
    <t>2630</t>
  </si>
  <si>
    <t>ＭＡＸＩＳ米国株式（Ｓ＆Ｐ５００）上場投信（為替ヘッジあり）　受益証券</t>
  </si>
  <si>
    <t>MAXIS S&amp;P500 US Equity ETF (JPY Hedged)</t>
  </si>
  <si>
    <t>2631</t>
  </si>
  <si>
    <t>ＭＡＸＩＳナスダック１００上場投信　受益証券</t>
  </si>
  <si>
    <t>MAXIS NASDAQ100 ETF</t>
  </si>
  <si>
    <t>2632</t>
  </si>
  <si>
    <t>ＭＡＸＩＳナスダック１００上場投信（為替ヘッジあり）　受益証券</t>
  </si>
  <si>
    <t>MAXIS NASDAQ100 ETF (JPY Hedged)</t>
  </si>
  <si>
    <t>2633</t>
  </si>
  <si>
    <t>ＮＥＸＴ　ＦＵＮＤＳ　Ｓ＆Ｐ　５００　指数（為替ヘッジなし）連動型上場投信　受益証券</t>
  </si>
  <si>
    <t>NEXT FUNDS S&amp;P 500 (Unhedged) Exchange Traded Fund</t>
  </si>
  <si>
    <t>2634</t>
  </si>
  <si>
    <t>ＮＥＸＴ　ＦＵＮＤＳ　Ｓ＆Ｐ　５００　指数（為替ヘッジあり）連動型上場投信　受益証券</t>
  </si>
  <si>
    <t>NEXT FUNDS S&amp;P 500 (Yen-Hedged) Exchange Traded Fund</t>
  </si>
  <si>
    <t>2636</t>
  </si>
  <si>
    <t>グローバルＸ　ＭＳＣＩ　ガバナンス・クオリティ－日本株式　ＥＴＦ　受益証券</t>
  </si>
  <si>
    <t>Global X MSCI Governance-Quality Japan ETF</t>
  </si>
  <si>
    <t>2637</t>
  </si>
  <si>
    <t>グローバルＸ　クリーンテック－日本株式　ＥＴＦ　受益証券</t>
  </si>
  <si>
    <t>Global X CleanTech Japan ETF</t>
  </si>
  <si>
    <t>2638</t>
  </si>
  <si>
    <t>グローバルＸ　ロボティクス＆ＡＩ－日本株式　ＥＴＦ　受益証券</t>
  </si>
  <si>
    <t>Global X Japan Robotics &amp; AI ETF</t>
  </si>
  <si>
    <t>2639</t>
  </si>
  <si>
    <t>グローバルＸ　バイオ＆メドテック－日本株式　ＥＴＦ　受益証券</t>
  </si>
  <si>
    <t>Global X Japan Bio &amp; Med Tech ETF</t>
  </si>
  <si>
    <t>2640</t>
  </si>
  <si>
    <t>グローバルＸ　ゲーム＆アニメ－日本株式　ＥＴＦ　受益証券</t>
  </si>
  <si>
    <t>Global X Japan Games &amp; Animation ETF</t>
  </si>
  <si>
    <t>2641</t>
  </si>
  <si>
    <t>グローバルＸ　グローバルリーダーズ－日本株式　ＥＴＦ　受益証券</t>
  </si>
  <si>
    <t>Global X Japan Global Leaders ETF</t>
  </si>
  <si>
    <t>2642</t>
  </si>
  <si>
    <t>ＳＭＴ　ＥＴＦカーボン・エフィシェント日本株　受益証券</t>
  </si>
  <si>
    <t>SMT ETF Carbon Efficient Index Japan Equity</t>
  </si>
  <si>
    <t>2643</t>
  </si>
  <si>
    <t>ＮＥＸＴ　ＦＵＮＤＳ　ＭＳＣＩジャパンカントリー指数（セレクト）連動型上場投信　受益証券</t>
  </si>
  <si>
    <t>NEXT FUNDS MSCI Japan Country Selection Index Exchange Traded Fund</t>
  </si>
  <si>
    <t>確</t>
  </si>
  <si>
    <t>2644</t>
  </si>
  <si>
    <t>グローバルＸ　半導体関連－日本株式　ＥＴＦ　受益証券</t>
  </si>
  <si>
    <t>Global X Japan Semiconductor ETF</t>
  </si>
  <si>
    <t>2645</t>
  </si>
  <si>
    <t>グローバルＸ　レジャー＆エンターテインメント－日本株式　ＥＴＦ　受益証券</t>
  </si>
  <si>
    <t>Global X Japan Leisure &amp; Entertainment ETF</t>
  </si>
  <si>
    <t>2646</t>
  </si>
  <si>
    <t>グローバルＸ　メタルビジネス－日本株式　ＥＴＦ　受益証券</t>
  </si>
  <si>
    <t>Global X Japan Metal Business ETF</t>
  </si>
  <si>
    <t>2647</t>
  </si>
  <si>
    <t>ＮＥＸＴ　ＦＵＮＤＳ　ブルームバーグ米国国債（７－１０年）インデックス（為替ヘッジなし）連動型上場投信　受益証券</t>
  </si>
  <si>
    <t>NEXT FUNDS Bloomberg US Treasury Bond (7-10 year) Index (Unhedged) Exchange Traded Fund</t>
  </si>
  <si>
    <t>2648</t>
  </si>
  <si>
    <t>ＮＥＸＴ　ＦＵＮＤＳ　ブルームバーグ米国国債（７－１０年）インデックス（為替ヘッジあり）連動型上場投信　受益証券</t>
  </si>
  <si>
    <t>NEXT FUNDS Bloomberg US Treasury Bond (7-10 year) Index (Yen-Hedged) Exchange Traded Fund</t>
  </si>
  <si>
    <t>2649</t>
  </si>
  <si>
    <t>ｉシェアーズ　米国政府系機関ジニーメイＭＢＳ　ＥＴＦ（為替ヘッジあり）　受益証券</t>
  </si>
  <si>
    <t>iShares Ginnie Mae MBS JPY Hedged ETF</t>
  </si>
  <si>
    <t>273A</t>
  </si>
  <si>
    <t>ＳＢＩ　サウジアラビア株式上場投信　受益証券</t>
  </si>
  <si>
    <t>SBI Saudi Arabia Equity Exchange Traded Fund</t>
  </si>
  <si>
    <t>282A</t>
  </si>
  <si>
    <t>グローバルＸ　半導体・トップ１０－日本株式　ＥＴＦ　受益証券</t>
  </si>
  <si>
    <t>Global X Japan Semiconductor Top 10 ETF</t>
  </si>
  <si>
    <t>2836</t>
  </si>
  <si>
    <t>グローバルＸ　フィンテック－日本株式　ＥＴＦ　受益証券</t>
  </si>
  <si>
    <t>Global X Japan Fintech ETF</t>
  </si>
  <si>
    <t>2837</t>
  </si>
  <si>
    <t>グローバルＸ　中小型リーダーズ－日本株式　ＥＴＦ　受益証券</t>
  </si>
  <si>
    <t>Global X Japan Mid &amp; Small Cap Leaders ETF</t>
  </si>
  <si>
    <t>2838</t>
  </si>
  <si>
    <t>ＭＡＸＩＳ米国国債７－１０年上場投信（為替ヘッジなし）　受益証券</t>
  </si>
  <si>
    <t>MAXIS US Treasury Bond 7-10 Year ETF (Unhedged)</t>
  </si>
  <si>
    <t>2839</t>
  </si>
  <si>
    <t>ＭＡＸＩＳ米国国債７－１０年上場投信（為替ヘッジあり）　受益証券</t>
  </si>
  <si>
    <t>MAXIS US Treasury Bond 7-10 Year ETF (JPY Hedged)</t>
  </si>
  <si>
    <t>283A</t>
  </si>
  <si>
    <t>グローバルＸ　ＵＳ　テック・配当貴族　ＥＴＦ　受益証券</t>
  </si>
  <si>
    <t>Global X US Tech Dividend Aristocrats ETF</t>
  </si>
  <si>
    <t>2840</t>
  </si>
  <si>
    <t>ｉＦｒｅｅＥＴＦ　ＮＡＳＤＡＱ１００（為替ヘッジなし）　受益証券</t>
  </si>
  <si>
    <t>iFreeETF NASDAQ100 (NON HEDGED)</t>
  </si>
  <si>
    <t>2841</t>
  </si>
  <si>
    <t>ｉＦｒｅｅＥＴＦ　ＮＡＳＤＡＱ１００（為替ヘッジあり）　受益証券</t>
  </si>
  <si>
    <t>iFreeETF NASDAQ100 (JPY HEDGED)</t>
  </si>
  <si>
    <t>2842</t>
  </si>
  <si>
    <t>ｉＦｒｅｅＥＴＦ　ＮＡＳＤＡＱ１００インバース　受益証券</t>
  </si>
  <si>
    <t>iFreeETF NASDAQ100 Inverse</t>
  </si>
  <si>
    <t>2843</t>
  </si>
  <si>
    <t>上場インデックスファンド豪州国債（為替ヘッジあり）　受益証券</t>
  </si>
  <si>
    <t>Listed Index Fund Australian Government Bond (Currency Hedge)</t>
  </si>
  <si>
    <t>2844</t>
  </si>
  <si>
    <t>上場インデックスファンド豪州国債（為替ヘッジなし）　受益証券</t>
  </si>
  <si>
    <t>Listed Index Fund Australian Government Bond (No Currency Hedge)</t>
  </si>
  <si>
    <t>2845</t>
  </si>
  <si>
    <t>ＮＥＸＴ　ＦＵＮＤＳ　ＮＡＳＤＡＱ－１００（為替ヘッジあり）連動型上場投信　受益証券</t>
  </si>
  <si>
    <t>NEXT FUNDS NASDAQ-100(R) (Yen-Hedged) Exchange Traded Fund</t>
  </si>
  <si>
    <t>2846</t>
  </si>
  <si>
    <t>ＮＥＸＴ　ＦＵＮＤＳ　ダウ・ジョーンズ工業株３０種平均株価（為替ヘッジあり）連動型上場投信　受益証券</t>
  </si>
  <si>
    <t>NEXT FUNDS DJIA (Yen-Hedged) Exchange Traded Fund</t>
  </si>
  <si>
    <t>2847</t>
  </si>
  <si>
    <t>グローバルＸ　新成長インフラ－日本株式　ＥＴＦ　受益証券</t>
  </si>
  <si>
    <t>Global X Japan New Growth Infrastructure ETF</t>
  </si>
  <si>
    <t>2848</t>
  </si>
  <si>
    <t>グローバルＸ　ＭＳＣＩ　気候変動対応－日本株式　ＥＴＦ　受益証券</t>
  </si>
  <si>
    <t>Global X MSCI Japan Climate Change ETF</t>
  </si>
  <si>
    <t>2849</t>
  </si>
  <si>
    <t>グローバルＸ　Ｍｏｒｎｉｎｇｓｔａｒ　高配当　ＥＳＧ－日本株式　ＥＴＦ　受益証券</t>
  </si>
  <si>
    <t>Global X Morningstar Japan High Dividend ESG ETF</t>
  </si>
  <si>
    <t>2851</t>
  </si>
  <si>
    <t>ｉシェアーズ　ＭＳＣＩ　ジャパンＳＲＩ　ＥＴＦ　受益証券</t>
  </si>
  <si>
    <t>iShares MSCI Japan SRI ETF</t>
  </si>
  <si>
    <t>2852</t>
  </si>
  <si>
    <t>ｉシェアーズ　グリーンＪリート　ＥＴＦ　受益証券</t>
  </si>
  <si>
    <t>iShares Japan Green REIT ETF</t>
  </si>
  <si>
    <t>2853</t>
  </si>
  <si>
    <t>ｉシェアーズ　気候リスク調整世界国債　ＥＴＦ（除く日本・為替ヘッジあり）　受益証券</t>
  </si>
  <si>
    <t>iShares Climate Risk-Adjusted Global ex Japan Government Bond JPY Hedged ETF</t>
  </si>
  <si>
    <t>2854</t>
  </si>
  <si>
    <t>グローバルＸ　テック・トップ２０－日本株式　ＥＴＦ　受益証券</t>
  </si>
  <si>
    <t>Global X Japan Tech Top 20 ETF</t>
  </si>
  <si>
    <t>2855</t>
  </si>
  <si>
    <t>グローバルＸ　グリーン・Ｊ－ＲＥＩＴ　ＥＴＦ　受益証券</t>
  </si>
  <si>
    <t>Global X Green J-REIT ETF</t>
  </si>
  <si>
    <t>2856</t>
  </si>
  <si>
    <t>ｉシェアーズ　米国債３－７年　ＥＴＦ（為替ヘッジあり）　受益証券</t>
  </si>
  <si>
    <t>iShares 3-7 Year US Treasury Bond JPY Hedged ETF</t>
  </si>
  <si>
    <t>2857</t>
  </si>
  <si>
    <t>ｉシェアーズ　ドイツ国債　ＥＴＦ（為替ヘッジあり）　受益証券</t>
  </si>
  <si>
    <t>iShares Germany Government Bond JPY Hedged ETF</t>
  </si>
  <si>
    <t>2858</t>
  </si>
  <si>
    <t>グローバルＸ　日経２２５　カバード・コール　ＥＴＦ（プレミアム再投資型）　受益証券</t>
  </si>
  <si>
    <t>Global X Nikkei 225 Covered Call ETF (option premium reinvestment type)</t>
  </si>
  <si>
    <t>2859</t>
  </si>
  <si>
    <t>ＮＥＸＴ　ＦＵＮＤＳ　ユーロ・ストックス５０指数（為替ヘッジあり）連動型上場投信　受益証券</t>
  </si>
  <si>
    <t>NEXT FUNDS EURO STOXX 50 (Yen-Hedged) Exchange Traded Fund</t>
  </si>
  <si>
    <t>2860</t>
  </si>
  <si>
    <t>ＮＥＸＴ　ＦＵＮＤＳ　ドイツ株式・ＤＡＸ（為替ヘッジあり）連動型上場投信　受益証券</t>
  </si>
  <si>
    <t>NEXT FUNDS German Equity DAX (Yen-Hedged) Exchange Traded Fund</t>
  </si>
  <si>
    <t>2861</t>
  </si>
  <si>
    <t>上場インデックスファンドフランス国債（為替ヘッジなし）　受益証券</t>
  </si>
  <si>
    <t>Listed Index Fund France Government Bond (No Currency Hedge)</t>
  </si>
  <si>
    <t>2862</t>
  </si>
  <si>
    <t>上場インデックスファンドフランス国債（為替ヘッジあり）　受益証券</t>
  </si>
  <si>
    <t>Listed Index Fund France Government Bond (Currency Hedge)</t>
  </si>
  <si>
    <t>2864</t>
  </si>
  <si>
    <t>グローバルＸ　ロジスティクス・ＲＥＩＴ　ＥＴＦ　受益証券</t>
  </si>
  <si>
    <t>Global X Logistics REIT ETF</t>
  </si>
  <si>
    <t>2865</t>
  </si>
  <si>
    <t>グローバルＸ　ＮＡＳＤＡＱ１００・カバード・コール　ＥＴＦ　受益証券</t>
  </si>
  <si>
    <t>Global X Nasdaq 100 Covered Call ETF</t>
  </si>
  <si>
    <t>2866</t>
  </si>
  <si>
    <t>グローバルＸ　米国優先証券　ＥＴＦ　受益証券</t>
  </si>
  <si>
    <t>Global X U.S. Preferred Security ETF</t>
  </si>
  <si>
    <t>2867</t>
  </si>
  <si>
    <t>グローバルＸ　自動運転＆ＥＶ　ＥＴＦ　受益証券</t>
  </si>
  <si>
    <t>Global X Autonomous &amp; EV ETF</t>
  </si>
  <si>
    <t>2868</t>
  </si>
  <si>
    <t>グローバルＸ　Ｓ＆Ｐ５００・カバード・コール　ＥＴＦ　受益証券</t>
  </si>
  <si>
    <t>Global X S&amp;P 500 Covered Call ETF</t>
  </si>
  <si>
    <t>2869</t>
  </si>
  <si>
    <t>ｉＦｒｅｅＥＴＦ　ＮＡＳＤＡＱ１００レバレッジ　受益証券</t>
  </si>
  <si>
    <t>iFreeETF NASDAQ100 Leveraged (2x)</t>
  </si>
  <si>
    <t>2870</t>
  </si>
  <si>
    <t>ｉＦｒｅｅＥＴＦ　ＮＡＳＤＡＱ１００ダブルインバース　受益証券</t>
  </si>
  <si>
    <t>iFreeETF NASDAQ100 Double Inverse (-2x)</t>
  </si>
  <si>
    <t>294A</t>
  </si>
  <si>
    <t>ＮＥＸＴ　ＦＵＮＤＳ　ＭＳＣＩジャパン気候変動指数（セレクト）連動型上場投信　受益証券</t>
  </si>
  <si>
    <t>NEXT FUNDS MSCI Global Climate 500 Japan Selection Index Exchange Traded Fund</t>
  </si>
  <si>
    <t>295A</t>
  </si>
  <si>
    <t>Ｏｎｅ　ＥＴＦ　ＦＴＳＥ・サウジアラビア・インデックス　受益証券</t>
  </si>
  <si>
    <t>One ETF FTSE Saudi Arabia Index</t>
  </si>
  <si>
    <t>2971</t>
  </si>
  <si>
    <t>エスコンジャパンリート投資法人　投資証券</t>
  </si>
  <si>
    <t>ESCON JAPAN REIT Investment Corporation</t>
  </si>
  <si>
    <t>2972</t>
  </si>
  <si>
    <t>サンケイリアルエステート投資法人　投資証券</t>
  </si>
  <si>
    <t>SANKEI REAL ESTATE Inc.</t>
  </si>
  <si>
    <t>2979</t>
  </si>
  <si>
    <t>ＳＯＳｉＬＡ物流リート投資法人　投資証券</t>
  </si>
  <si>
    <t>SOSiLA Logistics REIT,Inc.</t>
  </si>
  <si>
    <t>2989</t>
  </si>
  <si>
    <t>東海道リート投資法人　投資証券</t>
  </si>
  <si>
    <t>Tokaido REIT,Inc.</t>
  </si>
  <si>
    <t>313A</t>
  </si>
  <si>
    <t>ｉシェアーズ　Ｓ＆Ｐ　５００　トップ　２０　ＥＴＦ　受益証券</t>
  </si>
  <si>
    <t>iShares S&amp;P 500 Top 20 ETF</t>
  </si>
  <si>
    <t>314A</t>
  </si>
  <si>
    <t>ｉシェアーズ　ゴールド　ＥＴＦ　受益証券</t>
  </si>
  <si>
    <t>iShares Gold ETF</t>
  </si>
  <si>
    <t>315A</t>
  </si>
  <si>
    <t>グローバルＸ　銀行　高配当－日本株式　ＥＴＦ　受益証券</t>
  </si>
  <si>
    <t>Global X Japan Bank High Dividend ETF</t>
  </si>
  <si>
    <t>316A</t>
  </si>
  <si>
    <t>ｉＦｒｅｅＥＴＦ　ＦＡＮＧ＋　受益証券</t>
  </si>
  <si>
    <t>iFreeETF FANG+</t>
  </si>
  <si>
    <t>318A</t>
  </si>
  <si>
    <t>ＶＩＸ短期先物指数ＥＴＦ　受益証券</t>
  </si>
  <si>
    <t>SIMPLEX VIX Short-Term Futures ETF</t>
  </si>
  <si>
    <t>3226</t>
  </si>
  <si>
    <t>三井不動産アコモデーションファンド投資法人　投資証券</t>
  </si>
  <si>
    <t>Mitsui Fudosan Accommodations Fund Inc.</t>
  </si>
  <si>
    <t>3234</t>
  </si>
  <si>
    <t>森ヒルズリート投資法人　投資証券</t>
  </si>
  <si>
    <t>MORI HILLS REIT INVESTMENT CORPORATION</t>
  </si>
  <si>
    <t>3249</t>
  </si>
  <si>
    <t>産業ファンド投資法人　投資証券</t>
  </si>
  <si>
    <t>Industrial &amp; Infrastructure Fund Investment Corporation</t>
  </si>
  <si>
    <t>3269</t>
  </si>
  <si>
    <t>アドバンス・レジデンス投資法人　投資証券</t>
  </si>
  <si>
    <t>Advance Residence Investment Corporation</t>
  </si>
  <si>
    <t>3279</t>
  </si>
  <si>
    <t>アクティビア・プロパティーズ投資法人　投資証券</t>
  </si>
  <si>
    <t>Activia Properties Inc.</t>
  </si>
  <si>
    <t>3281</t>
  </si>
  <si>
    <t>ＧＬＰ投資法人　投資証券</t>
  </si>
  <si>
    <t>GLP J-REIT</t>
  </si>
  <si>
    <t>3282</t>
  </si>
  <si>
    <t>コンフォリア・レジデンシャル投資法人　投資証券</t>
  </si>
  <si>
    <t>Comforia Residential REIT,Inc</t>
  </si>
  <si>
    <t>3283</t>
  </si>
  <si>
    <t>日本プロロジスリート投資法人　投資証券</t>
  </si>
  <si>
    <t>Nippon Prologis REIT,Inc.</t>
  </si>
  <si>
    <t>3287</t>
  </si>
  <si>
    <t>星野リゾート・リート投資法人　投資証券</t>
  </si>
  <si>
    <t>Hoshino Resorts REIT,Inc.</t>
  </si>
  <si>
    <t>328A</t>
  </si>
  <si>
    <t>グローバルＸ　プライシングパワー・リーダーズ－日本株式　ＥＴＦ　受益証券</t>
  </si>
  <si>
    <t>Global X Japan Pricing Power Leaders ETF</t>
  </si>
  <si>
    <t>3290</t>
  </si>
  <si>
    <t>Ｏｎｅリート投資法人　投資証券</t>
  </si>
  <si>
    <t>One REIT,Inc.</t>
  </si>
  <si>
    <t>3292</t>
  </si>
  <si>
    <t>イオンリート投資法人　投資証券</t>
  </si>
  <si>
    <t>AEON REIT Investment Corporation</t>
  </si>
  <si>
    <t>3295</t>
  </si>
  <si>
    <t>ヒューリックリート投資法人　投資証券</t>
  </si>
  <si>
    <t>Hulic Reit,Inc.</t>
  </si>
  <si>
    <t>3296</t>
  </si>
  <si>
    <t>日本リート投資法人　投資証券</t>
  </si>
  <si>
    <t>NIPPON REIT Investment Corporation</t>
  </si>
  <si>
    <t>3309</t>
  </si>
  <si>
    <t>積水ハウス・リート投資法人　投資証券</t>
  </si>
  <si>
    <t>Sekisui House Reit,Inc.</t>
  </si>
  <si>
    <t>3451</t>
  </si>
  <si>
    <t>トーセイ・リート投資法人　投資証券</t>
  </si>
  <si>
    <t>Tosei Reit Investment Corporation</t>
  </si>
  <si>
    <t>3455</t>
  </si>
  <si>
    <t>ヘルスケア＆メディカル投資法人　投資証券</t>
  </si>
  <si>
    <t>Healthcare &amp; Medical Investment Corporation</t>
  </si>
  <si>
    <t>3459</t>
  </si>
  <si>
    <t>サムティ・レジデンシャル投資法人　投資証券</t>
  </si>
  <si>
    <t>Samty Residential Investment Corporation</t>
  </si>
  <si>
    <t>345A</t>
  </si>
  <si>
    <t>高配当成長　日本株（ネットリターン）ＥＴＮ　受益証券</t>
  </si>
  <si>
    <t>High Dividend Growth Japan Equity Net Return ETN</t>
  </si>
  <si>
    <t>3462</t>
  </si>
  <si>
    <t>野村不動産マスターファンド投資法人　投資証券</t>
  </si>
  <si>
    <t>Nomura Real Estate Master Fund,Inc.</t>
  </si>
  <si>
    <t>3463</t>
  </si>
  <si>
    <t>いちごホテルリート投資法人　投資証券</t>
  </si>
  <si>
    <t>Ichigo Hotel REIT Investment Corporation</t>
  </si>
  <si>
    <t>3466</t>
  </si>
  <si>
    <t>ラサールロジポート投資法人　投資証券</t>
  </si>
  <si>
    <t>LaSalle LOGIPORT REIT</t>
  </si>
  <si>
    <t>3468</t>
  </si>
  <si>
    <t>スターアジア不動産投資法人　投資証券</t>
  </si>
  <si>
    <t>Star Asia Investment Corporation</t>
  </si>
  <si>
    <t>346A</t>
  </si>
  <si>
    <t>ＮＥＸＴ　ＦＵＮＤＳ　Ｓ＆Ｐ　５００　半導体・半導体製造装置３５％キャップ指数連動型上場投信　受益証券</t>
  </si>
  <si>
    <t>NEXT FUNDS S&amp;P 500 Semiconductors &amp; Semiconductor Equipment (Industry Group) 35% Capped Index Exchange Traded Fund</t>
  </si>
  <si>
    <t>3470</t>
  </si>
  <si>
    <t>マリモ地方創生リート投資法人　投資証券</t>
  </si>
  <si>
    <t>Marimo Regional Revitalization REIT,Inc.</t>
  </si>
  <si>
    <t>3471</t>
  </si>
  <si>
    <t>三井不動産ロジスティクスパーク投資法人　投資証券</t>
  </si>
  <si>
    <t>Mitsui Fudosan Logistics Park Inc.</t>
  </si>
  <si>
    <t>3472</t>
  </si>
  <si>
    <t>日本ホテル＆レジデンシャル投資法人　投資証券</t>
  </si>
  <si>
    <t>Nippon Hotel &amp; Residential Investment Corporation</t>
  </si>
  <si>
    <t>3476</t>
  </si>
  <si>
    <t>投資法人みらい　投資証券</t>
  </si>
  <si>
    <t>MIRAI Corporation</t>
  </si>
  <si>
    <t>3481</t>
  </si>
  <si>
    <t>三菱地所物流リート投資法人　投資証券</t>
  </si>
  <si>
    <t>Mitsubishi Estate Logistics REIT Investment Corporation</t>
  </si>
  <si>
    <t>3487</t>
  </si>
  <si>
    <t>ＣＲＥロジスティクスファンド投資法人　投資証券</t>
  </si>
  <si>
    <t>CRE Logistics REIT,Inc.</t>
  </si>
  <si>
    <t>3488</t>
  </si>
  <si>
    <t>セントラル・リート投資法人　投資証券</t>
  </si>
  <si>
    <t>CENTRAL REIT Investment Corporation</t>
  </si>
  <si>
    <t>348A</t>
  </si>
  <si>
    <t>ＭＡＸＩＳ読売３３３日本株上場投信　受益証券</t>
  </si>
  <si>
    <t>MAXIS Yomiuri333 Japan Stock ETF</t>
  </si>
  <si>
    <t>3492</t>
  </si>
  <si>
    <t>ＭＩＲＡＲＴＨ不動産投資法人　投資証券</t>
  </si>
  <si>
    <t>MIRARTH Real Estate Investment Corporation</t>
  </si>
  <si>
    <t>349A</t>
  </si>
  <si>
    <t>ＳＭＤＡＭ　Ａｃｔｉｖｅ　ＥＴＦ　日本グロース株式　受益証券</t>
  </si>
  <si>
    <t>SMDAM Active ETF Japan Growth Equity</t>
  </si>
  <si>
    <t>354A</t>
  </si>
  <si>
    <t>ｉＦｒｅｅＥＴＦ　ブルームバーグ日本株高配当５０指数　受益証券</t>
  </si>
  <si>
    <t>iFreeETF Bloomberg Japan High Dividend 50 Index</t>
  </si>
  <si>
    <t>356A</t>
  </si>
  <si>
    <t>グローバルＸ　Ｓ＆Ｐ５００　キャッシュフロー・トップ１００　ＥＴＦ　受益証券</t>
  </si>
  <si>
    <t>Global X S&amp;P 500 Cash Flow Top 100 ETF</t>
  </si>
  <si>
    <t>360A</t>
  </si>
  <si>
    <t>東証ＲＥＩＴ　Ｃｏｒｅ　ＥＴＦ　受益証券</t>
  </si>
  <si>
    <t>TSE REIT Core ETF</t>
  </si>
  <si>
    <t>363A</t>
  </si>
  <si>
    <t>ｉＦｒｅｅＥＴＦ　英国ＦＴＳＥ１００　受益証券</t>
  </si>
  <si>
    <t>iFreeETF FTSE100</t>
  </si>
  <si>
    <t>364A</t>
  </si>
  <si>
    <t>ＮＥＸＴ　ＦＵＮＤＳ　Ｓ＆Ｐ　５００　配当貴族指数連動型上場投信　受益証券</t>
  </si>
  <si>
    <t>NEXT FUNDS S&amp;P 500 Dividend Aristocrats Index Exchange Traded Fund</t>
  </si>
  <si>
    <t>376A</t>
  </si>
  <si>
    <t>ＮＥＸＴ　ＦＵＮＤＳ　ブルームバーグ米国国債（７－１０年）インデックス（７５％為替ヘッジあり）連動型上場投信　受益証券</t>
  </si>
  <si>
    <t>NEXT FUNDS Bloomberg US Treasury Bond (7-10 year) Index (75% Yen-Hedged) Exchange Traded Fund</t>
  </si>
  <si>
    <t>379A</t>
  </si>
  <si>
    <t>グローバルＸ　Ｓ＆Ｐ５００　ＥＴＦ（ダイナミック・プロテクション）　受益証券</t>
  </si>
  <si>
    <t>Global X S&amp;P 500 ETF (Dynamic Protection)</t>
  </si>
  <si>
    <t>380A</t>
  </si>
  <si>
    <t>グローバルＸ　チャイナテック　ＥＴＦ　受益証券</t>
  </si>
  <si>
    <t>Global X China Tech ETF</t>
  </si>
  <si>
    <t>381A</t>
  </si>
  <si>
    <t>ｉＦｒｅｅＥＴＦ　米国国債３－５年（為替ヘッジなし）　受益証券</t>
  </si>
  <si>
    <t>iFreeETF US Treasury Bond 3-5 Year (NON HEDGED)</t>
  </si>
  <si>
    <t>382A</t>
  </si>
  <si>
    <t>ｉＦｒｅｅＥＴＦ　米国国債３－５年（為替ヘッジあり）　受益証券</t>
  </si>
  <si>
    <t>iFreeETF US Treasury Bond 3-5 Year (JPY HEDGED)</t>
  </si>
  <si>
    <t>383A</t>
  </si>
  <si>
    <t>ＭＡＸＩＳ　Ｓ＆Ｐ５００均等ウェイト上場投信　受益証券</t>
  </si>
  <si>
    <t>MAXIS S&amp;P500 Equal Weight ETF</t>
  </si>
  <si>
    <t>392A</t>
  </si>
  <si>
    <t>ｉシェアーズ　ＮＡＳＤＡＱ　トップ　３０　ＥＴＦ　受益証券</t>
  </si>
  <si>
    <t>iShares Nasdaq Top 30 ETF</t>
  </si>
  <si>
    <t>394A</t>
  </si>
  <si>
    <t>業界改革厳選ＥＴＦテレビ業界　受益証券</t>
  </si>
  <si>
    <t>Sector Restructuring Select ETF TV</t>
  </si>
  <si>
    <t>395A</t>
  </si>
  <si>
    <t>業界改革厳選ＥＴＦ地銀　受益証券</t>
  </si>
  <si>
    <t>Sector Restructuring Select ETF Regional Banks</t>
  </si>
  <si>
    <t>396A</t>
  </si>
  <si>
    <t>業界改革厳選ＥＴＦ　ＲＥＩＴイベント・ドリブン　受益証券</t>
  </si>
  <si>
    <t>Sector Restructuring Select ETF Event-Driven REITs</t>
  </si>
  <si>
    <t>399A</t>
  </si>
  <si>
    <t>上場インデックスファンド日経平均高配当株５０　受益証券</t>
  </si>
  <si>
    <t>Listed Index Fund Nikkei 225 High Dividend Yield Stock 50</t>
  </si>
  <si>
    <t>401A</t>
  </si>
  <si>
    <t>霞ヶ関ホテルリート投資法人　投資証券</t>
  </si>
  <si>
    <t>Kasumigaseki Hotel REIT Investment Corporation</t>
  </si>
  <si>
    <t>404A</t>
  </si>
  <si>
    <t>グローバルＸ　チャイナテック・トップ１０　ＥＴＦ　受益証券</t>
  </si>
  <si>
    <t>Global X China Tech Top 10 ETF</t>
  </si>
  <si>
    <t>408A</t>
  </si>
  <si>
    <t>ｉシェアーズ　ＡＩ　グローバル・イノベーション　アクティブ　ＥＴＦ　受益証券</t>
  </si>
  <si>
    <t>iShares A.I. Global Innovation Active ETF</t>
  </si>
  <si>
    <t>412A</t>
  </si>
  <si>
    <t>ＮＥＸＴ　ＦＵＮＤＳ　ＴＩＰ　ＦａｃｔＳｅｔ　台湾イノベイティブ・テクノロジー５０指数連動型上場投信　受益証券</t>
  </si>
  <si>
    <t>NEXT FUNDS TIP FactSet Taiwan Innovative Technology 50 Index Exchange Traded Fund</t>
  </si>
  <si>
    <t>413A</t>
  </si>
  <si>
    <t>ｉＦｒｅｅＥＴＦ　キャセイ台湾テックリーダー指数　受益証券</t>
  </si>
  <si>
    <t>iFreeETF Cathay Taiwan Tech Leader Index</t>
  </si>
  <si>
    <t>424A</t>
  </si>
  <si>
    <t>グローバルＸ　ゴールド　ＥＴＦ（為替ヘッジあり）　受益証券</t>
  </si>
  <si>
    <t>Global X Gold ETF (JPY Hedged)</t>
  </si>
  <si>
    <t>425A</t>
  </si>
  <si>
    <t>グローバルＸ　ゴールド　ＥＴＦ　受益証券</t>
  </si>
  <si>
    <t>Global X Gold ETF</t>
  </si>
  <si>
    <t>426A</t>
  </si>
  <si>
    <t>ニッセイＥＴＦ　Ｓ＆Ｐ５００イコール・ウェイト（為替ヘッジなし）　受益証券</t>
  </si>
  <si>
    <t>Nissay ETF S&amp;P500 Equal Weight (Currency Unhedged)</t>
  </si>
  <si>
    <t>435A</t>
  </si>
  <si>
    <t>ｉＦｒｅｅＥＴＦ　日本株配当ローテーション戦略　受益証券</t>
  </si>
  <si>
    <t>iFreeETF Japan Equity Dividend Rotation Strategy</t>
  </si>
  <si>
    <t>443A</t>
  </si>
  <si>
    <t>ｉＦｒｅｅＥＴＦ　東証ＲＥＩＴ指数（２・５・８・１１月決算型）　受益証券</t>
  </si>
  <si>
    <t>iFreeETF Tokyo Stock Exchange REIT Index (Feb/May/Aug/Nov Dividend Type)</t>
  </si>
  <si>
    <t>447A</t>
  </si>
  <si>
    <t>ステート・ストリート・スパイダー　ゴールド　ＥＴＦ（為替ヘッジなし）　受益証券</t>
  </si>
  <si>
    <t>State Street SPDR Gold ETF (JPY Unhedged)</t>
  </si>
  <si>
    <t>448A</t>
  </si>
  <si>
    <t>ステート・ストリート・スパイダー　ゴールド　ＥＴＦ（為替ヘッジあり）　受益証券</t>
  </si>
  <si>
    <t>State Street SPDR Gold ETF (JPY Hedged)</t>
  </si>
  <si>
    <t>449A</t>
  </si>
  <si>
    <t>ステート・ストリート・スパイダー　Ｓ＆Ｐ５００　ＥＴＦ（為替ヘッジなし）　受益証券</t>
  </si>
  <si>
    <t>State Street SPDR S&amp;P 500 ETF (JPY Unhedged)</t>
  </si>
  <si>
    <t>450A</t>
  </si>
  <si>
    <t>ステート・ストリート・スパイダー　Ｓ＆Ｐ５００　ＥＴＦ（為替ヘッジあり）　受益証券</t>
  </si>
  <si>
    <t>State Street SPDR S&amp;P 500 ETF (JPY Hedged)</t>
  </si>
  <si>
    <t>451A</t>
  </si>
  <si>
    <t>ステート・ストリート・スパイダー　Ｓ＆Ｐ５００高配当株　ＥＴＦ　受益証券</t>
  </si>
  <si>
    <t>State Street SPDR S&amp;P 500 High Dividend ETF (JPY Unhedged)</t>
  </si>
  <si>
    <t>452A</t>
  </si>
  <si>
    <t>ｉシェアーズ　Ｓ＆Ｐ　５００　プレミアムインカム　ＥＴＦ　受益証券</t>
  </si>
  <si>
    <t>iShares S&amp;P 500 Premium Income ETF</t>
  </si>
  <si>
    <t>453A</t>
  </si>
  <si>
    <t>ｉシェアーズ　米国債２０年超　プレミアムインカム　ＥＴＦ　受益証券</t>
  </si>
  <si>
    <t>iShares 20+ Year US Treasury Bond Premium Income ETF</t>
  </si>
  <si>
    <t>459A</t>
  </si>
  <si>
    <t>野村高利回りＪリート指数ＥＴＦ　受益証券</t>
  </si>
  <si>
    <t>Nomura High-yield J-REIT Index ETF</t>
  </si>
  <si>
    <t>461A</t>
  </si>
  <si>
    <t>ＭＡＸＩＳ日本株高配当ＳＭＡＲＴ５０上場投信　受益証券</t>
  </si>
  <si>
    <t>MAXIS Japan Equity High Dividend SMART 50 ETF</t>
  </si>
  <si>
    <t>465A</t>
  </si>
  <si>
    <t>グローバルＸ　日経平均株主還元４０－日本株式　ＥＴＦ　受益証券</t>
  </si>
  <si>
    <t>Global X Japan Nikkei 225 Shareholder Return 40 ETF</t>
  </si>
  <si>
    <t>466A</t>
  </si>
  <si>
    <t>グローバルＸ　防衛テック　ＥＴＦ　受益証券</t>
  </si>
  <si>
    <t>Global X Defense Tech ETF</t>
  </si>
  <si>
    <t>467A</t>
  </si>
  <si>
    <t>グローバルＸ　米ドル建て投資適格社債　ＥＴＦ（為替ヘッジあり）　受益証券</t>
  </si>
  <si>
    <t>Global X USD Investment Grade Corporate Bond ETF (JPY Hedged)</t>
  </si>
  <si>
    <t>468A</t>
  </si>
  <si>
    <t>グローバルＸ　米ドル建て投資適格社債　ＥＴＦ　受益証券</t>
  </si>
  <si>
    <t>Global X USD Investment Grade Corporate Bond ETF</t>
  </si>
  <si>
    <t>473A</t>
  </si>
  <si>
    <t>ニッセイＥＴＦ　日経２２５インデックス　受益証券</t>
  </si>
  <si>
    <t>Nissay ETF Nikkei 225 Index</t>
  </si>
  <si>
    <t>486A</t>
  </si>
  <si>
    <t>ＮＥＸＴ　ＦＵＮＤＳ　ユーロ・ストックス５０指数（為替ヘッジなし）連動型上場投信　受益証券</t>
  </si>
  <si>
    <t>NEXT FUNDS EURO STOXX 50 (Unhedged) Exchange Traded Fund</t>
  </si>
  <si>
    <t>487A</t>
  </si>
  <si>
    <t>ＮＥＸＴ　ＦＵＮＤＳ　ドイツ株式・ＤＡＸ（為替ヘッジなし）連動型上場投信　受益証券</t>
  </si>
  <si>
    <t>NEXT FUNDS German Equity DAX (Unhedged) Exchange Traded Fund</t>
  </si>
  <si>
    <t>488A</t>
  </si>
  <si>
    <t>ｉシェアーズ　円高フォーカス　ＥＴＦ　受益証券</t>
  </si>
  <si>
    <t>iShares Yen Appreciation Focus ETF</t>
  </si>
  <si>
    <t>489A</t>
  </si>
  <si>
    <t>東証ＲＥＩＴ物流フォーカスＥＴＦ　受益証券</t>
  </si>
  <si>
    <t>TSE REIT Logistics Focus ETF</t>
  </si>
  <si>
    <t>491A</t>
  </si>
  <si>
    <t>ｉシェアーズ　Ｓ＆Ｐ　５００　除く金融　ＥＴＦ（為替ヘッジあり）　受益証券</t>
  </si>
  <si>
    <t>iShares S&amp;P 500 Ex-Financials JPY Hedged ETF</t>
  </si>
  <si>
    <t>492A</t>
  </si>
  <si>
    <t>Ｏｎｅ　ＥＴＦ　日本国債　高クーポン（平均残存１０年未満）　受益証券</t>
  </si>
  <si>
    <t>One ETF Japanese Government Bond High Coupon (Average Duration Below Ten Years)</t>
  </si>
  <si>
    <t>493A</t>
  </si>
  <si>
    <t>Ｏｎｅ　ＥＴＦ　日本国債　１－３年　受益証券</t>
  </si>
  <si>
    <t>One ETF Japanese Government Bond 1-3 years</t>
  </si>
  <si>
    <t>494A</t>
  </si>
  <si>
    <t>Ｏｎｅ　ＥＴＦ　日本国債　３－７年　受益証券</t>
  </si>
  <si>
    <t>One ETF Japanese Government Bond 3-7 years</t>
  </si>
  <si>
    <t>495A</t>
  </si>
  <si>
    <t>Ｏｎｅ　ＥＴＦ　日本国債　７－１０年　受益証券</t>
  </si>
  <si>
    <t>One ETF Japanese Government Bond 7-10 years</t>
  </si>
  <si>
    <t>496A</t>
  </si>
  <si>
    <t>Ｏｎｅ　ＥＴＦ　日本国債　１７－２０年　受益証券</t>
  </si>
  <si>
    <t>One ETF Japanese Government Bond 17-20 years</t>
  </si>
  <si>
    <t>497A</t>
  </si>
  <si>
    <t>インバウンド消費関連　日本株（ネットリターン）ＥＴＮ　受益証券</t>
  </si>
  <si>
    <t>Inbound Consumer Related Japan Equity Net Return ETN</t>
  </si>
  <si>
    <t>498A</t>
  </si>
  <si>
    <t>防衛・航空宇宙　欧州株（ネットリターン）ＥＴＮ　受益証券</t>
  </si>
  <si>
    <t>Defense Aerospace Europe Equity Net Return ETN</t>
  </si>
  <si>
    <t>499A</t>
  </si>
  <si>
    <t>ラグジュアリー厳選１０　欧州株（ネットリターン）ＥＴＮ　受益証券</t>
  </si>
  <si>
    <t>Luxury Select 10 Europe Equity Net Return ETN</t>
  </si>
  <si>
    <t>502A</t>
  </si>
  <si>
    <t>グローバルＸ　超短期円建て債券　ＥＴＦ　受益証券</t>
  </si>
  <si>
    <t>Global X JPY Ultra Short-Term Bond ETF</t>
  </si>
  <si>
    <t>509A</t>
  </si>
  <si>
    <t>グリーンライト・再エネインフラ投資法人　投資証券</t>
  </si>
  <si>
    <t>Green Light Renewable Energy Infrastructure Fund</t>
  </si>
  <si>
    <t>512A</t>
  </si>
  <si>
    <t>グローバルＸ　ステーブルコイン＆トークンビジネス　ＥＴＦ（除く日本）　受益証券</t>
  </si>
  <si>
    <t>Global X Stablecoins &amp; Tokenization ETF (ex-Japan)</t>
  </si>
  <si>
    <t>513A</t>
  </si>
  <si>
    <t>グローバルＸ　防衛テック－日本株式　ＥＴＦ　受益証券</t>
  </si>
  <si>
    <t>Global X Japan Defense Tech ETF</t>
  </si>
  <si>
    <t>515A</t>
  </si>
  <si>
    <t>ｉシェアーズ　高格付け日本円社債　ＥＴＦ　受益証券</t>
  </si>
  <si>
    <t>iShares JPY Investment Grade Corporate Bond Active ETF</t>
  </si>
  <si>
    <t>516A</t>
  </si>
  <si>
    <t>ｉＦｒｅｅＥＴＦ　米ドル・ブル（１倍）　受益証券</t>
  </si>
  <si>
    <t>iFreeETF US Dollar Bull (1x)</t>
  </si>
  <si>
    <t>517A</t>
  </si>
  <si>
    <t>ｉＦｒｅｅＥＴＦ　米ドル・ベア（１倍）　受益証券</t>
  </si>
  <si>
    <t>iFreeETF US Dollar Bear (1x)</t>
  </si>
  <si>
    <t>518A</t>
  </si>
  <si>
    <t>ＮＥＸＴ　ＦＵＮＤＳ　ＦＴＳＥ日本株高配当キャッシュフロー５０指数連動型上場投信　受益証券</t>
  </si>
  <si>
    <t>NEXT FUNDS FTSE Japan ex-REITs High Income Cash Flow 50 Index Exchange Traded Fund</t>
  </si>
  <si>
    <t>521A</t>
  </si>
  <si>
    <t>ｉＦｒｅｅＥＴＦ　ＦＡＮＧ＋ゴールド　受益証券</t>
  </si>
  <si>
    <t>iFreeETF FANG+GOLD</t>
  </si>
  <si>
    <t>526A</t>
  </si>
  <si>
    <t>ＪＰＸスタートアップ急成長１００ＥＴＦ　受益証券</t>
  </si>
  <si>
    <t>JPX Startup100 ETF</t>
  </si>
  <si>
    <t>530A</t>
  </si>
  <si>
    <t>ＮＺＡＭ　上場投信　東証ＲＥＩＴ指数（２・５・８・１１月決算型）　受益証券</t>
  </si>
  <si>
    <t>NZAM ETF J-REIT Index(2 5 8 11)</t>
  </si>
  <si>
    <t>531A</t>
  </si>
  <si>
    <t>ＮＺＡＭ　上場投信　日経平均高配当株５０　受益証券</t>
  </si>
  <si>
    <t>NZAM ETF Nikkei High Dividend 50</t>
  </si>
  <si>
    <t>532A</t>
  </si>
  <si>
    <t>ＮＺＡＭ　上場投信　ＴＯＰＩＸ高配当４０　受益証券</t>
  </si>
  <si>
    <t>NZAM ETF TOPIX High Dividend 40</t>
  </si>
  <si>
    <t>533A</t>
  </si>
  <si>
    <t>ＮＺＡＭ　上場投信　Ｓ＆Ｐ５００（為替ヘッジなし）　受益証券</t>
  </si>
  <si>
    <t>NZAM ETF S&amp;P500(Unhedged)</t>
  </si>
  <si>
    <t>534A</t>
  </si>
  <si>
    <t>ＮＺＡＭ　上場投信　ＮＡＳＤＡＱ１００（為替ヘッジなし）　受益証券</t>
  </si>
  <si>
    <t>NZAM ETF NASDAQ100(Unhedged)</t>
  </si>
  <si>
    <t>535A</t>
  </si>
  <si>
    <t>ＮＺＡＭ　上場投信　ＤＡＸ（為替ヘッジなし）　受益証券</t>
  </si>
  <si>
    <t>NZAM ETF DAX(Unhedged)</t>
  </si>
  <si>
    <t>536A</t>
  </si>
  <si>
    <t>ＮＺＡＭ　上場投信　先進国株式（ＭＳＣＩ－ＫＯＫＵＳＡＩ）（為替ヘッジなし）　受益証券</t>
  </si>
  <si>
    <t>NZAM ETF MSCI-KOKUSAI(Unhedged)</t>
  </si>
  <si>
    <t>537A</t>
  </si>
  <si>
    <t>ＮＺＡＭ　上場投信　全世界株式（ＭＳＣＩ　ＡＣＷＩ）（為替ヘッジなし）　受益証券</t>
  </si>
  <si>
    <t>NZAM ETF MSCI ACWI(Unhedged)</t>
  </si>
  <si>
    <t>538A</t>
  </si>
  <si>
    <t>ＮＺＡＭ　上場投信　米国国債７－１０年（為替ヘッジなし）　受益証券</t>
  </si>
  <si>
    <t>NZAM ETF US Treasury 7-10Y(Unhedged)</t>
  </si>
  <si>
    <t>539A</t>
  </si>
  <si>
    <t>ＮＺＡＭ　上場投信　海外債券（ＦＴＳＥ　ＷＧＢＩ除く日本）（為替ヘッジなし）　受益証券</t>
  </si>
  <si>
    <t>NZAM ETF FTSE WGBI ex Japan(Unhedged)</t>
  </si>
  <si>
    <t>540A</t>
  </si>
  <si>
    <t>上場インデックスファンド日経銀行株トップ１０　受益証券</t>
  </si>
  <si>
    <t>Listed Index Fund Nikkei Bank Stock Top 10</t>
  </si>
  <si>
    <t>541A</t>
  </si>
  <si>
    <t>Ｏｎｅ　ＥＴＦ　ＴＯＰＩＸ高配当株グロース指数　受益証券</t>
  </si>
  <si>
    <t>One ETF TOPIX High Dividend Growth Index</t>
  </si>
  <si>
    <t>552A</t>
  </si>
  <si>
    <t>ＭＡＸＩＳ米国ＡＩインフラ株上場投信　受益証券</t>
  </si>
  <si>
    <t>MAXIS US AI Infrastructure Equity ETF</t>
  </si>
  <si>
    <t>563A</t>
  </si>
  <si>
    <t>グローバルＸ　ＮＡＳＤＡＱ１００・デイリー・カバード・コール　ＥＴＦ　受益証券</t>
  </si>
  <si>
    <t>Global X Nasdaq 100 Daily Covered Call ETF</t>
  </si>
  <si>
    <t>564A</t>
  </si>
  <si>
    <t>グローバルＸ　Ｓ＆Ｐ先進国キャッシュフロー・トップ１００　ＥＴＦ　受益証券</t>
  </si>
  <si>
    <t>Global X S&amp;P Developed Cash Flow Top 100 ETF</t>
  </si>
  <si>
    <t>566A</t>
  </si>
  <si>
    <t>ｉＦｒｅｅＥＴＦ　ブルームバーグ日本株（除く金融）高配当５０指数　受益証券</t>
  </si>
  <si>
    <t>iFreeETF Bloomberg Japan ex-Financials High Dividend 50 Index</t>
  </si>
  <si>
    <t>568A</t>
  </si>
  <si>
    <t>ｉシェアーズ　シルバー　ＥＴＦ　受益証券</t>
  </si>
  <si>
    <t>iShares Silver ETF</t>
  </si>
  <si>
    <t>569A</t>
  </si>
  <si>
    <t>ｉシェアーズ　プラチナ　ＥＴＦ　受益証券</t>
  </si>
  <si>
    <t>iShares Platinum ETF</t>
  </si>
  <si>
    <t>570A</t>
  </si>
  <si>
    <t>ｉシェアーズ　日本国債０－１年　ＥＴＦ　受益証券</t>
  </si>
  <si>
    <t>iShares 0-1 Year Japan Government Bond ETF</t>
  </si>
  <si>
    <t>571A</t>
  </si>
  <si>
    <t>ｉシェアーズ　日本国債１－３年　ＥＴＦ　受益証券</t>
  </si>
  <si>
    <t>iShares 1-3 Year Japan Government Bond ETF</t>
  </si>
  <si>
    <t>572A</t>
  </si>
  <si>
    <t>ｉシェアーズ　日本国債３－７年　ＥＴＦ　受益証券</t>
  </si>
  <si>
    <t>iShares 3-7 Year Japan Government Bond ETF</t>
  </si>
  <si>
    <t>573A</t>
  </si>
  <si>
    <t>ｉシェアーズ　日本国債２０年超　ＥＴＦ　受益証券</t>
  </si>
  <si>
    <t>iShares 20+ Year Japan Government Bond ETF</t>
  </si>
  <si>
    <t>576A</t>
  </si>
  <si>
    <t>グローバルＸ　チャイナテック・カバード・コール　ＥＴＦ　受益証券</t>
  </si>
  <si>
    <t>Global X China Tech Covered Call ETF</t>
  </si>
  <si>
    <t>577A</t>
  </si>
  <si>
    <t>グローバルＸ　シルバー　ＥＴＦ　受益証券</t>
  </si>
  <si>
    <t>Global X Silver ETF</t>
  </si>
  <si>
    <t>578A</t>
  </si>
  <si>
    <t>グローバルＸ　シルバー　ＥＴＦ（為替ヘッジあり）　受益証券</t>
  </si>
  <si>
    <t>Global X Silver ETF (JPY Hedged)</t>
  </si>
  <si>
    <t>579A</t>
  </si>
  <si>
    <t>グローバルＸ　銀ビジネス　ＥＴＦ　受益証券</t>
  </si>
  <si>
    <t>Global X Silver Miners ETF</t>
  </si>
  <si>
    <t>580A</t>
  </si>
  <si>
    <t>グローバルＸ　銅ビジネス　ＥＴＦ　受益証券</t>
  </si>
  <si>
    <t>Global X Copper Miners ETF</t>
  </si>
  <si>
    <t>585A</t>
  </si>
  <si>
    <t>日本バリュー・ボトムアップ株式投資戦略アクティブＥＴＦ　受益証券</t>
  </si>
  <si>
    <t>NV Bottom Up Equity Investment Strategy Active ETF</t>
  </si>
  <si>
    <t>586A</t>
  </si>
  <si>
    <t>ＮＥＸＴ　ＦＵＮＤＳ　日経エンタメ・コンテンツ株指数連動型上場投信　受益証券</t>
  </si>
  <si>
    <t>NEXT FUNDS Nikkei Japan Entertainment Content Stock Index Exchange Traded Fund</t>
  </si>
  <si>
    <t>587A</t>
  </si>
  <si>
    <t>インベスコＱＱＱトラスト　シリーズ１　受益証券</t>
  </si>
  <si>
    <t>Invesco QQQ Trust, Series 1</t>
  </si>
  <si>
    <t>600A</t>
  </si>
  <si>
    <t>ニッセイＥＴＦ　ラッセル２０００　受益証券</t>
  </si>
  <si>
    <t>Nissay ETF Russell 2000</t>
  </si>
  <si>
    <t xml:space="preserve">新規上場  </t>
  </si>
  <si>
    <t xml:space="preserve">New Listing  </t>
  </si>
  <si>
    <t xml:space="preserve">2026/07/09  </t>
  </si>
  <si>
    <t>605A</t>
  </si>
  <si>
    <t>ＮＥＸＴ　ＦＵＮＤＳ　日本株政策フォーカス上場投信　受益証券</t>
  </si>
  <si>
    <t>NEXT FUNDS Japan Equity Policy Focus Exchange Traded Fund</t>
  </si>
  <si>
    <t xml:space="preserve">2026/07/14  </t>
  </si>
  <si>
    <t>606A</t>
  </si>
  <si>
    <t>金２倍ブルＥＴＦ　受益証券</t>
  </si>
  <si>
    <t>Gold 2x Bull ETF</t>
  </si>
  <si>
    <t xml:space="preserve">2026/07/15  </t>
  </si>
  <si>
    <t>608A</t>
  </si>
  <si>
    <t>上場インデックスファンド東証ＲＥＩＴ高利回り３０　受益証券</t>
  </si>
  <si>
    <t>Listed Index Fund TSE REIT High Yield 30</t>
  </si>
  <si>
    <t xml:space="preserve">2026/07/21  </t>
  </si>
  <si>
    <t>609A</t>
  </si>
  <si>
    <t>グローバルＸ　総合商社＆資源ビジネス－日本株式　ＥＴＦ　受益証券</t>
  </si>
  <si>
    <t>Global X Japan Wholesale Trade &amp; Resource Business ETF</t>
  </si>
  <si>
    <t xml:space="preserve">2026/07/30  </t>
  </si>
  <si>
    <t>610A</t>
  </si>
  <si>
    <t>グローバルＸ　宇宙テック・トップ１０　ＥＴＦ（除く日本）　受益証券</t>
  </si>
  <si>
    <t>Global X Space Tech Top 10 ETF (ex-Japan)</t>
  </si>
  <si>
    <t>611A</t>
  </si>
  <si>
    <t>Ｏｎｅ　ＥＴＦ　日本国債　２７－３０年　受益証券</t>
  </si>
  <si>
    <t>One ETF Japanese Government Bond 27-30 years</t>
  </si>
  <si>
    <t xml:space="preserve">2026/07/31  </t>
  </si>
  <si>
    <t>612A</t>
  </si>
  <si>
    <t>Ｏｎｅ　ＥＴＦ　日本国債先物逆連動指数　受益証券</t>
  </si>
  <si>
    <t>One ETF JGB Futures Short Index</t>
  </si>
  <si>
    <t>8951</t>
  </si>
  <si>
    <t>日本ビルファンド投資法人　投資証券</t>
  </si>
  <si>
    <t>Nippon Building Fund Inc.</t>
  </si>
  <si>
    <t>8952</t>
  </si>
  <si>
    <t>ジャパンリアルエステイト投資法人　投資証券</t>
  </si>
  <si>
    <t>Japan Real Estate Investment Corporation</t>
  </si>
  <si>
    <t>8953</t>
  </si>
  <si>
    <t>日本都市ファンド投資法人　投資証券</t>
  </si>
  <si>
    <t>Japan Metropolitan Fund Investment Corporation</t>
  </si>
  <si>
    <t>8954</t>
  </si>
  <si>
    <t>オリックス不動産投資法人　投資証券</t>
  </si>
  <si>
    <t>ORIX JREIT Inc.</t>
  </si>
  <si>
    <t>8955</t>
  </si>
  <si>
    <t>日本プライムリアルティ投資法人　投資証券</t>
  </si>
  <si>
    <t>Japan Prime Realty Investment Corporation</t>
  </si>
  <si>
    <t>8956</t>
  </si>
  <si>
    <t>ＮＴＴ都市開発リート投資法人　投資証券</t>
  </si>
  <si>
    <t>NTT UD REIT Investment Corporation</t>
  </si>
  <si>
    <t>8957</t>
  </si>
  <si>
    <t>東急リアル・エステート投資法人　投資証券</t>
  </si>
  <si>
    <t>TOKYU REIT, Inc.</t>
  </si>
  <si>
    <t>8958</t>
  </si>
  <si>
    <t>グローバル・ワン不動産投資法人　投資証券</t>
  </si>
  <si>
    <t>Global One Real Estate Investment Corporation</t>
  </si>
  <si>
    <t>8960</t>
  </si>
  <si>
    <t>ユナイテッド・アーバン投資法人　投資証券</t>
  </si>
  <si>
    <t>United Urban Investment Corporation</t>
  </si>
  <si>
    <t>8961</t>
  </si>
  <si>
    <t>森トラストリート投資法人　投資証券</t>
  </si>
  <si>
    <t>MORI TRUST REIT,Inc.</t>
  </si>
  <si>
    <t>8963</t>
  </si>
  <si>
    <t>インヴィンシブル投資法人　投資証券</t>
  </si>
  <si>
    <t>Invincible Investment Corporation</t>
  </si>
  <si>
    <t>8964</t>
  </si>
  <si>
    <t>三井不動産商業ファンド投資法人　投資証券</t>
  </si>
  <si>
    <t>Mitsui Fudosan Retail Fund Investment Corporation</t>
  </si>
  <si>
    <t>8966</t>
  </si>
  <si>
    <t>平和不動産リート投資法人　投資証券</t>
  </si>
  <si>
    <t>HEIWA REAL ESTATE REIT,Inc.</t>
  </si>
  <si>
    <t>8967</t>
  </si>
  <si>
    <t>日本ロジスティクスファンド投資法人　投資証券</t>
  </si>
  <si>
    <t>Japan Logistics Fund,Inc.</t>
  </si>
  <si>
    <t>8968</t>
  </si>
  <si>
    <t>福岡リート投資法人　投資証券</t>
  </si>
  <si>
    <t>Fukuoka REIT Corporation</t>
  </si>
  <si>
    <t>8972</t>
  </si>
  <si>
    <t>ＫＤＸ不動産投資法人　投資証券</t>
  </si>
  <si>
    <t>KDX Realty Investment Corporation</t>
  </si>
  <si>
    <t>8975</t>
  </si>
  <si>
    <t>いちごオフィスリート投資法人　投資証券</t>
  </si>
  <si>
    <t>Ichigo Office REIT Investment Corporation</t>
  </si>
  <si>
    <t>8976</t>
  </si>
  <si>
    <t>大和証券オフィス投資法人　投資証券</t>
  </si>
  <si>
    <t>Daiwa Office Investment Corporation</t>
  </si>
  <si>
    <t>8977</t>
  </si>
  <si>
    <t>阪急阪神リート投資法人　投資証券</t>
  </si>
  <si>
    <t>Hankyu Hanshin REIT,Inc.</t>
  </si>
  <si>
    <t>8979</t>
  </si>
  <si>
    <t>スターツプロシード投資法人　投資証券</t>
  </si>
  <si>
    <t>Starts Proceed Investment Corporation</t>
  </si>
  <si>
    <t>8984</t>
  </si>
  <si>
    <t>大和ハウスリート投資法人　投資証券</t>
  </si>
  <si>
    <t>Daiwa House REIT Investment Corporation</t>
  </si>
  <si>
    <t>8985</t>
  </si>
  <si>
    <t>ジャパン・ホテル・リート投資法人　投資証券</t>
  </si>
  <si>
    <t>Japan Hotel REIT Investment Corporation</t>
  </si>
  <si>
    <t>8986</t>
  </si>
  <si>
    <t>大和証券リビング投資法人　投資証券</t>
  </si>
  <si>
    <t>Daiwa Securities Living Investment Corporation</t>
  </si>
  <si>
    <t>8987</t>
  </si>
  <si>
    <t>ジャパンエクセレント投資法人　投資証券</t>
  </si>
  <si>
    <t>Japan Excellent,Inc.</t>
  </si>
  <si>
    <t>9282</t>
  </si>
  <si>
    <t>いちごグリーンインフラ投資法人　投資証券</t>
  </si>
  <si>
    <t>Ichigo Green Infrastructure Investment Corporation</t>
  </si>
  <si>
    <t>9284</t>
  </si>
  <si>
    <t>カナディアン・ソーラー・インフラ投資法人　投資証券</t>
  </si>
  <si>
    <t>Canadian Solar Infrastructure Fund,Inc.</t>
  </si>
  <si>
    <t>9285</t>
  </si>
  <si>
    <t>東京インフラ・エネルギー投資法人　投資証券</t>
  </si>
  <si>
    <t>Tokyo Infrastructure Energy Investment Corporation</t>
  </si>
  <si>
    <t>9286</t>
  </si>
  <si>
    <t>エネクス・インフラ投資法人　投資証券</t>
  </si>
  <si>
    <t>Enex Infrastructure Investment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</si>
</sst>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_);[Red]\(0\)"/>
    <numFmt numFmtId="178" formatCode="_-&quot;｣&quot;* #,##0_-;\-&quot;｣&quot;* #,##0_-;_-&quot;｣&quot;* &quot;-&quot;_-;_-@_-"/>
    <numFmt numFmtId="179" formatCode="_-&quot;｣&quot;* #,##0.00_-;\-&quot;｣&quot;* #,##0.00_-;_-&quot;｣&quot;* &quot;-&quot;??_-;_-@_-"/>
    <numFmt numFmtId="180" formatCode="&quot;$&quot;#,##0;[Red]\-&quot;$&quot;#,##0"/>
    <numFmt numFmtId="181" formatCode="&quot;$&quot;#,##0.00;[Red]\-&quot;$&quot;#,##0.00"/>
    <numFmt numFmtId="182" formatCode="0.00_)"/>
    <numFmt numFmtId="183" formatCode="0.00000"/>
    <numFmt numFmtId="184" formatCode="_(* #,##0_);_(* \(#,##0\);_(* &quot;-&quot;_);_(@_)"/>
    <numFmt numFmtId="185" formatCode="#,##0.0&quot;人月&quot;"/>
    <numFmt numFmtId="186" formatCode="_(&quot;$&quot;* #,##0.00_);_(&quot;$&quot;* \(#,##0.00\);_(&quot;$&quot;* &quot;-&quot;??_);_(@_)"/>
    <numFmt numFmtId="187" formatCode="_(&quot;$&quot;* #,##0_);_(&quot;$&quot;* \(#,##0\);_(&quot;$&quot;* &quot;-&quot;_);_(@_)"/>
    <numFmt numFmtId="188" formatCode="0_)"/>
    <numFmt numFmtId="189" formatCode="#0"/>
  </numFmts>
  <fonts count="9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40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i/>
      <sz val="16"/>
      <name val="Helv"/>
      <family val="2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strike/>
      <sz val="11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0"/>
      <name val="Courier"/>
      <family val="3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38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12" fillId="0" borderId="0"/>
    <xf numFmtId="0" fontId="8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7" fillId="0" borderId="0">
      <alignment horizontal="center" wrapText="1"/>
      <protection locked="0"/>
    </xf>
    <xf numFmtId="0" fontId="18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176" fontId="13" fillId="0" borderId="0" applyFill="0" applyBorder="0" applyAlignment="0"/>
    <xf numFmtId="177" fontId="7" fillId="0" borderId="0" applyFill="0" applyBorder="0" applyAlignment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1" fillId="20" borderId="27" applyNumberFormat="0" applyAlignment="0" applyProtection="0"/>
    <xf numFmtId="0" fontId="22" fillId="21" borderId="28" applyNumberFormat="0" applyAlignment="0" applyProtection="0"/>
    <xf numFmtId="0" fontId="23" fillId="0" borderId="0">
      <alignment vertical="top" wrapText="1"/>
    </xf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25" fillId="0" borderId="0">
      <alignment horizontal="left"/>
    </xf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38" fontId="28" fillId="22" borderId="0" applyNumberFormat="0" applyBorder="0" applyAlignment="0" applyProtection="0"/>
    <xf numFmtId="0" fontId="29" fillId="23" borderId="0"/>
    <xf numFmtId="0" fontId="30" fillId="0" borderId="29" applyNumberFormat="0" applyAlignment="0" applyProtection="0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0" fillId="0" borderId="26">
      <alignment horizontal="left" vertical="center"/>
    </xf>
    <xf numFmtId="0" fontId="31" fillId="0" borderId="30" applyNumberFormat="0" applyFill="0" applyAlignment="0" applyProtection="0"/>
    <xf numFmtId="0" fontId="32" fillId="0" borderId="31" applyNumberFormat="0" applyFill="0" applyAlignment="0" applyProtection="0"/>
    <xf numFmtId="0" fontId="33" fillId="0" borderId="32" applyNumberFormat="0" applyFill="0" applyAlignment="0" applyProtection="0"/>
    <xf numFmtId="0" fontId="33" fillId="0" borderId="0" applyNumberFormat="0" applyFill="0" applyBorder="0" applyAlignment="0" applyProtection="0"/>
    <xf numFmtId="0" fontId="7" fillId="0" borderId="0" applyBorder="0"/>
    <xf numFmtId="0" fontId="34" fillId="7" borderId="27" applyNumberFormat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10" fontId="28" fillId="24" borderId="21" applyNumberFormat="0" applyBorder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34" fillId="7" borderId="27" applyNumberFormat="0" applyAlignment="0" applyProtection="0"/>
    <xf numFmtId="0" fontId="7" fillId="0" borderId="0"/>
    <xf numFmtId="0" fontId="35" fillId="0" borderId="33" applyNumberFormat="0" applyFill="0" applyAlignment="0" applyProtection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25" borderId="0" applyNumberFormat="0" applyBorder="0" applyAlignment="0" applyProtection="0"/>
    <xf numFmtId="37" fontId="38" fillId="0" borderId="0"/>
    <xf numFmtId="182" fontId="39" fillId="0" borderId="0"/>
    <xf numFmtId="183" fontId="7" fillId="0" borderId="0"/>
    <xf numFmtId="183" fontId="7" fillId="0" borderId="0"/>
    <xf numFmtId="182" fontId="39" fillId="0" borderId="0"/>
    <xf numFmtId="0" fontId="24" fillId="0" borderId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24" fillId="26" borderId="34" applyNumberFormat="0" applyFon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0" fontId="40" fillId="20" borderId="35" applyNumberFormat="0" applyAlignment="0" applyProtection="0"/>
    <xf numFmtId="14" fontId="17" fillId="0" borderId="0">
      <alignment horizontal="center" wrapText="1"/>
      <protection locked="0"/>
    </xf>
    <xf numFmtId="10" fontId="24" fillId="0" borderId="0" applyFont="0" applyFill="0" applyBorder="0" applyAlignment="0" applyProtection="0"/>
    <xf numFmtId="4" fontId="25" fillId="0" borderId="0">
      <alignment horizontal="right"/>
    </xf>
    <xf numFmtId="0" fontId="41" fillId="0" borderId="0" applyNumberFormat="0" applyFont="0" applyFill="0" applyBorder="0" applyAlignment="0" applyProtection="0">
      <alignment horizontal="left"/>
    </xf>
    <xf numFmtId="0" fontId="42" fillId="0" borderId="36">
      <alignment horizontal="center"/>
    </xf>
    <xf numFmtId="0" fontId="43" fillId="0" borderId="0" applyNumberFormat="0" applyFont="0" applyFill="0" applyBorder="0" applyAlignment="0"/>
    <xf numFmtId="4" fontId="44" fillId="0" borderId="0">
      <alignment horizontal="right"/>
    </xf>
    <xf numFmtId="0" fontId="45" fillId="0" borderId="0">
      <alignment horizontal="left"/>
    </xf>
    <xf numFmtId="0" fontId="46" fillId="0" borderId="0"/>
    <xf numFmtId="0" fontId="47" fillId="0" borderId="0">
      <alignment horizontal="center"/>
    </xf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8" fillId="0" borderId="37" applyNumberFormat="0" applyFill="0" applyAlignment="0" applyProtection="0"/>
    <xf numFmtId="0" fontId="49" fillId="0" borderId="0" applyNumberForma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2" fillId="21" borderId="28" applyNumberFormat="0" applyAlignment="0" applyProtection="0">
      <alignment vertical="center"/>
    </xf>
    <xf numFmtId="0" fontId="53" fillId="0" borderId="0"/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14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7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8" fillId="26" borderId="34" applyNumberFormat="0" applyFont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8" fillId="0" borderId="33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1" fillId="20" borderId="27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43" fontId="24" fillId="0" borderId="0" applyFont="0" applyFill="0" applyBorder="0" applyAlignment="0" applyProtection="0"/>
    <xf numFmtId="38" fontId="63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64" fillId="0" borderId="0" applyFont="0" applyFill="0" applyBorder="0" applyAlignment="0" applyProtection="0">
      <alignment vertical="center"/>
    </xf>
    <xf numFmtId="38" fontId="65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65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84" fontId="24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6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7" fillId="0" borderId="30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8" fillId="0" borderId="31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/>
    <xf numFmtId="49" fontId="71" fillId="27" borderId="17" applyNumberFormat="0" applyFill="0" applyBorder="0" applyProtection="0"/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0" fontId="73" fillId="20" borderId="35" applyNumberFormat="0" applyAlignment="0" applyProtection="0">
      <alignment vertical="center"/>
    </xf>
    <xf numFmtId="185" fontId="59" fillId="0" borderId="0"/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6" fontId="66" fillId="0" borderId="0" applyFont="0" applyFill="0" applyBorder="0" applyAlignment="0" applyProtection="0">
      <alignment vertical="center"/>
    </xf>
    <xf numFmtId="6" fontId="75" fillId="0" borderId="0" applyFont="0" applyFill="0" applyBorder="0" applyAlignment="0" applyProtection="0">
      <alignment vertical="center"/>
    </xf>
    <xf numFmtId="6" fontId="66" fillId="0" borderId="0" applyFont="0" applyFill="0" applyBorder="0" applyAlignment="0" applyProtection="0">
      <alignment vertical="center"/>
    </xf>
    <xf numFmtId="6" fontId="66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6" fillId="7" borderId="27" applyNumberFormat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" fillId="0" borderId="0"/>
    <xf numFmtId="0" fontId="64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66" fillId="0" borderId="0">
      <alignment vertical="center"/>
    </xf>
    <xf numFmtId="0" fontId="8" fillId="0" borderId="0"/>
    <xf numFmtId="0" fontId="79" fillId="0" borderId="0">
      <alignment vertical="center"/>
    </xf>
    <xf numFmtId="0" fontId="66" fillId="0" borderId="0">
      <alignment vertical="center"/>
    </xf>
    <xf numFmtId="0" fontId="8" fillId="0" borderId="0"/>
    <xf numFmtId="0" fontId="8" fillId="0" borderId="0"/>
    <xf numFmtId="0" fontId="8" fillId="0" borderId="0"/>
    <xf numFmtId="0" fontId="8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/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/>
    <xf numFmtId="0" fontId="66" fillId="0" borderId="0"/>
    <xf numFmtId="0" fontId="66" fillId="0" borderId="0">
      <alignment vertical="center"/>
    </xf>
    <xf numFmtId="0" fontId="81" fillId="0" borderId="0">
      <alignment vertical="center"/>
    </xf>
    <xf numFmtId="0" fontId="66" fillId="0" borderId="0"/>
    <xf numFmtId="0" fontId="81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2" fillId="0" borderId="0">
      <alignment vertical="center"/>
    </xf>
    <xf numFmtId="0" fontId="8" fillId="0" borderId="0"/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2" fillId="0" borderId="0"/>
    <xf numFmtId="0" fontId="66" fillId="0" borderId="0">
      <alignment vertical="center"/>
    </xf>
    <xf numFmtId="0" fontId="66" fillId="0" borderId="0">
      <alignment vertical="center"/>
    </xf>
    <xf numFmtId="0" fontId="2" fillId="0" borderId="0"/>
    <xf numFmtId="0" fontId="64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/>
    <xf numFmtId="0" fontId="66" fillId="0" borderId="0">
      <alignment vertical="center"/>
    </xf>
    <xf numFmtId="0" fontId="8" fillId="0" borderId="0"/>
    <xf numFmtId="0" fontId="7" fillId="0" borderId="0">
      <alignment vertical="center"/>
    </xf>
    <xf numFmtId="0" fontId="83" fillId="0" borderId="0"/>
    <xf numFmtId="0" fontId="66" fillId="0" borderId="0"/>
    <xf numFmtId="0" fontId="7" fillId="0" borderId="0">
      <alignment vertical="center"/>
    </xf>
    <xf numFmtId="0" fontId="66" fillId="0" borderId="0">
      <alignment vertical="center"/>
    </xf>
    <xf numFmtId="0" fontId="66" fillId="0" borderId="0"/>
    <xf numFmtId="0" fontId="8" fillId="0" borderId="0">
      <alignment vertical="center"/>
    </xf>
    <xf numFmtId="0" fontId="7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77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2" fillId="0" borderId="0"/>
    <xf numFmtId="0" fontId="79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4" fillId="0" borderId="0">
      <alignment vertical="center"/>
    </xf>
    <xf numFmtId="0" fontId="8" fillId="0" borderId="0"/>
    <xf numFmtId="0" fontId="66" fillId="0" borderId="0">
      <alignment vertical="center"/>
    </xf>
    <xf numFmtId="0" fontId="8" fillId="0" borderId="0"/>
    <xf numFmtId="0" fontId="66" fillId="0" borderId="0"/>
    <xf numFmtId="0" fontId="66" fillId="0" borderId="0"/>
    <xf numFmtId="0" fontId="8" fillId="0" borderId="0"/>
    <xf numFmtId="0" fontId="8" fillId="0" borderId="0">
      <alignment vertical="center"/>
    </xf>
    <xf numFmtId="0" fontId="64" fillId="0" borderId="0">
      <alignment vertical="center"/>
    </xf>
    <xf numFmtId="0" fontId="83" fillId="0" borderId="0"/>
    <xf numFmtId="0" fontId="64" fillId="0" borderId="0">
      <alignment vertical="center"/>
    </xf>
    <xf numFmtId="0" fontId="8" fillId="0" borderId="0"/>
    <xf numFmtId="0" fontId="8" fillId="0" borderId="0">
      <alignment vertical="center"/>
    </xf>
    <xf numFmtId="0" fontId="83" fillId="0" borderId="0"/>
    <xf numFmtId="0" fontId="8" fillId="0" borderId="0"/>
    <xf numFmtId="0" fontId="8" fillId="0" borderId="0"/>
    <xf numFmtId="0" fontId="83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3" fillId="0" borderId="0"/>
    <xf numFmtId="0" fontId="83" fillId="0" borderId="0"/>
    <xf numFmtId="0" fontId="8" fillId="0" borderId="0"/>
    <xf numFmtId="0" fontId="83" fillId="0" borderId="0"/>
    <xf numFmtId="0" fontId="1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4" fillId="0" borderId="0">
      <alignment vertical="center"/>
    </xf>
    <xf numFmtId="0" fontId="8" fillId="0" borderId="0"/>
    <xf numFmtId="0" fontId="8" fillId="0" borderId="0"/>
    <xf numFmtId="0" fontId="66" fillId="0" borderId="0"/>
    <xf numFmtId="0" fontId="66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66" fillId="0" borderId="0">
      <alignment vertical="center"/>
    </xf>
    <xf numFmtId="0" fontId="8" fillId="0" borderId="0"/>
    <xf numFmtId="0" fontId="8" fillId="0" borderId="0"/>
    <xf numFmtId="0" fontId="66" fillId="0" borderId="0">
      <alignment vertical="center"/>
    </xf>
    <xf numFmtId="0" fontId="8" fillId="0" borderId="0"/>
    <xf numFmtId="0" fontId="8" fillId="0" borderId="0"/>
    <xf numFmtId="0" fontId="66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66" fillId="0" borderId="0">
      <alignment vertical="center"/>
    </xf>
    <xf numFmtId="0" fontId="66" fillId="0" borderId="0">
      <alignment vertical="center"/>
    </xf>
    <xf numFmtId="0" fontId="64" fillId="0" borderId="0"/>
    <xf numFmtId="0" fontId="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5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8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7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8" fillId="0" borderId="0"/>
    <xf numFmtId="0" fontId="8" fillId="0" borderId="0"/>
    <xf numFmtId="0" fontId="6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6" fillId="0" borderId="0">
      <alignment vertical="center"/>
    </xf>
    <xf numFmtId="0" fontId="66" fillId="0" borderId="0">
      <alignment vertical="center"/>
    </xf>
    <xf numFmtId="0" fontId="8" fillId="0" borderId="0"/>
    <xf numFmtId="0" fontId="66" fillId="0" borderId="0">
      <alignment vertical="center"/>
    </xf>
    <xf numFmtId="0" fontId="8" fillId="0" borderId="0"/>
    <xf numFmtId="0" fontId="8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2" fillId="0" borderId="0">
      <alignment vertical="center"/>
    </xf>
    <xf numFmtId="0" fontId="8" fillId="0" borderId="0"/>
    <xf numFmtId="0" fontId="8" fillId="0" borderId="0">
      <alignment vertical="center"/>
    </xf>
    <xf numFmtId="0" fontId="8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" fillId="0" borderId="0">
      <alignment vertical="center"/>
    </xf>
    <xf numFmtId="0" fontId="8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2" fillId="0" borderId="0"/>
    <xf numFmtId="0" fontId="87" fillId="0" borderId="0">
      <alignment vertical="center"/>
    </xf>
    <xf numFmtId="0" fontId="2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8" fillId="0" borderId="0"/>
    <xf numFmtId="0" fontId="89" fillId="0" borderId="0"/>
    <xf numFmtId="0" fontId="53" fillId="0" borderId="0"/>
    <xf numFmtId="49" fontId="77" fillId="0" borderId="0" applyFill="0" applyBorder="0"/>
    <xf numFmtId="188" fontId="90" fillId="0" borderId="0"/>
    <xf numFmtId="0" fontId="91" fillId="0" borderId="0"/>
    <xf numFmtId="0" fontId="92" fillId="0" borderId="0"/>
    <xf numFmtId="0" fontId="91" fillId="0" borderId="0"/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8" fillId="0" borderId="0"/>
  </cellStyleXfs>
  <cellXfs count="47">
    <xf numFmtId="0" fontId="0" fillId="0" borderId="0" xfId="0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4" fillId="0" borderId="0" xfId="1" applyNumberFormat="1" applyFont="1">
      <alignment vertical="center"/>
    </xf>
    <xf numFmtId="0" fontId="2" fillId="0" borderId="1" xfId="1" applyFont="1" applyFill="1" applyBorder="1">
      <alignment vertical="center"/>
    </xf>
    <xf numFmtId="0" fontId="2" fillId="0" borderId="2" xfId="1" applyFont="1" applyFill="1" applyBorder="1">
      <alignment vertical="center"/>
    </xf>
    <xf numFmtId="0" fontId="2" fillId="0" borderId="2" xfId="1" applyNumberFormat="1" applyFont="1" applyFill="1" applyBorder="1">
      <alignment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" xfId="1" applyNumberFormat="1" applyFont="1" applyFill="1" applyBorder="1" applyAlignment="1">
      <alignment horizontal="center" vertical="center"/>
    </xf>
    <xf numFmtId="0" fontId="7" fillId="0" borderId="10" xfId="1" applyNumberFormat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49" fontId="7" fillId="0" borderId="9" xfId="2" applyNumberFormat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14" xfId="1" applyNumberFormat="1" applyFont="1" applyFill="1" applyBorder="1" applyAlignment="1">
      <alignment horizontal="center" vertical="center"/>
    </xf>
    <xf numFmtId="49" fontId="2" fillId="0" borderId="15" xfId="2" applyNumberFormat="1" applyFont="1" applyFill="1" applyBorder="1" applyAlignment="1">
      <alignment horizontal="center" vertical="center"/>
    </xf>
    <xf numFmtId="49" fontId="7" fillId="0" borderId="13" xfId="2" applyNumberFormat="1" applyFont="1" applyFill="1" applyBorder="1" applyAlignment="1">
      <alignment horizontal="center" vertical="center"/>
    </xf>
    <xf numFmtId="49" fontId="2" fillId="0" borderId="16" xfId="2" applyNumberFormat="1" applyFont="1" applyFill="1" applyBorder="1" applyAlignment="1">
      <alignment horizontal="center" vertical="center"/>
    </xf>
    <xf numFmtId="49" fontId="2" fillId="0" borderId="13" xfId="2" applyNumberFormat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right" vertical="center"/>
    </xf>
    <xf numFmtId="0" fontId="2" fillId="0" borderId="6" xfId="1" applyNumberFormat="1" applyFont="1" applyFill="1" applyBorder="1" applyAlignment="1">
      <alignment horizontal="right" vertical="center"/>
    </xf>
    <xf numFmtId="0" fontId="2" fillId="0" borderId="18" xfId="1" applyNumberFormat="1" applyFont="1" applyFill="1" applyBorder="1" applyAlignment="1">
      <alignment horizontal="right" vertical="center"/>
    </xf>
    <xf numFmtId="0" fontId="2" fillId="0" borderId="19" xfId="1" applyNumberFormat="1" applyFont="1" applyFill="1" applyBorder="1" applyAlignment="1">
      <alignment horizontal="right" vertical="center"/>
    </xf>
    <xf numFmtId="49" fontId="11" fillId="0" borderId="17" xfId="2" applyNumberFormat="1" applyFont="1" applyFill="1" applyBorder="1" applyAlignment="1">
      <alignment horizontal="right"/>
    </xf>
    <xf numFmtId="49" fontId="11" fillId="0" borderId="20" xfId="2" applyNumberFormat="1" applyFont="1" applyFill="1" applyBorder="1" applyAlignment="1">
      <alignment horizontal="right"/>
    </xf>
    <xf numFmtId="49" fontId="11" fillId="0" borderId="19" xfId="2" applyNumberFormat="1" applyFont="1" applyFill="1" applyBorder="1" applyAlignment="1">
      <alignment horizontal="right"/>
    </xf>
    <xf numFmtId="49" fontId="7" fillId="0" borderId="21" xfId="1" applyNumberFormat="1" applyFont="1" applyFill="1" applyBorder="1" applyAlignment="1">
      <alignment horizontal="left" vertical="center"/>
    </xf>
    <xf numFmtId="49" fontId="7" fillId="0" borderId="22" xfId="1" applyNumberFormat="1" applyFont="1" applyFill="1" applyBorder="1" applyAlignment="1">
      <alignment horizontal="left" vertical="center"/>
    </xf>
    <xf numFmtId="49" fontId="7" fillId="0" borderId="23" xfId="1" applyNumberFormat="1" applyFont="1" applyFill="1" applyBorder="1" applyAlignment="1">
      <alignment horizontal="left" vertical="center"/>
    </xf>
    <xf numFmtId="49" fontId="7" fillId="0" borderId="24" xfId="1" applyNumberFormat="1" applyFont="1" applyFill="1" applyBorder="1" applyAlignment="1">
      <alignment horizontal="left" vertical="center"/>
    </xf>
    <xf numFmtId="49" fontId="7" fillId="0" borderId="21" xfId="2" applyNumberFormat="1" applyFont="1" applyFill="1" applyBorder="1" applyAlignment="1">
      <alignment horizontal="left"/>
    </xf>
    <xf numFmtId="3" fontId="7" fillId="0" borderId="21" xfId="2" applyNumberFormat="1" applyFont="1" applyFill="1" applyBorder="1" applyAlignment="1">
      <alignment horizontal="right"/>
    </xf>
    <xf numFmtId="4" fontId="7" fillId="0" borderId="25" xfId="2" applyNumberFormat="1" applyFont="1" applyFill="1" applyBorder="1" applyAlignment="1">
      <alignment horizontal="right"/>
    </xf>
    <xf numFmtId="49" fontId="7" fillId="0" borderId="24" xfId="2" applyNumberFormat="1" applyFont="1" applyFill="1" applyBorder="1" applyAlignment="1">
      <alignment horizontal="right"/>
    </xf>
    <xf numFmtId="4" fontId="7" fillId="0" borderId="21" xfId="2" applyNumberFormat="1" applyFont="1" applyFill="1" applyBorder="1" applyAlignment="1">
      <alignment horizontal="right"/>
    </xf>
    <xf numFmtId="189" fontId="7" fillId="0" borderId="21" xfId="2" applyNumberFormat="1" applyFont="1" applyFill="1" applyBorder="1" applyAlignment="1">
      <alignment horizontal="right"/>
    </xf>
    <xf numFmtId="0" fontId="2" fillId="0" borderId="2" xfId="1" applyFont="1" applyFill="1" applyBorder="1" applyAlignment="1">
      <alignment horizontal="left" vertical="top" wrapText="1"/>
    </xf>
    <xf numFmtId="0" fontId="2" fillId="0" borderId="3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5" xfId="1" applyFont="1" applyFill="1" applyBorder="1" applyAlignment="1">
      <alignment horizontal="left" vertical="top" wrapText="1"/>
    </xf>
    <xf numFmtId="0" fontId="2" fillId="0" borderId="7" xfId="1" applyFont="1" applyFill="1" applyBorder="1" applyAlignment="1">
      <alignment horizontal="left" vertical="top" wrapText="1"/>
    </xf>
    <xf numFmtId="0" fontId="2" fillId="0" borderId="8" xfId="1" applyFont="1" applyFill="1" applyBorder="1" applyAlignment="1">
      <alignment horizontal="left" vertical="top" wrapText="1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</cellXfs>
  <cellStyles count="1938">
    <cellStyle name="_x000c_ーセン_x000c_" xfId="3"/>
    <cellStyle name="_x000d__x000a_JournalTemplate=C:\COMFO\CTALK\JOURSTD.TPL_x000d__x000a_LbStateAddress=3 3 0 251 1 89 2 311_x000d__x000a_LbStateJou" xfId="4"/>
    <cellStyle name="0,0_x000d__x000a_NA_x000d__x000a_" xfId="5"/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20% - アクセント 1 2" xfId="12"/>
    <cellStyle name="20% - アクセント 1 3" xfId="13"/>
    <cellStyle name="20% - アクセント 1 4" xfId="14"/>
    <cellStyle name="20% - アクセント 1 5" xfId="15"/>
    <cellStyle name="20% - アクセント 1 6" xfId="16"/>
    <cellStyle name="20% - アクセント 1 7" xfId="17"/>
    <cellStyle name="20% - アクセント 1 8" xfId="18"/>
    <cellStyle name="20% - アクセント 1 9" xfId="19"/>
    <cellStyle name="20% - アクセント 2 2" xfId="20"/>
    <cellStyle name="20% - アクセント 2 3" xfId="21"/>
    <cellStyle name="20% - アクセント 2 4" xfId="22"/>
    <cellStyle name="20% - アクセント 2 5" xfId="23"/>
    <cellStyle name="20% - アクセント 2 6" xfId="24"/>
    <cellStyle name="20% - アクセント 2 7" xfId="25"/>
    <cellStyle name="20% - アクセント 2 8" xfId="26"/>
    <cellStyle name="20% - アクセント 2 9" xfId="27"/>
    <cellStyle name="20% - アクセント 3 2" xfId="28"/>
    <cellStyle name="20% - アクセント 3 3" xfId="29"/>
    <cellStyle name="20% - アクセント 3 4" xfId="30"/>
    <cellStyle name="20% - アクセント 3 5" xfId="31"/>
    <cellStyle name="20% - アクセント 3 6" xfId="32"/>
    <cellStyle name="20% - アクセント 3 7" xfId="33"/>
    <cellStyle name="20% - アクセント 3 8" xfId="34"/>
    <cellStyle name="20% - アクセント 3 9" xfId="35"/>
    <cellStyle name="20% - アクセント 4 2" xfId="36"/>
    <cellStyle name="20% - アクセント 4 3" xfId="37"/>
    <cellStyle name="20% - アクセント 4 4" xfId="38"/>
    <cellStyle name="20% - アクセント 4 5" xfId="39"/>
    <cellStyle name="20% - アクセント 4 6" xfId="40"/>
    <cellStyle name="20% - アクセント 4 7" xfId="41"/>
    <cellStyle name="20% - アクセント 4 8" xfId="42"/>
    <cellStyle name="20% - アクセント 4 9" xfId="43"/>
    <cellStyle name="20% - アクセント 5 2" xfId="44"/>
    <cellStyle name="20% - アクセント 5 3" xfId="45"/>
    <cellStyle name="20% - アクセント 5 4" xfId="46"/>
    <cellStyle name="20% - アクセント 5 5" xfId="47"/>
    <cellStyle name="20% - アクセント 5 6" xfId="48"/>
    <cellStyle name="20% - アクセント 5 7" xfId="49"/>
    <cellStyle name="20% - アクセント 5 8" xfId="50"/>
    <cellStyle name="20% - アクセント 5 9" xfId="51"/>
    <cellStyle name="20% - アクセント 6 2" xfId="52"/>
    <cellStyle name="20% - アクセント 6 3" xfId="53"/>
    <cellStyle name="20% - アクセント 6 4" xfId="54"/>
    <cellStyle name="20% - アクセント 6 5" xfId="55"/>
    <cellStyle name="20% - アクセント 6 6" xfId="56"/>
    <cellStyle name="20% - アクセント 6 7" xfId="57"/>
    <cellStyle name="20% - アクセント 6 8" xfId="58"/>
    <cellStyle name="20% - アクセント 6 9" xfId="59"/>
    <cellStyle name="40% - Accent1" xfId="60"/>
    <cellStyle name="40% - Accent2" xfId="61"/>
    <cellStyle name="40% - Accent3" xfId="62"/>
    <cellStyle name="40% - Accent4" xfId="63"/>
    <cellStyle name="40% - Accent5" xfId="64"/>
    <cellStyle name="40% - Accent6" xfId="65"/>
    <cellStyle name="40% - アクセント 1 2" xfId="66"/>
    <cellStyle name="40% - アクセント 1 3" xfId="67"/>
    <cellStyle name="40% - アクセント 1 4" xfId="68"/>
    <cellStyle name="40% - アクセント 1 5" xfId="69"/>
    <cellStyle name="40% - アクセント 1 6" xfId="70"/>
    <cellStyle name="40% - アクセント 1 7" xfId="71"/>
    <cellStyle name="40% - アクセント 1 8" xfId="72"/>
    <cellStyle name="40% - アクセント 1 9" xfId="73"/>
    <cellStyle name="40% - アクセント 2 2" xfId="74"/>
    <cellStyle name="40% - アクセント 2 3" xfId="75"/>
    <cellStyle name="40% - アクセント 2 4" xfId="76"/>
    <cellStyle name="40% - アクセント 2 5" xfId="77"/>
    <cellStyle name="40% - アクセント 2 6" xfId="78"/>
    <cellStyle name="40% - アクセント 2 7" xfId="79"/>
    <cellStyle name="40% - アクセント 2 8" xfId="80"/>
    <cellStyle name="40% - アクセント 2 9" xfId="81"/>
    <cellStyle name="40% - アクセント 3 2" xfId="82"/>
    <cellStyle name="40% - アクセント 3 3" xfId="83"/>
    <cellStyle name="40% - アクセント 3 4" xfId="84"/>
    <cellStyle name="40% - アクセント 3 5" xfId="85"/>
    <cellStyle name="40% - アクセント 3 6" xfId="86"/>
    <cellStyle name="40% - アクセント 3 7" xfId="87"/>
    <cellStyle name="40% - アクセント 3 8" xfId="88"/>
    <cellStyle name="40% - アクセント 3 9" xfId="89"/>
    <cellStyle name="40% - アクセント 4 2" xfId="90"/>
    <cellStyle name="40% - アクセント 4 3" xfId="91"/>
    <cellStyle name="40% - アクセント 4 4" xfId="92"/>
    <cellStyle name="40% - アクセント 4 5" xfId="93"/>
    <cellStyle name="40% - アクセント 4 6" xfId="94"/>
    <cellStyle name="40% - アクセント 4 7" xfId="95"/>
    <cellStyle name="40% - アクセント 4 8" xfId="96"/>
    <cellStyle name="40% - アクセント 4 9" xfId="97"/>
    <cellStyle name="40% - アクセント 5 2" xfId="98"/>
    <cellStyle name="40% - アクセント 5 3" xfId="99"/>
    <cellStyle name="40% - アクセント 5 4" xfId="100"/>
    <cellStyle name="40% - アクセント 5 5" xfId="101"/>
    <cellStyle name="40% - アクセント 5 6" xfId="102"/>
    <cellStyle name="40% - アクセント 5 7" xfId="103"/>
    <cellStyle name="40% - アクセント 5 8" xfId="104"/>
    <cellStyle name="40% - アクセント 5 9" xfId="105"/>
    <cellStyle name="40% - アクセント 6 2" xfId="106"/>
    <cellStyle name="40% - アクセント 6 3" xfId="107"/>
    <cellStyle name="40% - アクセント 6 4" xfId="108"/>
    <cellStyle name="40% - アクセント 6 5" xfId="109"/>
    <cellStyle name="40% - アクセント 6 6" xfId="110"/>
    <cellStyle name="40% - アクセント 6 7" xfId="111"/>
    <cellStyle name="40% - アクセント 6 8" xfId="112"/>
    <cellStyle name="40% - アクセント 6 9" xfId="113"/>
    <cellStyle name="60% - Accent1" xfId="114"/>
    <cellStyle name="60% - Accent2" xfId="115"/>
    <cellStyle name="60% - Accent3" xfId="116"/>
    <cellStyle name="60% - Accent4" xfId="117"/>
    <cellStyle name="60% - Accent5" xfId="118"/>
    <cellStyle name="60% - Accent6" xfId="119"/>
    <cellStyle name="60% - アクセント 1 2" xfId="120"/>
    <cellStyle name="60% - アクセント 1 3" xfId="121"/>
    <cellStyle name="60% - アクセント 1 4" xfId="122"/>
    <cellStyle name="60% - アクセント 1 5" xfId="123"/>
    <cellStyle name="60% - アクセント 1 6" xfId="124"/>
    <cellStyle name="60% - アクセント 1 7" xfId="125"/>
    <cellStyle name="60% - アクセント 1 8" xfId="126"/>
    <cellStyle name="60% - アクセント 1 9" xfId="127"/>
    <cellStyle name="60% - アクセント 2 2" xfId="128"/>
    <cellStyle name="60% - アクセント 2 3" xfId="129"/>
    <cellStyle name="60% - アクセント 2 4" xfId="130"/>
    <cellStyle name="60% - アクセント 2 5" xfId="131"/>
    <cellStyle name="60% - アクセント 2 6" xfId="132"/>
    <cellStyle name="60% - アクセント 2 7" xfId="133"/>
    <cellStyle name="60% - アクセント 2 8" xfId="134"/>
    <cellStyle name="60% - アクセント 2 9" xfId="135"/>
    <cellStyle name="60% - アクセント 3 2" xfId="136"/>
    <cellStyle name="60% - アクセント 3 3" xfId="137"/>
    <cellStyle name="60% - アクセント 3 4" xfId="138"/>
    <cellStyle name="60% - アクセント 3 5" xfId="139"/>
    <cellStyle name="60% - アクセント 3 6" xfId="140"/>
    <cellStyle name="60% - アクセント 3 7" xfId="141"/>
    <cellStyle name="60% - アクセント 3 8" xfId="142"/>
    <cellStyle name="60% - アクセント 3 9" xfId="143"/>
    <cellStyle name="60% - アクセント 4 2" xfId="144"/>
    <cellStyle name="60% - アクセント 4 3" xfId="145"/>
    <cellStyle name="60% - アクセント 4 4" xfId="146"/>
    <cellStyle name="60% - アクセント 4 5" xfId="147"/>
    <cellStyle name="60% - アクセント 4 6" xfId="148"/>
    <cellStyle name="60% - アクセント 4 7" xfId="149"/>
    <cellStyle name="60% - アクセント 4 8" xfId="150"/>
    <cellStyle name="60% - アクセント 4 9" xfId="151"/>
    <cellStyle name="60% - アクセント 5 2" xfId="152"/>
    <cellStyle name="60% - アクセント 5 3" xfId="153"/>
    <cellStyle name="60% - アクセント 5 4" xfId="154"/>
    <cellStyle name="60% - アクセント 5 5" xfId="155"/>
    <cellStyle name="60% - アクセント 5 6" xfId="156"/>
    <cellStyle name="60% - アクセント 5 7" xfId="157"/>
    <cellStyle name="60% - アクセント 5 8" xfId="158"/>
    <cellStyle name="60% - アクセント 5 9" xfId="159"/>
    <cellStyle name="60% - アクセント 6 2" xfId="160"/>
    <cellStyle name="60% - アクセント 6 3" xfId="161"/>
    <cellStyle name="60% - アクセント 6 4" xfId="162"/>
    <cellStyle name="60% - アクセント 6 5" xfId="163"/>
    <cellStyle name="60% - アクセント 6 6" xfId="164"/>
    <cellStyle name="60% - アクセント 6 7" xfId="165"/>
    <cellStyle name="60% - アクセント 6 8" xfId="166"/>
    <cellStyle name="60% - アクセント 6 9" xfId="167"/>
    <cellStyle name="Accent1" xfId="168"/>
    <cellStyle name="Accent2" xfId="169"/>
    <cellStyle name="Accent3" xfId="170"/>
    <cellStyle name="Accent4" xfId="171"/>
    <cellStyle name="Accent5" xfId="172"/>
    <cellStyle name="Accent6" xfId="173"/>
    <cellStyle name="args.style" xfId="174"/>
    <cellStyle name="B10" xfId="175"/>
    <cellStyle name="Bad" xfId="176"/>
    <cellStyle name="Body" xfId="177"/>
    <cellStyle name="Calc Currency (0)" xfId="178"/>
    <cellStyle name="Calc Currency (0) 2" xfId="179"/>
    <cellStyle name="Calculation" xfId="180"/>
    <cellStyle name="Calculation 2" xfId="181"/>
    <cellStyle name="Calculation 2 2" xfId="182"/>
    <cellStyle name="Calculation 2 2 2" xfId="183"/>
    <cellStyle name="Calculation 2 3" xfId="184"/>
    <cellStyle name="Calculation 2 3 2" xfId="185"/>
    <cellStyle name="Calculation 2 4" xfId="186"/>
    <cellStyle name="Calculation 2 4 2" xfId="187"/>
    <cellStyle name="Calculation 2 5" xfId="188"/>
    <cellStyle name="Calculation 2 5 2" xfId="189"/>
    <cellStyle name="Calculation 2 6" xfId="190"/>
    <cellStyle name="Calculation 2 6 2" xfId="191"/>
    <cellStyle name="Calculation 2 7" xfId="192"/>
    <cellStyle name="Calculation 3" xfId="193"/>
    <cellStyle name="Calculation 3 2" xfId="194"/>
    <cellStyle name="Calculation 4" xfId="195"/>
    <cellStyle name="Check Cell" xfId="196"/>
    <cellStyle name="Column Heading" xfId="197"/>
    <cellStyle name="Comma [0]_laroux" xfId="198"/>
    <cellStyle name="Comma_laroux" xfId="199"/>
    <cellStyle name="Currency [0]_laroux" xfId="200"/>
    <cellStyle name="Currency_laroux" xfId="201"/>
    <cellStyle name="entry" xfId="202"/>
    <cellStyle name="Explanatory Text" xfId="203"/>
    <cellStyle name="Good" xfId="204"/>
    <cellStyle name="Grey" xfId="205"/>
    <cellStyle name="Head 1" xfId="206"/>
    <cellStyle name="Header1" xfId="207"/>
    <cellStyle name="Header2" xfId="208"/>
    <cellStyle name="Header2 2" xfId="209"/>
    <cellStyle name="Header2 2 2" xfId="210"/>
    <cellStyle name="Header2 2 2 2" xfId="211"/>
    <cellStyle name="Header2 2 2 3" xfId="212"/>
    <cellStyle name="Header2 2 2 4" xfId="213"/>
    <cellStyle name="Header2 2 2 5" xfId="214"/>
    <cellStyle name="Header2 2 2 6" xfId="215"/>
    <cellStyle name="Header2 2 2 7" xfId="216"/>
    <cellStyle name="Header2 2 2 7 2" xfId="217"/>
    <cellStyle name="Header2 2 3" xfId="218"/>
    <cellStyle name="Header2 2 3 2" xfId="219"/>
    <cellStyle name="Header2 2 3 3" xfId="220"/>
    <cellStyle name="Header2 3" xfId="221"/>
    <cellStyle name="Header2 3 2" xfId="222"/>
    <cellStyle name="Header2 3 2 2" xfId="223"/>
    <cellStyle name="Header2 3 2 3" xfId="224"/>
    <cellStyle name="Header2 3 2 4" xfId="225"/>
    <cellStyle name="Header2 3 2 5" xfId="226"/>
    <cellStyle name="Header2 3 2 6" xfId="227"/>
    <cellStyle name="Header2 3 2 7" xfId="228"/>
    <cellStyle name="Header2 3 2 7 2" xfId="229"/>
    <cellStyle name="Header2 3 3" xfId="230"/>
    <cellStyle name="Header2 3 4" xfId="231"/>
    <cellStyle name="Header2 3 5" xfId="232"/>
    <cellStyle name="Header2 3 6" xfId="233"/>
    <cellStyle name="Header2 3 7" xfId="234"/>
    <cellStyle name="Header2 3 8" xfId="235"/>
    <cellStyle name="Header2 3 9" xfId="236"/>
    <cellStyle name="Header2 3 9 2" xfId="237"/>
    <cellStyle name="Header2 3 9 3" xfId="238"/>
    <cellStyle name="Header2 4" xfId="239"/>
    <cellStyle name="Header2 4 2" xfId="240"/>
    <cellStyle name="Header2 4 3" xfId="241"/>
    <cellStyle name="Header2 4 4" xfId="242"/>
    <cellStyle name="Header2 4 5" xfId="243"/>
    <cellStyle name="Header2 4 6" xfId="244"/>
    <cellStyle name="Header2 4 7" xfId="245"/>
    <cellStyle name="Header2 4 7 2" xfId="246"/>
    <cellStyle name="Header2 5" xfId="247"/>
    <cellStyle name="Header2 6" xfId="248"/>
    <cellStyle name="Header2 7" xfId="249"/>
    <cellStyle name="Header2 7 2" xfId="250"/>
    <cellStyle name="Header2 7 3" xfId="251"/>
    <cellStyle name="Heading 1" xfId="252"/>
    <cellStyle name="Heading 2" xfId="253"/>
    <cellStyle name="Heading 3" xfId="254"/>
    <cellStyle name="Heading 4" xfId="255"/>
    <cellStyle name="IBM(401K)" xfId="256"/>
    <cellStyle name="Input" xfId="257"/>
    <cellStyle name="Input [yellow]" xfId="258"/>
    <cellStyle name="Input [yellow] 2" xfId="259"/>
    <cellStyle name="Input [yellow] 2 2" xfId="260"/>
    <cellStyle name="Input [yellow] 2 2 2" xfId="261"/>
    <cellStyle name="Input [yellow] 2 2 3" xfId="262"/>
    <cellStyle name="Input [yellow] 2 2 4" xfId="263"/>
    <cellStyle name="Input [yellow] 2 2 5" xfId="264"/>
    <cellStyle name="Input [yellow] 2 2 6" xfId="265"/>
    <cellStyle name="Input [yellow] 2 2 7" xfId="266"/>
    <cellStyle name="Input [yellow] 2 2 8" xfId="267"/>
    <cellStyle name="Input [yellow] 2 2 9" xfId="268"/>
    <cellStyle name="Input [yellow] 2 3" xfId="269"/>
    <cellStyle name="Input [yellow] 2 3 2" xfId="270"/>
    <cellStyle name="Input [yellow] 2 3 3" xfId="271"/>
    <cellStyle name="Input [yellow] 3" xfId="272"/>
    <cellStyle name="Input [yellow] 3 2" xfId="273"/>
    <cellStyle name="Input [yellow] 3 2 2" xfId="274"/>
    <cellStyle name="Input [yellow] 3 2 3" xfId="275"/>
    <cellStyle name="Input [yellow] 3 2 4" xfId="276"/>
    <cellStyle name="Input [yellow] 3 2 5" xfId="277"/>
    <cellStyle name="Input [yellow] 3 2 6" xfId="278"/>
    <cellStyle name="Input [yellow] 3 2 7" xfId="279"/>
    <cellStyle name="Input [yellow] 3 2 8" xfId="280"/>
    <cellStyle name="Input [yellow] 3 2 9" xfId="281"/>
    <cellStyle name="Input [yellow] 3 3" xfId="282"/>
    <cellStyle name="Input [yellow] 3 4" xfId="283"/>
    <cellStyle name="Input [yellow] 3 5" xfId="284"/>
    <cellStyle name="Input [yellow] 3 6" xfId="285"/>
    <cellStyle name="Input [yellow] 3 7" xfId="286"/>
    <cellStyle name="Input [yellow] 3 8" xfId="287"/>
    <cellStyle name="Input [yellow] 3 9" xfId="288"/>
    <cellStyle name="Input [yellow] 3 9 2" xfId="289"/>
    <cellStyle name="Input [yellow] 3 9 3" xfId="290"/>
    <cellStyle name="Input [yellow] 4" xfId="291"/>
    <cellStyle name="Input [yellow] 4 2" xfId="292"/>
    <cellStyle name="Input [yellow] 4 3" xfId="293"/>
    <cellStyle name="Input [yellow] 4 4" xfId="294"/>
    <cellStyle name="Input [yellow] 4 5" xfId="295"/>
    <cellStyle name="Input [yellow] 4 6" xfId="296"/>
    <cellStyle name="Input [yellow] 4 7" xfId="297"/>
    <cellStyle name="Input [yellow] 4 8" xfId="298"/>
    <cellStyle name="Input [yellow] 4 8 2" xfId="299"/>
    <cellStyle name="Input [yellow] 4 8 3" xfId="300"/>
    <cellStyle name="Input [yellow] 5" xfId="301"/>
    <cellStyle name="Input [yellow] 6" xfId="302"/>
    <cellStyle name="Input [yellow] 7" xfId="303"/>
    <cellStyle name="Input [yellow] 7 2" xfId="304"/>
    <cellStyle name="Input [yellow] 7 3" xfId="305"/>
    <cellStyle name="Input 10" xfId="306"/>
    <cellStyle name="Input 10 2" xfId="307"/>
    <cellStyle name="Input 11" xfId="308"/>
    <cellStyle name="Input 11 2" xfId="309"/>
    <cellStyle name="Input 12" xfId="310"/>
    <cellStyle name="Input 12 2" xfId="311"/>
    <cellStyle name="Input 13" xfId="312"/>
    <cellStyle name="Input 13 2" xfId="313"/>
    <cellStyle name="Input 14" xfId="314"/>
    <cellStyle name="Input 14 2" xfId="315"/>
    <cellStyle name="Input 15" xfId="316"/>
    <cellStyle name="Input 15 2" xfId="317"/>
    <cellStyle name="Input 16" xfId="318"/>
    <cellStyle name="Input 16 2" xfId="319"/>
    <cellStyle name="Input 17" xfId="320"/>
    <cellStyle name="Input 17 2" xfId="321"/>
    <cellStyle name="Input 18" xfId="322"/>
    <cellStyle name="Input 19" xfId="323"/>
    <cellStyle name="Input 2" xfId="324"/>
    <cellStyle name="Input 2 2" xfId="325"/>
    <cellStyle name="Input 2 2 2" xfId="326"/>
    <cellStyle name="Input 2 3" xfId="327"/>
    <cellStyle name="Input 2 3 2" xfId="328"/>
    <cellStyle name="Input 2 4" xfId="329"/>
    <cellStyle name="Input 2 4 2" xfId="330"/>
    <cellStyle name="Input 2 5" xfId="331"/>
    <cellStyle name="Input 2 5 2" xfId="332"/>
    <cellStyle name="Input 2 6" xfId="333"/>
    <cellStyle name="Input 2 6 2" xfId="334"/>
    <cellStyle name="Input 2 7" xfId="335"/>
    <cellStyle name="Input 20" xfId="336"/>
    <cellStyle name="Input 21" xfId="337"/>
    <cellStyle name="Input 22" xfId="338"/>
    <cellStyle name="Input 23" xfId="339"/>
    <cellStyle name="Input 24" xfId="340"/>
    <cellStyle name="Input 25" xfId="341"/>
    <cellStyle name="Input 26" xfId="342"/>
    <cellStyle name="Input 3" xfId="343"/>
    <cellStyle name="Input 3 2" xfId="344"/>
    <cellStyle name="Input 4" xfId="345"/>
    <cellStyle name="Input 4 2" xfId="346"/>
    <cellStyle name="Input 5" xfId="347"/>
    <cellStyle name="Input 5 2" xfId="348"/>
    <cellStyle name="Input 6" xfId="349"/>
    <cellStyle name="Input 6 2" xfId="350"/>
    <cellStyle name="Input 7" xfId="351"/>
    <cellStyle name="Input 7 2" xfId="352"/>
    <cellStyle name="Input 8" xfId="353"/>
    <cellStyle name="Input 8 2" xfId="354"/>
    <cellStyle name="Input 9" xfId="355"/>
    <cellStyle name="Input 9 2" xfId="356"/>
    <cellStyle name="J401K" xfId="357"/>
    <cellStyle name="Linked Cell" xfId="358"/>
    <cellStyle name="Millares [0]_Compra" xfId="359"/>
    <cellStyle name="Millares_Compra" xfId="360"/>
    <cellStyle name="Moneda [0]_Compra" xfId="361"/>
    <cellStyle name="Moneda_Compra" xfId="362"/>
    <cellStyle name="Neutral" xfId="363"/>
    <cellStyle name="no dec" xfId="364"/>
    <cellStyle name="Normal - Style1" xfId="365"/>
    <cellStyle name="Normal - Style1 2" xfId="366"/>
    <cellStyle name="Normal - Style1 2 2" xfId="367"/>
    <cellStyle name="Normal - Style1 2 3" xfId="368"/>
    <cellStyle name="Normal_#18-Internet" xfId="369"/>
    <cellStyle name="Note" xfId="370"/>
    <cellStyle name="Note 2" xfId="371"/>
    <cellStyle name="Note 2 2" xfId="372"/>
    <cellStyle name="Note 2 2 2" xfId="373"/>
    <cellStyle name="Note 2 2 2 2" xfId="374"/>
    <cellStyle name="Note 2 2 3" xfId="375"/>
    <cellStyle name="Note 2 2 3 2" xfId="376"/>
    <cellStyle name="Note 2 2 4" xfId="377"/>
    <cellStyle name="Note 2 2 4 2" xfId="378"/>
    <cellStyle name="Note 2 2 5" xfId="379"/>
    <cellStyle name="Note 2 2 5 2" xfId="380"/>
    <cellStyle name="Note 2 2 6" xfId="381"/>
    <cellStyle name="Note 2 2 6 2" xfId="382"/>
    <cellStyle name="Note 2 2 7" xfId="383"/>
    <cellStyle name="Note 2 3" xfId="384"/>
    <cellStyle name="Note 2 3 2" xfId="385"/>
    <cellStyle name="Note 2 4" xfId="386"/>
    <cellStyle name="Note 3" xfId="387"/>
    <cellStyle name="Note 3 2" xfId="388"/>
    <cellStyle name="Note 3 2 2" xfId="389"/>
    <cellStyle name="Note 3 2 2 2" xfId="390"/>
    <cellStyle name="Note 3 2 3" xfId="391"/>
    <cellStyle name="Note 3 2 3 2" xfId="392"/>
    <cellStyle name="Note 3 2 4" xfId="393"/>
    <cellStyle name="Note 3 2 4 2" xfId="394"/>
    <cellStyle name="Note 3 2 5" xfId="395"/>
    <cellStyle name="Note 3 2 5 2" xfId="396"/>
    <cellStyle name="Note 3 2 6" xfId="397"/>
    <cellStyle name="Note 3 2 6 2" xfId="398"/>
    <cellStyle name="Note 3 2 7" xfId="399"/>
    <cellStyle name="Note 3 3" xfId="400"/>
    <cellStyle name="Note 3 3 2" xfId="401"/>
    <cellStyle name="Note 3 4" xfId="402"/>
    <cellStyle name="Note 3 4 2" xfId="403"/>
    <cellStyle name="Note 3 5" xfId="404"/>
    <cellStyle name="Note 3 5 2" xfId="405"/>
    <cellStyle name="Note 3 6" xfId="406"/>
    <cellStyle name="Note 3 6 2" xfId="407"/>
    <cellStyle name="Note 3 7" xfId="408"/>
    <cellStyle name="Note 3 7 2" xfId="409"/>
    <cellStyle name="Note 3 8" xfId="410"/>
    <cellStyle name="Note 4" xfId="411"/>
    <cellStyle name="Note 4 2" xfId="412"/>
    <cellStyle name="Note 4 2 2" xfId="413"/>
    <cellStyle name="Note 4 3" xfId="414"/>
    <cellStyle name="Note 4 3 2" xfId="415"/>
    <cellStyle name="Note 4 4" xfId="416"/>
    <cellStyle name="Note 4 4 2" xfId="417"/>
    <cellStyle name="Note 4 5" xfId="418"/>
    <cellStyle name="Note 4 5 2" xfId="419"/>
    <cellStyle name="Note 4 6" xfId="420"/>
    <cellStyle name="Note 4 6 2" xfId="421"/>
    <cellStyle name="Note 4 7" xfId="422"/>
    <cellStyle name="Note 5" xfId="423"/>
    <cellStyle name="Note 5 2" xfId="424"/>
    <cellStyle name="Output" xfId="425"/>
    <cellStyle name="Output 2" xfId="426"/>
    <cellStyle name="Output 2 2" xfId="427"/>
    <cellStyle name="Output 2 2 2" xfId="428"/>
    <cellStyle name="Output 2 3" xfId="429"/>
    <cellStyle name="Output 2 3 2" xfId="430"/>
    <cellStyle name="Output 2 4" xfId="431"/>
    <cellStyle name="Output 2 4 2" xfId="432"/>
    <cellStyle name="Output 2 5" xfId="433"/>
    <cellStyle name="Output 2 5 2" xfId="434"/>
    <cellStyle name="Output 2 6" xfId="435"/>
    <cellStyle name="Output 2 6 2" xfId="436"/>
    <cellStyle name="Output 2 7" xfId="437"/>
    <cellStyle name="Output 3" xfId="438"/>
    <cellStyle name="Output 3 2" xfId="439"/>
    <cellStyle name="per.style" xfId="440"/>
    <cellStyle name="Percent [2]" xfId="441"/>
    <cellStyle name="price" xfId="442"/>
    <cellStyle name="PSChar" xfId="443"/>
    <cellStyle name="PSHeading" xfId="444"/>
    <cellStyle name="QDF" xfId="445"/>
    <cellStyle name="revised" xfId="446"/>
    <cellStyle name="section" xfId="447"/>
    <cellStyle name="subhead" xfId="448"/>
    <cellStyle name="title" xfId="449"/>
    <cellStyle name="Total" xfId="450"/>
    <cellStyle name="Total 2" xfId="451"/>
    <cellStyle name="Total 2 2" xfId="452"/>
    <cellStyle name="Total 2 2 2" xfId="453"/>
    <cellStyle name="Total 2 3" xfId="454"/>
    <cellStyle name="Total 2 3 2" xfId="455"/>
    <cellStyle name="Total 2 4" xfId="456"/>
    <cellStyle name="Total 2 4 2" xfId="457"/>
    <cellStyle name="Total 2 5" xfId="458"/>
    <cellStyle name="Total 2 5 2" xfId="459"/>
    <cellStyle name="Total 2 6" xfId="460"/>
    <cellStyle name="Total 2 6 2" xfId="461"/>
    <cellStyle name="Total 2 7" xfId="462"/>
    <cellStyle name="Total 3" xfId="463"/>
    <cellStyle name="Total 3 2" xfId="464"/>
    <cellStyle name="Warning Text" xfId="465"/>
    <cellStyle name="アクセント 1 2" xfId="466"/>
    <cellStyle name="アクセント 1 3" xfId="467"/>
    <cellStyle name="アクセント 1 4" xfId="468"/>
    <cellStyle name="アクセント 1 5" xfId="469"/>
    <cellStyle name="アクセント 1 6" xfId="470"/>
    <cellStyle name="アクセント 1 7" xfId="471"/>
    <cellStyle name="アクセント 1 8" xfId="472"/>
    <cellStyle name="アクセント 1 9" xfId="473"/>
    <cellStyle name="アクセント 2 2" xfId="474"/>
    <cellStyle name="アクセント 2 3" xfId="475"/>
    <cellStyle name="アクセント 2 4" xfId="476"/>
    <cellStyle name="アクセント 2 5" xfId="477"/>
    <cellStyle name="アクセント 2 6" xfId="478"/>
    <cellStyle name="アクセント 2 7" xfId="479"/>
    <cellStyle name="アクセント 2 8" xfId="480"/>
    <cellStyle name="アクセント 2 9" xfId="481"/>
    <cellStyle name="アクセント 3 2" xfId="482"/>
    <cellStyle name="アクセント 3 3" xfId="483"/>
    <cellStyle name="アクセント 3 4" xfId="484"/>
    <cellStyle name="アクセント 3 5" xfId="485"/>
    <cellStyle name="アクセント 3 6" xfId="486"/>
    <cellStyle name="アクセント 3 7" xfId="487"/>
    <cellStyle name="アクセント 3 8" xfId="488"/>
    <cellStyle name="アクセント 3 9" xfId="489"/>
    <cellStyle name="アクセント 4 2" xfId="490"/>
    <cellStyle name="アクセント 4 3" xfId="491"/>
    <cellStyle name="アクセント 4 4" xfId="492"/>
    <cellStyle name="アクセント 4 5" xfId="493"/>
    <cellStyle name="アクセント 4 6" xfId="494"/>
    <cellStyle name="アクセント 4 7" xfId="495"/>
    <cellStyle name="アクセント 4 8" xfId="496"/>
    <cellStyle name="アクセント 4 9" xfId="497"/>
    <cellStyle name="アクセント 5 2" xfId="498"/>
    <cellStyle name="アクセント 5 3" xfId="499"/>
    <cellStyle name="アクセント 5 4" xfId="500"/>
    <cellStyle name="アクセント 5 5" xfId="501"/>
    <cellStyle name="アクセント 5 6" xfId="502"/>
    <cellStyle name="アクセント 5 7" xfId="503"/>
    <cellStyle name="アクセント 5 8" xfId="504"/>
    <cellStyle name="アクセント 5 9" xfId="505"/>
    <cellStyle name="アクセント 6 2" xfId="506"/>
    <cellStyle name="アクセント 6 3" xfId="507"/>
    <cellStyle name="アクセント 6 4" xfId="508"/>
    <cellStyle name="アクセント 6 5" xfId="509"/>
    <cellStyle name="アクセント 6 6" xfId="510"/>
    <cellStyle name="アクセント 6 7" xfId="511"/>
    <cellStyle name="アクセント 6 8" xfId="512"/>
    <cellStyle name="アクセント 6 9" xfId="513"/>
    <cellStyle name="センター" xfId="514"/>
    <cellStyle name="タイトル 2" xfId="515"/>
    <cellStyle name="タイトル 3" xfId="516"/>
    <cellStyle name="タイトル 4" xfId="517"/>
    <cellStyle name="タイトル 5" xfId="518"/>
    <cellStyle name="タイトル 6" xfId="519"/>
    <cellStyle name="タイトル 7" xfId="520"/>
    <cellStyle name="タイトル 8" xfId="521"/>
    <cellStyle name="タイトル 9" xfId="522"/>
    <cellStyle name="チェック セル 2" xfId="523"/>
    <cellStyle name="チェック セル 3" xfId="524"/>
    <cellStyle name="チェック セル 4" xfId="525"/>
    <cellStyle name="チェック セル 5" xfId="526"/>
    <cellStyle name="チェック セル 6" xfId="527"/>
    <cellStyle name="チェック セル 7" xfId="528"/>
    <cellStyle name="チェック セル 8" xfId="529"/>
    <cellStyle name="チェック セル 9" xfId="530"/>
    <cellStyle name="チャート" xfId="531"/>
    <cellStyle name="どちらでもない 2" xfId="532"/>
    <cellStyle name="どちらでもない 3" xfId="533"/>
    <cellStyle name="どちらでもない 4" xfId="534"/>
    <cellStyle name="どちらでもない 5" xfId="535"/>
    <cellStyle name="どちらでもない 6" xfId="536"/>
    <cellStyle name="どちらでもない 7" xfId="537"/>
    <cellStyle name="どちらでもない 8" xfId="538"/>
    <cellStyle name="どちらでもない 9" xfId="539"/>
    <cellStyle name="パーセント 2" xfId="540"/>
    <cellStyle name="パーセント 2 2" xfId="541"/>
    <cellStyle name="パーセント 3" xfId="542"/>
    <cellStyle name="ハイパーリンク 2" xfId="543"/>
    <cellStyle name="ハイパーリンク 2 2" xfId="544"/>
    <cellStyle name="ハイパーリンク 2 3" xfId="545"/>
    <cellStyle name="ハイパーリンク 3" xfId="546"/>
    <cellStyle name="メモ 2" xfId="547"/>
    <cellStyle name="メモ 2 2" xfId="548"/>
    <cellStyle name="メモ 2 2 2" xfId="549"/>
    <cellStyle name="メモ 2 2 2 2" xfId="550"/>
    <cellStyle name="メモ 2 2 2 2 2" xfId="551"/>
    <cellStyle name="メモ 2 2 2 3" xfId="552"/>
    <cellStyle name="メモ 2 2 2 3 2" xfId="553"/>
    <cellStyle name="メモ 2 2 2 4" xfId="554"/>
    <cellStyle name="メモ 2 2 2 4 2" xfId="555"/>
    <cellStyle name="メモ 2 2 2 5" xfId="556"/>
    <cellStyle name="メモ 2 2 2 5 2" xfId="557"/>
    <cellStyle name="メモ 2 2 2 6" xfId="558"/>
    <cellStyle name="メモ 2 2 2 6 2" xfId="559"/>
    <cellStyle name="メモ 2 2 2 7" xfId="560"/>
    <cellStyle name="メモ 2 2 3" xfId="561"/>
    <cellStyle name="メモ 2 2 3 2" xfId="562"/>
    <cellStyle name="メモ 2 2 4" xfId="563"/>
    <cellStyle name="メモ 2 3" xfId="564"/>
    <cellStyle name="メモ 2 3 2" xfId="565"/>
    <cellStyle name="メモ 2 3 2 2" xfId="566"/>
    <cellStyle name="メモ 2 3 2 2 2" xfId="567"/>
    <cellStyle name="メモ 2 3 2 3" xfId="568"/>
    <cellStyle name="メモ 2 3 2 3 2" xfId="569"/>
    <cellStyle name="メモ 2 3 2 4" xfId="570"/>
    <cellStyle name="メモ 2 3 2 4 2" xfId="571"/>
    <cellStyle name="メモ 2 3 2 5" xfId="572"/>
    <cellStyle name="メモ 2 3 2 5 2" xfId="573"/>
    <cellStyle name="メモ 2 3 2 6" xfId="574"/>
    <cellStyle name="メモ 2 3 2 6 2" xfId="575"/>
    <cellStyle name="メモ 2 3 2 7" xfId="576"/>
    <cellStyle name="メモ 2 3 3" xfId="577"/>
    <cellStyle name="メモ 2 3 3 2" xfId="578"/>
    <cellStyle name="メモ 2 4" xfId="579"/>
    <cellStyle name="メモ 2 4 2" xfId="580"/>
    <cellStyle name="メモ 2 4 2 2" xfId="581"/>
    <cellStyle name="メモ 2 4 2 2 2" xfId="582"/>
    <cellStyle name="メモ 2 4 2 3" xfId="583"/>
    <cellStyle name="メモ 2 4 2 3 2" xfId="584"/>
    <cellStyle name="メモ 2 4 2 4" xfId="585"/>
    <cellStyle name="メモ 2 4 2 4 2" xfId="586"/>
    <cellStyle name="メモ 2 4 2 5" xfId="587"/>
    <cellStyle name="メモ 2 4 2 5 2" xfId="588"/>
    <cellStyle name="メモ 2 4 2 6" xfId="589"/>
    <cellStyle name="メモ 2 4 2 6 2" xfId="590"/>
    <cellStyle name="メモ 2 4 2 7" xfId="591"/>
    <cellStyle name="メモ 2 4 3" xfId="592"/>
    <cellStyle name="メモ 2 4 3 2" xfId="593"/>
    <cellStyle name="メモ 2 4 4" xfId="594"/>
    <cellStyle name="メモ 2 4 4 2" xfId="595"/>
    <cellStyle name="メモ 2 4 5" xfId="596"/>
    <cellStyle name="メモ 2 4 5 2" xfId="597"/>
    <cellStyle name="メモ 2 4 6" xfId="598"/>
    <cellStyle name="メモ 2 4 6 2" xfId="599"/>
    <cellStyle name="メモ 2 4 7" xfId="600"/>
    <cellStyle name="メモ 2 4 7 2" xfId="601"/>
    <cellStyle name="メモ 2 4 8" xfId="602"/>
    <cellStyle name="メモ 2 5" xfId="603"/>
    <cellStyle name="メモ 2 5 2" xfId="604"/>
    <cellStyle name="メモ 2 5 2 2" xfId="605"/>
    <cellStyle name="メモ 2 5 2 2 2" xfId="606"/>
    <cellStyle name="メモ 2 5 2 3" xfId="607"/>
    <cellStyle name="メモ 2 5 2 3 2" xfId="608"/>
    <cellStyle name="メモ 2 5 2 4" xfId="609"/>
    <cellStyle name="メモ 2 5 2 4 2" xfId="610"/>
    <cellStyle name="メモ 2 5 2 5" xfId="611"/>
    <cellStyle name="メモ 2 5 2 5 2" xfId="612"/>
    <cellStyle name="メモ 2 5 2 6" xfId="613"/>
    <cellStyle name="メモ 2 5 2 6 2" xfId="614"/>
    <cellStyle name="メモ 2 5 2 7" xfId="615"/>
    <cellStyle name="メモ 2 5 3" xfId="616"/>
    <cellStyle name="メモ 2 5 3 2" xfId="617"/>
    <cellStyle name="メモ 2 5 4" xfId="618"/>
    <cellStyle name="メモ 2 5 4 2" xfId="619"/>
    <cellStyle name="メモ 2 5 5" xfId="620"/>
    <cellStyle name="メモ 2 5 5 2" xfId="621"/>
    <cellStyle name="メモ 2 5 6" xfId="622"/>
    <cellStyle name="メモ 2 5 6 2" xfId="623"/>
    <cellStyle name="メモ 2 5 7" xfId="624"/>
    <cellStyle name="メモ 2 5 7 2" xfId="625"/>
    <cellStyle name="メモ 2 5 8" xfId="626"/>
    <cellStyle name="メモ 2 6" xfId="627"/>
    <cellStyle name="メモ 2 6 2" xfId="628"/>
    <cellStyle name="メモ 2 6 2 2" xfId="629"/>
    <cellStyle name="メモ 2 6 2 2 2" xfId="630"/>
    <cellStyle name="メモ 2 6 2 3" xfId="631"/>
    <cellStyle name="メモ 2 6 2 3 2" xfId="632"/>
    <cellStyle name="メモ 2 6 2 4" xfId="633"/>
    <cellStyle name="メモ 2 6 2 4 2" xfId="634"/>
    <cellStyle name="メモ 2 6 2 5" xfId="635"/>
    <cellStyle name="メモ 2 6 2 5 2" xfId="636"/>
    <cellStyle name="メモ 2 6 2 6" xfId="637"/>
    <cellStyle name="メモ 2 6 2 6 2" xfId="638"/>
    <cellStyle name="メモ 2 6 2 7" xfId="639"/>
    <cellStyle name="メモ 2 6 3" xfId="640"/>
    <cellStyle name="メモ 2 6 3 2" xfId="641"/>
    <cellStyle name="メモ 2 6 4" xfId="642"/>
    <cellStyle name="メモ 2 6 4 2" xfId="643"/>
    <cellStyle name="メモ 2 6 5" xfId="644"/>
    <cellStyle name="メモ 2 6 5 2" xfId="645"/>
    <cellStyle name="メモ 2 6 6" xfId="646"/>
    <cellStyle name="メモ 2 6 6 2" xfId="647"/>
    <cellStyle name="メモ 2 6 7" xfId="648"/>
    <cellStyle name="メモ 2 6 7 2" xfId="649"/>
    <cellStyle name="メモ 2 6 8" xfId="650"/>
    <cellStyle name="メモ 2 7" xfId="651"/>
    <cellStyle name="メモ 2 7 2" xfId="652"/>
    <cellStyle name="メモ 2 7 2 2" xfId="653"/>
    <cellStyle name="メモ 2 7 3" xfId="654"/>
    <cellStyle name="メモ 2 7 3 2" xfId="655"/>
    <cellStyle name="メモ 2 7 4" xfId="656"/>
    <cellStyle name="メモ 2 7 4 2" xfId="657"/>
    <cellStyle name="メモ 2 7 5" xfId="658"/>
    <cellStyle name="メモ 2 7 5 2" xfId="659"/>
    <cellStyle name="メモ 2 7 6" xfId="660"/>
    <cellStyle name="メモ 2 7 6 2" xfId="661"/>
    <cellStyle name="メモ 2 7 7" xfId="662"/>
    <cellStyle name="メモ 2 8" xfId="663"/>
    <cellStyle name="メモ 2 8 2" xfId="664"/>
    <cellStyle name="メモ 3" xfId="665"/>
    <cellStyle name="メモ 3 2" xfId="666"/>
    <cellStyle name="メモ 3 2 2" xfId="667"/>
    <cellStyle name="メモ 3 2 2 2" xfId="668"/>
    <cellStyle name="メモ 3 2 3" xfId="669"/>
    <cellStyle name="メモ 3 2 3 2" xfId="670"/>
    <cellStyle name="メモ 3 2 4" xfId="671"/>
    <cellStyle name="メモ 3 2 4 2" xfId="672"/>
    <cellStyle name="メモ 3 2 5" xfId="673"/>
    <cellStyle name="メモ 3 2 5 2" xfId="674"/>
    <cellStyle name="メモ 3 2 6" xfId="675"/>
    <cellStyle name="メモ 3 2 6 2" xfId="676"/>
    <cellStyle name="メモ 3 2 7" xfId="677"/>
    <cellStyle name="メモ 3 3" xfId="678"/>
    <cellStyle name="メモ 3 3 2" xfId="679"/>
    <cellStyle name="メモ 3 4" xfId="680"/>
    <cellStyle name="メモ 3 5" xfId="681"/>
    <cellStyle name="メモ 4" xfId="682"/>
    <cellStyle name="メモ 4 2" xfId="683"/>
    <cellStyle name="メモ 4 2 2" xfId="684"/>
    <cellStyle name="メモ 4 2 2 2" xfId="685"/>
    <cellStyle name="メモ 4 2 3" xfId="686"/>
    <cellStyle name="メモ 4 2 3 2" xfId="687"/>
    <cellStyle name="メモ 4 2 4" xfId="688"/>
    <cellStyle name="メモ 4 2 4 2" xfId="689"/>
    <cellStyle name="メモ 4 2 5" xfId="690"/>
    <cellStyle name="メモ 4 2 5 2" xfId="691"/>
    <cellStyle name="メモ 4 2 6" xfId="692"/>
    <cellStyle name="メモ 4 2 6 2" xfId="693"/>
    <cellStyle name="メモ 4 2 7" xfId="694"/>
    <cellStyle name="メモ 4 3" xfId="695"/>
    <cellStyle name="メモ 4 3 2" xfId="696"/>
    <cellStyle name="メモ 4 4" xfId="697"/>
    <cellStyle name="メモ 5" xfId="698"/>
    <cellStyle name="メモ 5 2" xfId="699"/>
    <cellStyle name="メモ 5 2 2" xfId="700"/>
    <cellStyle name="メモ 5 3" xfId="701"/>
    <cellStyle name="メモ 5 3 2" xfId="702"/>
    <cellStyle name="メモ 5 4" xfId="703"/>
    <cellStyle name="メモ 5 4 2" xfId="704"/>
    <cellStyle name="メモ 5 5" xfId="705"/>
    <cellStyle name="メモ 5 5 2" xfId="706"/>
    <cellStyle name="メモ 5 6" xfId="707"/>
    <cellStyle name="メモ 5 6 2" xfId="708"/>
    <cellStyle name="メモ 5 7" xfId="709"/>
    <cellStyle name="メモ 5 7 2" xfId="710"/>
    <cellStyle name="メモ 6" xfId="711"/>
    <cellStyle name="メモ 7" xfId="712"/>
    <cellStyle name="メモ 8" xfId="713"/>
    <cellStyle name="メモ 9" xfId="714"/>
    <cellStyle name="リンク セル 2" xfId="715"/>
    <cellStyle name="リンク セル 3" xfId="716"/>
    <cellStyle name="リンク セル 4" xfId="717"/>
    <cellStyle name="リンク セル 5" xfId="718"/>
    <cellStyle name="リンク セル 6" xfId="719"/>
    <cellStyle name="リンク セル 7" xfId="720"/>
    <cellStyle name="リンク セル 8" xfId="721"/>
    <cellStyle name="リンク セル 9" xfId="722"/>
    <cellStyle name="_x001d_・_x000c_ﾏ・_x000d_ﾂ・_x0001__x0016__x0011_F5_x0007__x0001__x0001_" xfId="723"/>
    <cellStyle name="_x001d_・_x000c_ﾏ・_x000d_ﾂ・_x0001__x0016__x0011_F5_x0007__x0001__x0001_ 2" xfId="724"/>
    <cellStyle name="_x001d_・_x000c_ﾏ・_x000d_ﾂ・_x0001__x0016__x0011_F5_x0007__x0001__x0001_ 2 2" xfId="725"/>
    <cellStyle name="_x001d_・_x000c_ﾏ・_x000d_ﾂ・_x0001__x0016__x0011_F5_x0007__x0001__x0001_ 2 2 2" xfId="726"/>
    <cellStyle name="_x001d_・_x000c_ﾏ・_x000d_ﾂ・_x0001__x0016__x0011_F5_x0007__x0001__x0001_ 2 3" xfId="727"/>
    <cellStyle name="_x001d_・_x000c_ﾏ・_x000d_ﾂ・_x0001__x0016__x0011_F5_x0007__x0001__x0001_ 3" xfId="728"/>
    <cellStyle name="_x001d_・_x000c_ﾏ・_x000d_ﾂ・_x0001__x0016__x0011_F5_x0007__x0001__x0001_ 3 2" xfId="729"/>
    <cellStyle name="悪い 2" xfId="730"/>
    <cellStyle name="悪い 3" xfId="731"/>
    <cellStyle name="悪い 4" xfId="732"/>
    <cellStyle name="悪い 5" xfId="733"/>
    <cellStyle name="悪い 6" xfId="734"/>
    <cellStyle name="悪い 7" xfId="735"/>
    <cellStyle name="悪い 8" xfId="736"/>
    <cellStyle name="悪い 9" xfId="737"/>
    <cellStyle name="計算 2" xfId="738"/>
    <cellStyle name="計算 2 2" xfId="739"/>
    <cellStyle name="計算 2 2 2" xfId="740"/>
    <cellStyle name="計算 2 2 2 2" xfId="741"/>
    <cellStyle name="計算 2 2 2 2 2" xfId="742"/>
    <cellStyle name="計算 2 2 2 3" xfId="743"/>
    <cellStyle name="計算 2 2 2 3 2" xfId="744"/>
    <cellStyle name="計算 2 2 2 4" xfId="745"/>
    <cellStyle name="計算 2 2 2 4 2" xfId="746"/>
    <cellStyle name="計算 2 2 2 5" xfId="747"/>
    <cellStyle name="計算 2 2 2 5 2" xfId="748"/>
    <cellStyle name="計算 2 2 2 6" xfId="749"/>
    <cellStyle name="計算 2 2 2 6 2" xfId="750"/>
    <cellStyle name="計算 2 2 2 7" xfId="751"/>
    <cellStyle name="計算 2 2 3" xfId="752"/>
    <cellStyle name="計算 2 2 3 2" xfId="753"/>
    <cellStyle name="計算 2 2 4" xfId="754"/>
    <cellStyle name="計算 2 3" xfId="755"/>
    <cellStyle name="計算 2 3 2" xfId="756"/>
    <cellStyle name="計算 2 3 2 2" xfId="757"/>
    <cellStyle name="計算 2 3 3" xfId="758"/>
    <cellStyle name="計算 2 3 3 2" xfId="759"/>
    <cellStyle name="計算 2 3 4" xfId="760"/>
    <cellStyle name="計算 2 3 4 2" xfId="761"/>
    <cellStyle name="計算 2 3 5" xfId="762"/>
    <cellStyle name="計算 2 3 5 2" xfId="763"/>
    <cellStyle name="計算 2 3 6" xfId="764"/>
    <cellStyle name="計算 2 3 6 2" xfId="765"/>
    <cellStyle name="計算 2 3 7" xfId="766"/>
    <cellStyle name="計算 2 4" xfId="767"/>
    <cellStyle name="計算 2 4 2" xfId="768"/>
    <cellStyle name="計算 2 5" xfId="769"/>
    <cellStyle name="計算 3" xfId="770"/>
    <cellStyle name="計算 3 2" xfId="771"/>
    <cellStyle name="計算 3 2 2" xfId="772"/>
    <cellStyle name="計算 3 2 2 2" xfId="773"/>
    <cellStyle name="計算 3 2 3" xfId="774"/>
    <cellStyle name="計算 3 2 3 2" xfId="775"/>
    <cellStyle name="計算 3 2 4" xfId="776"/>
    <cellStyle name="計算 3 2 4 2" xfId="777"/>
    <cellStyle name="計算 3 2 5" xfId="778"/>
    <cellStyle name="計算 3 2 5 2" xfId="779"/>
    <cellStyle name="計算 3 2 6" xfId="780"/>
    <cellStyle name="計算 3 2 6 2" xfId="781"/>
    <cellStyle name="計算 3 2 7" xfId="782"/>
    <cellStyle name="計算 3 3" xfId="783"/>
    <cellStyle name="計算 3 3 2" xfId="784"/>
    <cellStyle name="計算 3 4" xfId="785"/>
    <cellStyle name="計算 4" xfId="786"/>
    <cellStyle name="計算 4 2" xfId="787"/>
    <cellStyle name="計算 4 2 2" xfId="788"/>
    <cellStyle name="計算 4 3" xfId="789"/>
    <cellStyle name="計算 4 3 2" xfId="790"/>
    <cellStyle name="計算 4 4" xfId="791"/>
    <cellStyle name="計算 4 4 2" xfId="792"/>
    <cellStyle name="計算 4 5" xfId="793"/>
    <cellStyle name="計算 4 5 2" xfId="794"/>
    <cellStyle name="計算 4 6" xfId="795"/>
    <cellStyle name="計算 4 6 2" xfId="796"/>
    <cellStyle name="計算 4 7" xfId="797"/>
    <cellStyle name="計算 5" xfId="798"/>
    <cellStyle name="計算 6" xfId="799"/>
    <cellStyle name="計算 7" xfId="800"/>
    <cellStyle name="計算 8" xfId="801"/>
    <cellStyle name="計算 9" xfId="802"/>
    <cellStyle name="警告文 2" xfId="803"/>
    <cellStyle name="警告文 3" xfId="804"/>
    <cellStyle name="警告文 4" xfId="805"/>
    <cellStyle name="警告文 5" xfId="806"/>
    <cellStyle name="警告文 6" xfId="807"/>
    <cellStyle name="警告文 7" xfId="808"/>
    <cellStyle name="警告文 8" xfId="809"/>
    <cellStyle name="警告文 9" xfId="810"/>
    <cellStyle name="桁蟻唇Ｆ [0.00]_laroux" xfId="811"/>
    <cellStyle name="桁蟻唇Ｆ_A°DAU±ATIsA" xfId="812"/>
    <cellStyle name="桁区切り 2" xfId="813"/>
    <cellStyle name="桁区切り 2 2" xfId="814"/>
    <cellStyle name="桁区切り 2 2 2" xfId="815"/>
    <cellStyle name="桁区切り 2 3" xfId="816"/>
    <cellStyle name="桁区切り 2 4" xfId="817"/>
    <cellStyle name="桁区切り 2 4 2" xfId="818"/>
    <cellStyle name="桁区切り 2 4 3" xfId="819"/>
    <cellStyle name="桁区切り 2 5" xfId="820"/>
    <cellStyle name="桁区切り 2 5 2" xfId="821"/>
    <cellStyle name="桁区切り 2 5 3" xfId="822"/>
    <cellStyle name="桁区切り 2 6" xfId="823"/>
    <cellStyle name="桁区切り 2_バックアップセンタ_切替テストスケジュール_20120406~10" xfId="824"/>
    <cellStyle name="桁区切り 3" xfId="825"/>
    <cellStyle name="桁区切り 3 2" xfId="826"/>
    <cellStyle name="桁区切り 3 2 2" xfId="827"/>
    <cellStyle name="桁区切り 3 2 3" xfId="828"/>
    <cellStyle name="桁区切り 3 3" xfId="829"/>
    <cellStyle name="桁区切り 4" xfId="830"/>
    <cellStyle name="桁区切り 4 2" xfId="831"/>
    <cellStyle name="桁区切り 4 2 2" xfId="832"/>
    <cellStyle name="桁区切り 4 2 3" xfId="833"/>
    <cellStyle name="桁区切り 4 3" xfId="834"/>
    <cellStyle name="桁区切り 4 4" xfId="835"/>
    <cellStyle name="桁区切り 5" xfId="836"/>
    <cellStyle name="桁区切り 5 2" xfId="837"/>
    <cellStyle name="桁区切り 5 3" xfId="838"/>
    <cellStyle name="桁区切り 6" xfId="839"/>
    <cellStyle name="見出し 1 2" xfId="840"/>
    <cellStyle name="見出し 1 3" xfId="841"/>
    <cellStyle name="見出し 1 4" xfId="842"/>
    <cellStyle name="見出し 1 5" xfId="843"/>
    <cellStyle name="見出し 1 6" xfId="844"/>
    <cellStyle name="見出し 1 7" xfId="845"/>
    <cellStyle name="見出し 1 8" xfId="846"/>
    <cellStyle name="見出し 1 9" xfId="847"/>
    <cellStyle name="見出し 2 2" xfId="848"/>
    <cellStyle name="見出し 2 3" xfId="849"/>
    <cellStyle name="見出し 2 4" xfId="850"/>
    <cellStyle name="見出し 2 5" xfId="851"/>
    <cellStyle name="見出し 2 6" xfId="852"/>
    <cellStyle name="見出し 2 7" xfId="853"/>
    <cellStyle name="見出し 2 8" xfId="854"/>
    <cellStyle name="見出し 2 9" xfId="855"/>
    <cellStyle name="見出し 3 2" xfId="856"/>
    <cellStyle name="見出し 3 3" xfId="857"/>
    <cellStyle name="見出し 3 4" xfId="858"/>
    <cellStyle name="見出し 3 5" xfId="859"/>
    <cellStyle name="見出し 3 6" xfId="860"/>
    <cellStyle name="見出し 3 7" xfId="861"/>
    <cellStyle name="見出し 3 8" xfId="862"/>
    <cellStyle name="見出し 3 9" xfId="863"/>
    <cellStyle name="見出し 4 2" xfId="864"/>
    <cellStyle name="見出し 4 3" xfId="865"/>
    <cellStyle name="見出し 4 4" xfId="866"/>
    <cellStyle name="見出し 4 5" xfId="867"/>
    <cellStyle name="見出し 4 6" xfId="868"/>
    <cellStyle name="見出し 4 7" xfId="869"/>
    <cellStyle name="見出し 4 8" xfId="870"/>
    <cellStyle name="見出し 4 9" xfId="871"/>
    <cellStyle name="構成図作成用" xfId="872"/>
    <cellStyle name="取り消し" xfId="873"/>
    <cellStyle name="集計 2" xfId="874"/>
    <cellStyle name="集計 2 2" xfId="875"/>
    <cellStyle name="集計 2 2 2" xfId="876"/>
    <cellStyle name="集計 2 2 2 2" xfId="877"/>
    <cellStyle name="集計 2 2 2 2 2" xfId="878"/>
    <cellStyle name="集計 2 2 2 3" xfId="879"/>
    <cellStyle name="集計 2 2 2 3 2" xfId="880"/>
    <cellStyle name="集計 2 2 2 4" xfId="881"/>
    <cellStyle name="集計 2 2 2 4 2" xfId="882"/>
    <cellStyle name="集計 2 2 2 5" xfId="883"/>
    <cellStyle name="集計 2 2 2 5 2" xfId="884"/>
    <cellStyle name="集計 2 2 2 6" xfId="885"/>
    <cellStyle name="集計 2 2 2 6 2" xfId="886"/>
    <cellStyle name="集計 2 2 2 7" xfId="887"/>
    <cellStyle name="集計 2 2 3" xfId="888"/>
    <cellStyle name="集計 2 2 3 2" xfId="889"/>
    <cellStyle name="集計 2 3" xfId="890"/>
    <cellStyle name="集計 2 3 2" xfId="891"/>
    <cellStyle name="集計 2 3 2 2" xfId="892"/>
    <cellStyle name="集計 2 3 3" xfId="893"/>
    <cellStyle name="集計 2 3 3 2" xfId="894"/>
    <cellStyle name="集計 2 3 4" xfId="895"/>
    <cellStyle name="集計 2 3 4 2" xfId="896"/>
    <cellStyle name="集計 2 3 5" xfId="897"/>
    <cellStyle name="集計 2 3 5 2" xfId="898"/>
    <cellStyle name="集計 2 3 6" xfId="899"/>
    <cellStyle name="集計 2 3 6 2" xfId="900"/>
    <cellStyle name="集計 2 3 7" xfId="901"/>
    <cellStyle name="集計 2 4" xfId="902"/>
    <cellStyle name="集計 2 4 2" xfId="903"/>
    <cellStyle name="集計 3" xfId="904"/>
    <cellStyle name="集計 3 2" xfId="905"/>
    <cellStyle name="集計 3 2 2" xfId="906"/>
    <cellStyle name="集計 3 2 2 2" xfId="907"/>
    <cellStyle name="集計 3 2 3" xfId="908"/>
    <cellStyle name="集計 3 2 3 2" xfId="909"/>
    <cellStyle name="集計 3 2 4" xfId="910"/>
    <cellStyle name="集計 3 2 4 2" xfId="911"/>
    <cellStyle name="集計 3 2 5" xfId="912"/>
    <cellStyle name="集計 3 2 5 2" xfId="913"/>
    <cellStyle name="集計 3 2 6" xfId="914"/>
    <cellStyle name="集計 3 2 6 2" xfId="915"/>
    <cellStyle name="集計 3 2 7" xfId="916"/>
    <cellStyle name="集計 3 3" xfId="917"/>
    <cellStyle name="集計 3 3 2" xfId="918"/>
    <cellStyle name="集計 3 4" xfId="919"/>
    <cellStyle name="集計 4" xfId="920"/>
    <cellStyle name="集計 4 2" xfId="921"/>
    <cellStyle name="集計 4 2 2" xfId="922"/>
    <cellStyle name="集計 4 3" xfId="923"/>
    <cellStyle name="集計 4 3 2" xfId="924"/>
    <cellStyle name="集計 4 4" xfId="925"/>
    <cellStyle name="集計 4 4 2" xfId="926"/>
    <cellStyle name="集計 4 5" xfId="927"/>
    <cellStyle name="集計 4 5 2" xfId="928"/>
    <cellStyle name="集計 4 6" xfId="929"/>
    <cellStyle name="集計 4 6 2" xfId="930"/>
    <cellStyle name="集計 4 7" xfId="931"/>
    <cellStyle name="集計 5" xfId="932"/>
    <cellStyle name="集計 6" xfId="933"/>
    <cellStyle name="集計 7" xfId="934"/>
    <cellStyle name="集計 8" xfId="935"/>
    <cellStyle name="集計 9" xfId="936"/>
    <cellStyle name="出力 2" xfId="937"/>
    <cellStyle name="出力 2 2" xfId="938"/>
    <cellStyle name="出力 2 2 2" xfId="939"/>
    <cellStyle name="出力 2 2 2 2" xfId="940"/>
    <cellStyle name="出力 2 2 2 2 2" xfId="941"/>
    <cellStyle name="出力 2 2 2 3" xfId="942"/>
    <cellStyle name="出力 2 2 2 3 2" xfId="943"/>
    <cellStyle name="出力 2 2 2 4" xfId="944"/>
    <cellStyle name="出力 2 2 2 4 2" xfId="945"/>
    <cellStyle name="出力 2 2 2 5" xfId="946"/>
    <cellStyle name="出力 2 2 2 5 2" xfId="947"/>
    <cellStyle name="出力 2 2 2 6" xfId="948"/>
    <cellStyle name="出力 2 2 2 6 2" xfId="949"/>
    <cellStyle name="出力 2 2 2 7" xfId="950"/>
    <cellStyle name="出力 2 2 3" xfId="951"/>
    <cellStyle name="出力 2 2 3 2" xfId="952"/>
    <cellStyle name="出力 2 3" xfId="953"/>
    <cellStyle name="出力 2 3 2" xfId="954"/>
    <cellStyle name="出力 2 3 2 2" xfId="955"/>
    <cellStyle name="出力 2 3 3" xfId="956"/>
    <cellStyle name="出力 2 3 3 2" xfId="957"/>
    <cellStyle name="出力 2 3 4" xfId="958"/>
    <cellStyle name="出力 2 3 4 2" xfId="959"/>
    <cellStyle name="出力 2 3 5" xfId="960"/>
    <cellStyle name="出力 2 3 5 2" xfId="961"/>
    <cellStyle name="出力 2 3 6" xfId="962"/>
    <cellStyle name="出力 2 3 6 2" xfId="963"/>
    <cellStyle name="出力 2 3 7" xfId="964"/>
    <cellStyle name="出力 2 4" xfId="965"/>
    <cellStyle name="出力 2 4 2" xfId="966"/>
    <cellStyle name="出力 3" xfId="967"/>
    <cellStyle name="出力 3 2" xfId="968"/>
    <cellStyle name="出力 3 2 2" xfId="969"/>
    <cellStyle name="出力 3 2 2 2" xfId="970"/>
    <cellStyle name="出力 3 2 3" xfId="971"/>
    <cellStyle name="出力 3 2 3 2" xfId="972"/>
    <cellStyle name="出力 3 2 4" xfId="973"/>
    <cellStyle name="出力 3 2 4 2" xfId="974"/>
    <cellStyle name="出力 3 2 5" xfId="975"/>
    <cellStyle name="出力 3 2 5 2" xfId="976"/>
    <cellStyle name="出力 3 2 6" xfId="977"/>
    <cellStyle name="出力 3 2 6 2" xfId="978"/>
    <cellStyle name="出力 3 2 7" xfId="979"/>
    <cellStyle name="出力 3 3" xfId="980"/>
    <cellStyle name="出力 3 3 2" xfId="981"/>
    <cellStyle name="出力 3 4" xfId="982"/>
    <cellStyle name="出力 4" xfId="983"/>
    <cellStyle name="出力 4 2" xfId="984"/>
    <cellStyle name="出力 4 2 2" xfId="985"/>
    <cellStyle name="出力 4 3" xfId="986"/>
    <cellStyle name="出力 4 3 2" xfId="987"/>
    <cellStyle name="出力 4 4" xfId="988"/>
    <cellStyle name="出力 4 4 2" xfId="989"/>
    <cellStyle name="出力 4 5" xfId="990"/>
    <cellStyle name="出力 4 5 2" xfId="991"/>
    <cellStyle name="出力 4 6" xfId="992"/>
    <cellStyle name="出力 4 6 2" xfId="993"/>
    <cellStyle name="出力 4 7" xfId="994"/>
    <cellStyle name="出力 5" xfId="995"/>
    <cellStyle name="出力 6" xfId="996"/>
    <cellStyle name="出力 7" xfId="997"/>
    <cellStyle name="出力 8" xfId="998"/>
    <cellStyle name="出力 9" xfId="999"/>
    <cellStyle name="人月" xfId="1000"/>
    <cellStyle name="説明文 2" xfId="1001"/>
    <cellStyle name="説明文 3" xfId="1002"/>
    <cellStyle name="説明文 4" xfId="1003"/>
    <cellStyle name="説明文 5" xfId="1004"/>
    <cellStyle name="説明文 6" xfId="1005"/>
    <cellStyle name="説明文 7" xfId="1006"/>
    <cellStyle name="説明文 8" xfId="1007"/>
    <cellStyle name="説明文 9" xfId="1008"/>
    <cellStyle name="脱浦 [0.00]_laroux" xfId="1009"/>
    <cellStyle name="脱浦_laroux" xfId="1010"/>
    <cellStyle name="通貨 [0.00" xfId="1011"/>
    <cellStyle name="通貨 [0.00 2" xfId="1012"/>
    <cellStyle name="通貨 [0.00 3" xfId="1013"/>
    <cellStyle name="通貨 [0.00 4" xfId="1014"/>
    <cellStyle name="通貨 [0.00 5" xfId="1015"/>
    <cellStyle name="通貨 [0.00 6" xfId="1016"/>
    <cellStyle name="通貨 2" xfId="1017"/>
    <cellStyle name="通貨 2 2" xfId="1018"/>
    <cellStyle name="通貨 2 2 2" xfId="1019"/>
    <cellStyle name="通貨 2 2 3" xfId="1020"/>
    <cellStyle name="通貨 2 3" xfId="1021"/>
    <cellStyle name="通貨 2 4" xfId="1022"/>
    <cellStyle name="通貨 2 5" xfId="1023"/>
    <cellStyle name="通貨 3" xfId="1024"/>
    <cellStyle name="入力 2" xfId="1025"/>
    <cellStyle name="入力 2 2" xfId="1026"/>
    <cellStyle name="入力 2 2 2" xfId="1027"/>
    <cellStyle name="入力 2 2 2 2" xfId="1028"/>
    <cellStyle name="入力 2 2 2 2 2" xfId="1029"/>
    <cellStyle name="入力 2 2 2 3" xfId="1030"/>
    <cellStyle name="入力 2 2 2 3 2" xfId="1031"/>
    <cellStyle name="入力 2 2 2 4" xfId="1032"/>
    <cellStyle name="入力 2 2 2 4 2" xfId="1033"/>
    <cellStyle name="入力 2 2 2 5" xfId="1034"/>
    <cellStyle name="入力 2 2 2 5 2" xfId="1035"/>
    <cellStyle name="入力 2 2 2 6" xfId="1036"/>
    <cellStyle name="入力 2 2 2 6 2" xfId="1037"/>
    <cellStyle name="入力 2 2 2 7" xfId="1038"/>
    <cellStyle name="入力 2 2 3" xfId="1039"/>
    <cellStyle name="入力 2 2 3 2" xfId="1040"/>
    <cellStyle name="入力 2 2 4" xfId="1041"/>
    <cellStyle name="入力 2 3" xfId="1042"/>
    <cellStyle name="入力 2 3 2" xfId="1043"/>
    <cellStyle name="入力 2 3 2 2" xfId="1044"/>
    <cellStyle name="入力 2 3 3" xfId="1045"/>
    <cellStyle name="入力 2 3 3 2" xfId="1046"/>
    <cellStyle name="入力 2 3 4" xfId="1047"/>
    <cellStyle name="入力 2 3 4 2" xfId="1048"/>
    <cellStyle name="入力 2 3 5" xfId="1049"/>
    <cellStyle name="入力 2 3 5 2" xfId="1050"/>
    <cellStyle name="入力 2 3 6" xfId="1051"/>
    <cellStyle name="入力 2 3 6 2" xfId="1052"/>
    <cellStyle name="入力 2 3 7" xfId="1053"/>
    <cellStyle name="入力 2 4" xfId="1054"/>
    <cellStyle name="入力 2 4 2" xfId="1055"/>
    <cellStyle name="入力 2 5" xfId="1056"/>
    <cellStyle name="入力 3" xfId="1057"/>
    <cellStyle name="入力 3 2" xfId="1058"/>
    <cellStyle name="入力 3 2 2" xfId="1059"/>
    <cellStyle name="入力 3 2 2 2" xfId="1060"/>
    <cellStyle name="入力 3 2 3" xfId="1061"/>
    <cellStyle name="入力 3 2 3 2" xfId="1062"/>
    <cellStyle name="入力 3 2 4" xfId="1063"/>
    <cellStyle name="入力 3 2 4 2" xfId="1064"/>
    <cellStyle name="入力 3 2 5" xfId="1065"/>
    <cellStyle name="入力 3 2 5 2" xfId="1066"/>
    <cellStyle name="入力 3 2 6" xfId="1067"/>
    <cellStyle name="入力 3 2 6 2" xfId="1068"/>
    <cellStyle name="入力 3 2 7" xfId="1069"/>
    <cellStyle name="入力 3 3" xfId="1070"/>
    <cellStyle name="入力 3 3 2" xfId="1071"/>
    <cellStyle name="入力 3 4" xfId="1072"/>
    <cellStyle name="入力 4" xfId="1073"/>
    <cellStyle name="入力 4 2" xfId="1074"/>
    <cellStyle name="入力 4 2 2" xfId="1075"/>
    <cellStyle name="入力 4 3" xfId="1076"/>
    <cellStyle name="入力 4 3 2" xfId="1077"/>
    <cellStyle name="入力 4 4" xfId="1078"/>
    <cellStyle name="入力 4 4 2" xfId="1079"/>
    <cellStyle name="入力 4 5" xfId="1080"/>
    <cellStyle name="入力 4 5 2" xfId="1081"/>
    <cellStyle name="入力 4 6" xfId="1082"/>
    <cellStyle name="入力 4 6 2" xfId="1083"/>
    <cellStyle name="入力 4 7" xfId="1084"/>
    <cellStyle name="入力 5" xfId="1085"/>
    <cellStyle name="入力 6" xfId="1086"/>
    <cellStyle name="入力 7" xfId="1087"/>
    <cellStyle name="入力 8" xfId="1088"/>
    <cellStyle name="入力 9" xfId="1089"/>
    <cellStyle name="標準" xfId="0" builtinId="0"/>
    <cellStyle name="標準 10" xfId="1090"/>
    <cellStyle name="標準 10 2" xfId="1091"/>
    <cellStyle name="標準 10 3" xfId="2"/>
    <cellStyle name="標準 10 4" xfId="1092"/>
    <cellStyle name="標準 10 5" xfId="1093"/>
    <cellStyle name="標準 100" xfId="1094"/>
    <cellStyle name="標準 100 2" xfId="1095"/>
    <cellStyle name="標準 100 2 2" xfId="1096"/>
    <cellStyle name="標準 100 2 2 2" xfId="1097"/>
    <cellStyle name="標準 100 2 2 3" xfId="1098"/>
    <cellStyle name="標準 100 2 2 4" xfId="1099"/>
    <cellStyle name="標準 100 2 3" xfId="1100"/>
    <cellStyle name="標準 100 2 4" xfId="1101"/>
    <cellStyle name="標準 100 2 5" xfId="1102"/>
    <cellStyle name="標準 100 3" xfId="1103"/>
    <cellStyle name="標準 100 3 2" xfId="1104"/>
    <cellStyle name="標準 100 3 3" xfId="1105"/>
    <cellStyle name="標準 100 3 4" xfId="1106"/>
    <cellStyle name="標準 100 4" xfId="1107"/>
    <cellStyle name="標準 100 5" xfId="1108"/>
    <cellStyle name="標準 100 6" xfId="1109"/>
    <cellStyle name="標準 101" xfId="1110"/>
    <cellStyle name="標準 102" xfId="1111"/>
    <cellStyle name="標準 102 2" xfId="1112"/>
    <cellStyle name="標準 102 2 2" xfId="1113"/>
    <cellStyle name="標準 102 2 3" xfId="1114"/>
    <cellStyle name="標準 102 2 4" xfId="1115"/>
    <cellStyle name="標準 102 3" xfId="1116"/>
    <cellStyle name="標準 102 4" xfId="1117"/>
    <cellStyle name="標準 102 5" xfId="1118"/>
    <cellStyle name="標準 103" xfId="1119"/>
    <cellStyle name="標準 104" xfId="1120"/>
    <cellStyle name="標準 104 2" xfId="1121"/>
    <cellStyle name="標準 104 3" xfId="1122"/>
    <cellStyle name="標準 104 4" xfId="1123"/>
    <cellStyle name="標準 105" xfId="1124"/>
    <cellStyle name="標準 106" xfId="1125"/>
    <cellStyle name="標準 107" xfId="1126"/>
    <cellStyle name="標準 108" xfId="1127"/>
    <cellStyle name="標準 109" xfId="1128"/>
    <cellStyle name="標準 11" xfId="1129"/>
    <cellStyle name="標準 11 2" xfId="1130"/>
    <cellStyle name="標準 11 3" xfId="1131"/>
    <cellStyle name="標準 110" xfId="1132"/>
    <cellStyle name="標準 111" xfId="1133"/>
    <cellStyle name="標準 112" xfId="1134"/>
    <cellStyle name="標準 113" xfId="1135"/>
    <cellStyle name="標準 114" xfId="1136"/>
    <cellStyle name="標準 115" xfId="1137"/>
    <cellStyle name="標準 116" xfId="1138"/>
    <cellStyle name="標準 117" xfId="1139"/>
    <cellStyle name="標準 118" xfId="1140"/>
    <cellStyle name="標準 119" xfId="1141"/>
    <cellStyle name="標準 12" xfId="1142"/>
    <cellStyle name="標準 12 2" xfId="1143"/>
    <cellStyle name="標準 12 2 2" xfId="1144"/>
    <cellStyle name="標準 12 2 3" xfId="1145"/>
    <cellStyle name="標準 12 3" xfId="1146"/>
    <cellStyle name="標準 12 3 2" xfId="1147"/>
    <cellStyle name="標準 12 3 3" xfId="1148"/>
    <cellStyle name="標準 120" xfId="1149"/>
    <cellStyle name="標準 121" xfId="1150"/>
    <cellStyle name="標準 122" xfId="1151"/>
    <cellStyle name="標準 123" xfId="1152"/>
    <cellStyle name="標準 124" xfId="1153"/>
    <cellStyle name="標準 125" xfId="1154"/>
    <cellStyle name="標準 126" xfId="1155"/>
    <cellStyle name="標準 127" xfId="1156"/>
    <cellStyle name="標準 128" xfId="1157"/>
    <cellStyle name="標準 129" xfId="1158"/>
    <cellStyle name="標準 13" xfId="1159"/>
    <cellStyle name="標準 13 2" xfId="1160"/>
    <cellStyle name="標準 13 3" xfId="1161"/>
    <cellStyle name="標準 13 4" xfId="1162"/>
    <cellStyle name="標準 13 5" xfId="1163"/>
    <cellStyle name="標準 130" xfId="1164"/>
    <cellStyle name="標準 131" xfId="1165"/>
    <cellStyle name="標準 132" xfId="1"/>
    <cellStyle name="標準 136" xfId="1166"/>
    <cellStyle name="標準 14" xfId="1167"/>
    <cellStyle name="標準 14 2" xfId="1168"/>
    <cellStyle name="標準 14 2 2" xfId="1169"/>
    <cellStyle name="標準 14 2 3" xfId="1170"/>
    <cellStyle name="標準 14 3" xfId="1171"/>
    <cellStyle name="標準 14 4" xfId="1172"/>
    <cellStyle name="標準 15" xfId="1173"/>
    <cellStyle name="標準 15 2" xfId="1174"/>
    <cellStyle name="標準 15 2 2" xfId="1175"/>
    <cellStyle name="標準 15 2 3" xfId="1176"/>
    <cellStyle name="標準 15 3" xfId="1177"/>
    <cellStyle name="標準 15 4" xfId="1178"/>
    <cellStyle name="標準 15 5" xfId="1179"/>
    <cellStyle name="標準 15 6" xfId="1180"/>
    <cellStyle name="標準 16" xfId="1181"/>
    <cellStyle name="標準 16 2" xfId="1182"/>
    <cellStyle name="標準 16 2 2" xfId="1183"/>
    <cellStyle name="標準 16 2 3" xfId="1184"/>
    <cellStyle name="標準 16 3" xfId="1185"/>
    <cellStyle name="標準 16 4" xfId="1186"/>
    <cellStyle name="標準 16 5" xfId="1187"/>
    <cellStyle name="標準 17" xfId="1188"/>
    <cellStyle name="標準 17 2" xfId="1189"/>
    <cellStyle name="標準 17 2 2" xfId="1190"/>
    <cellStyle name="標準 17 2 3" xfId="1191"/>
    <cellStyle name="標準 17 3" xfId="1192"/>
    <cellStyle name="標準 17 4" xfId="1193"/>
    <cellStyle name="標準 17 5" xfId="1194"/>
    <cellStyle name="標準 18" xfId="1195"/>
    <cellStyle name="標準 18 2" xfId="1196"/>
    <cellStyle name="標準 18 2 2" xfId="1197"/>
    <cellStyle name="標準 18 2 3" xfId="1198"/>
    <cellStyle name="標準 18 2 4" xfId="1199"/>
    <cellStyle name="標準 18 3" xfId="1200"/>
    <cellStyle name="標準 18 4" xfId="1201"/>
    <cellStyle name="標準 18 5" xfId="1202"/>
    <cellStyle name="標準 18 6" xfId="1203"/>
    <cellStyle name="標準 19" xfId="1204"/>
    <cellStyle name="標準 19 2" xfId="1205"/>
    <cellStyle name="標準 19 3" xfId="1206"/>
    <cellStyle name="標準 2" xfId="1207"/>
    <cellStyle name="標準 2 10" xfId="1208"/>
    <cellStyle name="標準 2 11" xfId="1209"/>
    <cellStyle name="標準 2 12" xfId="1210"/>
    <cellStyle name="標準 2 13" xfId="1211"/>
    <cellStyle name="標準 2 2" xfId="1212"/>
    <cellStyle name="標準 2 2 2" xfId="1213"/>
    <cellStyle name="標準 2 2 2 2" xfId="1214"/>
    <cellStyle name="標準 2 2 2 2 2" xfId="1215"/>
    <cellStyle name="標準 2 2 2 2 3" xfId="1216"/>
    <cellStyle name="標準 2 2 2 3" xfId="1217"/>
    <cellStyle name="標準 2 2 3" xfId="1218"/>
    <cellStyle name="標準 2 2 3 2" xfId="1219"/>
    <cellStyle name="標準 2 2 3 3" xfId="1220"/>
    <cellStyle name="標準 2 2 4" xfId="1221"/>
    <cellStyle name="標準 2 2 4 2" xfId="1222"/>
    <cellStyle name="標準 2 2 4 3" xfId="1223"/>
    <cellStyle name="標準 2 2 5" xfId="1224"/>
    <cellStyle name="標準 2 2 5 2" xfId="1225"/>
    <cellStyle name="標準 2 2 5 3" xfId="1226"/>
    <cellStyle name="標準 2 2 6" xfId="1227"/>
    <cellStyle name="標準 2 2 6 2" xfId="1228"/>
    <cellStyle name="標準 2 2 6 3" xfId="1229"/>
    <cellStyle name="標準 2 2 7" xfId="1230"/>
    <cellStyle name="標準 2 2 8" xfId="1231"/>
    <cellStyle name="標準 2 2_(別紙1)参加者テスト仕様書(JPN)_ver1.81" xfId="1232"/>
    <cellStyle name="標準 2 3" xfId="1233"/>
    <cellStyle name="標準 2 3 2" xfId="1234"/>
    <cellStyle name="標準 2 3 2 2" xfId="1235"/>
    <cellStyle name="標準 2 3 3" xfId="1236"/>
    <cellStyle name="標準 2 3 3 2" xfId="1237"/>
    <cellStyle name="標準 2 3 3 3" xfId="1238"/>
    <cellStyle name="標準 2 3 4" xfId="1239"/>
    <cellStyle name="標準 2 4" xfId="1240"/>
    <cellStyle name="標準 2 4 2" xfId="1241"/>
    <cellStyle name="標準 2 4 2 2" xfId="1242"/>
    <cellStyle name="標準 2 4 3" xfId="1243"/>
    <cellStyle name="標準 2 5" xfId="1244"/>
    <cellStyle name="標準 2 5 2" xfId="1245"/>
    <cellStyle name="標準 2 5 3" xfId="1246"/>
    <cellStyle name="標準 2 6" xfId="1247"/>
    <cellStyle name="標準 2 6 2" xfId="1248"/>
    <cellStyle name="標準 2 6 3" xfId="1249"/>
    <cellStyle name="標準 2 6 4" xfId="1250"/>
    <cellStyle name="標準 2 7" xfId="1251"/>
    <cellStyle name="標準 2 7 2" xfId="1252"/>
    <cellStyle name="標準 2 8" xfId="1253"/>
    <cellStyle name="標準 2 8 2" xfId="1254"/>
    <cellStyle name="標準 2 9" xfId="1255"/>
    <cellStyle name="標準 2_(別紙1)参加者テスト仕様書(JPN)_ver1.81" xfId="1256"/>
    <cellStyle name="標準 20" xfId="1257"/>
    <cellStyle name="標準 20 2" xfId="1258"/>
    <cellStyle name="標準 20 3" xfId="1259"/>
    <cellStyle name="標準 20 4" xfId="1260"/>
    <cellStyle name="標準 20 5" xfId="1261"/>
    <cellStyle name="標準 21" xfId="1262"/>
    <cellStyle name="標準 21 2" xfId="1263"/>
    <cellStyle name="標準 21 2 2" xfId="1264"/>
    <cellStyle name="標準 21 3" xfId="1265"/>
    <cellStyle name="標準 21 3 2" xfId="1266"/>
    <cellStyle name="標準 21 4" xfId="1267"/>
    <cellStyle name="標準 21 5" xfId="1268"/>
    <cellStyle name="標準 22" xfId="1269"/>
    <cellStyle name="標準 22 2" xfId="1270"/>
    <cellStyle name="標準 22 3" xfId="1271"/>
    <cellStyle name="標準 23" xfId="1272"/>
    <cellStyle name="標準 23 2" xfId="1273"/>
    <cellStyle name="標準 23 3" xfId="1274"/>
    <cellStyle name="標準 24" xfId="1275"/>
    <cellStyle name="標準 24 2" xfId="1276"/>
    <cellStyle name="標準 24 3" xfId="1277"/>
    <cellStyle name="標準 25" xfId="1278"/>
    <cellStyle name="標準 26" xfId="1279"/>
    <cellStyle name="標準 27" xfId="1280"/>
    <cellStyle name="標準 28" xfId="1281"/>
    <cellStyle name="標準 29" xfId="1282"/>
    <cellStyle name="標準 3" xfId="1283"/>
    <cellStyle name="標準 3 10" xfId="1284"/>
    <cellStyle name="標準 3 11" xfId="1285"/>
    <cellStyle name="標準 3 2" xfId="1286"/>
    <cellStyle name="標準 3 2 2" xfId="1287"/>
    <cellStyle name="標準 3 2 2 2" xfId="1288"/>
    <cellStyle name="標準 3 2 2 3" xfId="1289"/>
    <cellStyle name="標準 3 2 3" xfId="1290"/>
    <cellStyle name="標準 3 2 3 2" xfId="1291"/>
    <cellStyle name="標準 3 2 3 3" xfId="1292"/>
    <cellStyle name="標準 3 2 4" xfId="1293"/>
    <cellStyle name="標準 3 2 5" xfId="1294"/>
    <cellStyle name="標準 3 3" xfId="1295"/>
    <cellStyle name="標準 3 4" xfId="1296"/>
    <cellStyle name="標準 3 4 2" xfId="1297"/>
    <cellStyle name="標準 3 4 3" xfId="1298"/>
    <cellStyle name="標準 3 5" xfId="1299"/>
    <cellStyle name="標準 3 5 2" xfId="1300"/>
    <cellStyle name="標準 3 5 3" xfId="1301"/>
    <cellStyle name="標準 3 6" xfId="1302"/>
    <cellStyle name="標準 3 6 2" xfId="1303"/>
    <cellStyle name="標準 3 7" xfId="1304"/>
    <cellStyle name="標準 3 8" xfId="1305"/>
    <cellStyle name="標準 3 9" xfId="1306"/>
    <cellStyle name="標準 3_【Quick取得データ配信ツール(仮)】課題管理表（EUC）_20121210" xfId="1307"/>
    <cellStyle name="標準 30" xfId="1308"/>
    <cellStyle name="標準 31" xfId="1309"/>
    <cellStyle name="標準 31 2" xfId="1310"/>
    <cellStyle name="標準 31 3" xfId="1311"/>
    <cellStyle name="標準 32" xfId="1312"/>
    <cellStyle name="標準 32 2" xfId="1313"/>
    <cellStyle name="標準 32 3" xfId="1314"/>
    <cellStyle name="標準 33" xfId="1315"/>
    <cellStyle name="標準 33 2" xfId="1316"/>
    <cellStyle name="標準 33 3" xfId="1317"/>
    <cellStyle name="標準 34" xfId="1318"/>
    <cellStyle name="標準 34 2" xfId="1319"/>
    <cellStyle name="標準 34 3" xfId="1320"/>
    <cellStyle name="標準 35" xfId="1321"/>
    <cellStyle name="標準 35 2" xfId="1322"/>
    <cellStyle name="標準 35 3" xfId="1323"/>
    <cellStyle name="標準 36" xfId="1324"/>
    <cellStyle name="標準 36 2" xfId="1325"/>
    <cellStyle name="標準 36 3" xfId="1326"/>
    <cellStyle name="標準 37" xfId="1327"/>
    <cellStyle name="標準 37 2" xfId="1328"/>
    <cellStyle name="標準 37 3" xfId="1329"/>
    <cellStyle name="標準 38" xfId="1330"/>
    <cellStyle name="標準 39" xfId="1331"/>
    <cellStyle name="標準 39 2" xfId="1332"/>
    <cellStyle name="標準 39 3" xfId="1333"/>
    <cellStyle name="標準 4" xfId="1334"/>
    <cellStyle name="標準 4 2" xfId="1335"/>
    <cellStyle name="標準 4 2 2" xfId="1336"/>
    <cellStyle name="標準 4 2 2 2" xfId="1337"/>
    <cellStyle name="標準 4 2 2 3" xfId="1338"/>
    <cellStyle name="標準 4 2 3" xfId="1339"/>
    <cellStyle name="標準 4 3" xfId="1340"/>
    <cellStyle name="標準 4 3 2" xfId="1341"/>
    <cellStyle name="標準 4 3 3" xfId="1342"/>
    <cellStyle name="標準 4 4" xfId="1343"/>
    <cellStyle name="標準 4 4 2" xfId="1344"/>
    <cellStyle name="標準 4 4 3" xfId="1345"/>
    <cellStyle name="標準 4 5" xfId="1346"/>
    <cellStyle name="標準 4 6" xfId="1347"/>
    <cellStyle name="標準 4_20121011__1_F⇒O_【証拠金１本化】課題管理（清算）" xfId="1348"/>
    <cellStyle name="標準 40" xfId="1349"/>
    <cellStyle name="標準 41" xfId="1350"/>
    <cellStyle name="標準 42" xfId="1351"/>
    <cellStyle name="標準 43" xfId="1352"/>
    <cellStyle name="標準 44" xfId="1353"/>
    <cellStyle name="標準 45" xfId="1354"/>
    <cellStyle name="標準 46" xfId="1355"/>
    <cellStyle name="標準 47" xfId="1356"/>
    <cellStyle name="標準 48" xfId="1357"/>
    <cellStyle name="標準 49" xfId="1358"/>
    <cellStyle name="標準 5" xfId="1359"/>
    <cellStyle name="標準 5 2" xfId="1360"/>
    <cellStyle name="標準 5 2 2" xfId="1361"/>
    <cellStyle name="標準 5 2 2 2" xfId="1362"/>
    <cellStyle name="標準 5 2 2 3" xfId="1363"/>
    <cellStyle name="標準 5 2 3" xfId="1364"/>
    <cellStyle name="標準 5 2 3 2" xfId="1365"/>
    <cellStyle name="標準 5 2 3 3" xfId="1366"/>
    <cellStyle name="標準 5 3" xfId="1367"/>
    <cellStyle name="標準 5 4" xfId="1368"/>
    <cellStyle name="標準 5 4 2" xfId="1369"/>
    <cellStyle name="標準 5_バックアップセンタ_切替テストスケジュール_20120406~10" xfId="1370"/>
    <cellStyle name="標準 50" xfId="1371"/>
    <cellStyle name="標準 51" xfId="1372"/>
    <cellStyle name="標準 52" xfId="1373"/>
    <cellStyle name="標準 53" xfId="1374"/>
    <cellStyle name="標準 54" xfId="1375"/>
    <cellStyle name="標準 55" xfId="1376"/>
    <cellStyle name="標準 56" xfId="1377"/>
    <cellStyle name="標準 57" xfId="1378"/>
    <cellStyle name="標準 58" xfId="1379"/>
    <cellStyle name="標準 59" xfId="1380"/>
    <cellStyle name="標準 6" xfId="1381"/>
    <cellStyle name="標準 6 2" xfId="1382"/>
    <cellStyle name="標準 6 2 2" xfId="1383"/>
    <cellStyle name="標準 6 2 3" xfId="1384"/>
    <cellStyle name="標準 6 2 4" xfId="1385"/>
    <cellStyle name="標準 6 3" xfId="1386"/>
    <cellStyle name="標準 6_バックアップセンタ_切替テストスケジュール_20120406~10" xfId="1387"/>
    <cellStyle name="標準 60" xfId="1388"/>
    <cellStyle name="標準 61" xfId="1389"/>
    <cellStyle name="標準 62" xfId="1390"/>
    <cellStyle name="標準 63" xfId="1391"/>
    <cellStyle name="標準 64" xfId="1392"/>
    <cellStyle name="標準 65" xfId="1393"/>
    <cellStyle name="標準 66" xfId="1394"/>
    <cellStyle name="標準 67" xfId="1395"/>
    <cellStyle name="標準 68" xfId="1396"/>
    <cellStyle name="標準 69" xfId="1397"/>
    <cellStyle name="標準 69 2" xfId="1398"/>
    <cellStyle name="標準 69 2 2" xfId="1399"/>
    <cellStyle name="標準 69 2 2 2" xfId="1400"/>
    <cellStyle name="標準 69 2 2 3" xfId="1401"/>
    <cellStyle name="標準 69 2 2 4" xfId="1402"/>
    <cellStyle name="標準 69 2 3" xfId="1403"/>
    <cellStyle name="標準 69 2 4" xfId="1404"/>
    <cellStyle name="標準 69 2 5" xfId="1405"/>
    <cellStyle name="標準 69 3" xfId="1406"/>
    <cellStyle name="標準 69 3 2" xfId="1407"/>
    <cellStyle name="標準 69 3 3" xfId="1408"/>
    <cellStyle name="標準 69 3 4" xfId="1409"/>
    <cellStyle name="標準 69 4" xfId="1410"/>
    <cellStyle name="標準 69 5" xfId="1411"/>
    <cellStyle name="標準 69 6" xfId="1412"/>
    <cellStyle name="標準 69 7" xfId="1413"/>
    <cellStyle name="標準 69 8" xfId="1414"/>
    <cellStyle name="標準 7" xfId="1415"/>
    <cellStyle name="標準 7 2" xfId="1416"/>
    <cellStyle name="標準 7 2 2" xfId="1417"/>
    <cellStyle name="標準 7 2 3" xfId="1418"/>
    <cellStyle name="標準 7 3" xfId="1419"/>
    <cellStyle name="標準 7 3 2" xfId="1420"/>
    <cellStyle name="標準 7 3 3" xfId="1421"/>
    <cellStyle name="標準 7 4" xfId="1422"/>
    <cellStyle name="標準 7 4 2" xfId="1423"/>
    <cellStyle name="標準 7 4 3" xfId="1424"/>
    <cellStyle name="標準 7 5" xfId="1425"/>
    <cellStyle name="標準 70" xfId="1426"/>
    <cellStyle name="標準 70 2" xfId="1427"/>
    <cellStyle name="標準 70 2 2" xfId="1428"/>
    <cellStyle name="標準 70 2 2 2" xfId="1429"/>
    <cellStyle name="標準 70 2 2 3" xfId="1430"/>
    <cellStyle name="標準 70 2 2 4" xfId="1431"/>
    <cellStyle name="標準 70 2 3" xfId="1432"/>
    <cellStyle name="標準 70 2 4" xfId="1433"/>
    <cellStyle name="標準 70 2 5" xfId="1434"/>
    <cellStyle name="標準 70 3" xfId="1435"/>
    <cellStyle name="標準 70 3 2" xfId="1436"/>
    <cellStyle name="標準 70 3 3" xfId="1437"/>
    <cellStyle name="標準 70 3 4" xfId="1438"/>
    <cellStyle name="標準 70 4" xfId="1439"/>
    <cellStyle name="標準 70 5" xfId="1440"/>
    <cellStyle name="標準 70 6" xfId="1441"/>
    <cellStyle name="標準 70 7" xfId="1442"/>
    <cellStyle name="標準 70 8" xfId="1443"/>
    <cellStyle name="標準 71" xfId="1444"/>
    <cellStyle name="標準 71 2" xfId="1445"/>
    <cellStyle name="標準 71 2 2" xfId="1446"/>
    <cellStyle name="標準 71 2 2 2" xfId="1447"/>
    <cellStyle name="標準 71 2 2 3" xfId="1448"/>
    <cellStyle name="標準 71 2 2 4" xfId="1449"/>
    <cellStyle name="標準 71 2 3" xfId="1450"/>
    <cellStyle name="標準 71 2 4" xfId="1451"/>
    <cellStyle name="標準 71 2 5" xfId="1452"/>
    <cellStyle name="標準 71 3" xfId="1453"/>
    <cellStyle name="標準 71 3 2" xfId="1454"/>
    <cellStyle name="標準 71 3 3" xfId="1455"/>
    <cellStyle name="標準 71 3 4" xfId="1456"/>
    <cellStyle name="標準 71 4" xfId="1457"/>
    <cellStyle name="標準 71 5" xfId="1458"/>
    <cellStyle name="標準 71 6" xfId="1459"/>
    <cellStyle name="標準 71 7" xfId="1460"/>
    <cellStyle name="標準 71 8" xfId="1461"/>
    <cellStyle name="標準 72" xfId="1462"/>
    <cellStyle name="標準 72 2" xfId="1463"/>
    <cellStyle name="標準 72 2 2" xfId="1464"/>
    <cellStyle name="標準 72 2 2 2" xfId="1465"/>
    <cellStyle name="標準 72 2 2 3" xfId="1466"/>
    <cellStyle name="標準 72 2 2 4" xfId="1467"/>
    <cellStyle name="標準 72 2 3" xfId="1468"/>
    <cellStyle name="標準 72 2 4" xfId="1469"/>
    <cellStyle name="標準 72 2 5" xfId="1470"/>
    <cellStyle name="標準 72 3" xfId="1471"/>
    <cellStyle name="標準 72 3 2" xfId="1472"/>
    <cellStyle name="標準 72 3 3" xfId="1473"/>
    <cellStyle name="標準 72 3 4" xfId="1474"/>
    <cellStyle name="標準 72 4" xfId="1475"/>
    <cellStyle name="標準 72 5" xfId="1476"/>
    <cellStyle name="標準 72 6" xfId="1477"/>
    <cellStyle name="標準 72 7" xfId="1478"/>
    <cellStyle name="標準 72 8" xfId="1479"/>
    <cellStyle name="標準 73" xfId="1480"/>
    <cellStyle name="標準 73 2" xfId="1481"/>
    <cellStyle name="標準 73 2 2" xfId="1482"/>
    <cellStyle name="標準 73 2 2 2" xfId="1483"/>
    <cellStyle name="標準 73 2 2 3" xfId="1484"/>
    <cellStyle name="標準 73 2 2 4" xfId="1485"/>
    <cellStyle name="標準 73 2 3" xfId="1486"/>
    <cellStyle name="標準 73 2 4" xfId="1487"/>
    <cellStyle name="標準 73 2 5" xfId="1488"/>
    <cellStyle name="標準 73 3" xfId="1489"/>
    <cellStyle name="標準 73 3 2" xfId="1490"/>
    <cellStyle name="標準 73 3 3" xfId="1491"/>
    <cellStyle name="標準 73 3 4" xfId="1492"/>
    <cellStyle name="標準 73 4" xfId="1493"/>
    <cellStyle name="標準 73 5" xfId="1494"/>
    <cellStyle name="標準 73 6" xfId="1495"/>
    <cellStyle name="標準 74" xfId="1496"/>
    <cellStyle name="標準 74 2" xfId="1497"/>
    <cellStyle name="標準 74 2 2" xfId="1498"/>
    <cellStyle name="標準 74 2 2 2" xfId="1499"/>
    <cellStyle name="標準 74 2 2 3" xfId="1500"/>
    <cellStyle name="標準 74 2 2 4" xfId="1501"/>
    <cellStyle name="標準 74 2 3" xfId="1502"/>
    <cellStyle name="標準 74 2 4" xfId="1503"/>
    <cellStyle name="標準 74 2 5" xfId="1504"/>
    <cellStyle name="標準 74 3" xfId="1505"/>
    <cellStyle name="標準 74 3 2" xfId="1506"/>
    <cellStyle name="標準 74 3 3" xfId="1507"/>
    <cellStyle name="標準 74 3 4" xfId="1508"/>
    <cellStyle name="標準 74 4" xfId="1509"/>
    <cellStyle name="標準 74 5" xfId="1510"/>
    <cellStyle name="標準 74 6" xfId="1511"/>
    <cellStyle name="標準 75" xfId="1512"/>
    <cellStyle name="標準 75 2" xfId="1513"/>
    <cellStyle name="標準 75 2 2" xfId="1514"/>
    <cellStyle name="標準 75 2 2 2" xfId="1515"/>
    <cellStyle name="標準 75 2 2 3" xfId="1516"/>
    <cellStyle name="標準 75 2 2 4" xfId="1517"/>
    <cellStyle name="標準 75 2 3" xfId="1518"/>
    <cellStyle name="標準 75 2 4" xfId="1519"/>
    <cellStyle name="標準 75 2 5" xfId="1520"/>
    <cellStyle name="標準 75 3" xfId="1521"/>
    <cellStyle name="標準 75 3 2" xfId="1522"/>
    <cellStyle name="標準 75 3 3" xfId="1523"/>
    <cellStyle name="標準 75 3 4" xfId="1524"/>
    <cellStyle name="標準 75 4" xfId="1525"/>
    <cellStyle name="標準 75 5" xfId="1526"/>
    <cellStyle name="標準 75 6" xfId="1527"/>
    <cellStyle name="標準 76" xfId="1528"/>
    <cellStyle name="標準 76 2" xfId="1529"/>
    <cellStyle name="標準 76 2 2" xfId="1530"/>
    <cellStyle name="標準 76 2 2 2" xfId="1531"/>
    <cellStyle name="標準 76 2 2 3" xfId="1532"/>
    <cellStyle name="標準 76 2 2 4" xfId="1533"/>
    <cellStyle name="標準 76 2 3" xfId="1534"/>
    <cellStyle name="標準 76 2 4" xfId="1535"/>
    <cellStyle name="標準 76 2 5" xfId="1536"/>
    <cellStyle name="標準 76 3" xfId="1537"/>
    <cellStyle name="標準 76 3 2" xfId="1538"/>
    <cellStyle name="標準 76 3 3" xfId="1539"/>
    <cellStyle name="標準 76 3 4" xfId="1540"/>
    <cellStyle name="標準 76 4" xfId="1541"/>
    <cellStyle name="標準 76 5" xfId="1542"/>
    <cellStyle name="標準 76 6" xfId="1543"/>
    <cellStyle name="標準 77" xfId="1544"/>
    <cellStyle name="標準 77 2" xfId="1545"/>
    <cellStyle name="標準 77 2 2" xfId="1546"/>
    <cellStyle name="標準 77 2 2 2" xfId="1547"/>
    <cellStyle name="標準 77 2 2 3" xfId="1548"/>
    <cellStyle name="標準 77 2 2 4" xfId="1549"/>
    <cellStyle name="標準 77 2 3" xfId="1550"/>
    <cellStyle name="標準 77 2 4" xfId="1551"/>
    <cellStyle name="標準 77 2 5" xfId="1552"/>
    <cellStyle name="標準 77 3" xfId="1553"/>
    <cellStyle name="標準 77 3 2" xfId="1554"/>
    <cellStyle name="標準 77 3 3" xfId="1555"/>
    <cellStyle name="標準 77 3 4" xfId="1556"/>
    <cellStyle name="標準 77 4" xfId="1557"/>
    <cellStyle name="標準 77 5" xfId="1558"/>
    <cellStyle name="標準 77 6" xfId="1559"/>
    <cellStyle name="標準 78" xfId="1560"/>
    <cellStyle name="標準 78 2" xfId="1561"/>
    <cellStyle name="標準 78 2 2" xfId="1562"/>
    <cellStyle name="標準 78 2 2 2" xfId="1563"/>
    <cellStyle name="標準 78 2 2 3" xfId="1564"/>
    <cellStyle name="標準 78 2 2 4" xfId="1565"/>
    <cellStyle name="標準 78 2 3" xfId="1566"/>
    <cellStyle name="標準 78 2 4" xfId="1567"/>
    <cellStyle name="標準 78 2 5" xfId="1568"/>
    <cellStyle name="標準 78 3" xfId="1569"/>
    <cellStyle name="標準 78 3 2" xfId="1570"/>
    <cellStyle name="標準 78 3 3" xfId="1571"/>
    <cellStyle name="標準 78 3 4" xfId="1572"/>
    <cellStyle name="標準 78 4" xfId="1573"/>
    <cellStyle name="標準 78 5" xfId="1574"/>
    <cellStyle name="標準 78 6" xfId="1575"/>
    <cellStyle name="標準 79" xfId="1576"/>
    <cellStyle name="標準 79 2" xfId="1577"/>
    <cellStyle name="標準 79 2 2" xfId="1578"/>
    <cellStyle name="標準 79 2 2 2" xfId="1579"/>
    <cellStyle name="標準 79 2 2 3" xfId="1580"/>
    <cellStyle name="標準 79 2 2 4" xfId="1581"/>
    <cellStyle name="標準 79 2 3" xfId="1582"/>
    <cellStyle name="標準 79 2 4" xfId="1583"/>
    <cellStyle name="標準 79 2 5" xfId="1584"/>
    <cellStyle name="標準 79 3" xfId="1585"/>
    <cellStyle name="標準 79 3 2" xfId="1586"/>
    <cellStyle name="標準 79 3 3" xfId="1587"/>
    <cellStyle name="標準 79 3 4" xfId="1588"/>
    <cellStyle name="標準 79 4" xfId="1589"/>
    <cellStyle name="標準 79 5" xfId="1590"/>
    <cellStyle name="標準 79 6" xfId="1591"/>
    <cellStyle name="標準 8" xfId="1592"/>
    <cellStyle name="標準 8 2" xfId="1593"/>
    <cellStyle name="標準 8 3" xfId="1594"/>
    <cellStyle name="標準 8 4" xfId="1595"/>
    <cellStyle name="標準 8 5" xfId="1596"/>
    <cellStyle name="標準 8 6" xfId="1597"/>
    <cellStyle name="標準 80" xfId="1598"/>
    <cellStyle name="標準 80 2" xfId="1599"/>
    <cellStyle name="標準 80 2 2" xfId="1600"/>
    <cellStyle name="標準 80 2 2 2" xfId="1601"/>
    <cellStyle name="標準 80 2 2 3" xfId="1602"/>
    <cellStyle name="標準 80 2 2 4" xfId="1603"/>
    <cellStyle name="標準 80 2 3" xfId="1604"/>
    <cellStyle name="標準 80 2 4" xfId="1605"/>
    <cellStyle name="標準 80 2 5" xfId="1606"/>
    <cellStyle name="標準 80 3" xfId="1607"/>
    <cellStyle name="標準 80 3 2" xfId="1608"/>
    <cellStyle name="標準 80 3 3" xfId="1609"/>
    <cellStyle name="標準 80 3 4" xfId="1610"/>
    <cellStyle name="標準 80 4" xfId="1611"/>
    <cellStyle name="標準 80 5" xfId="1612"/>
    <cellStyle name="標準 80 6" xfId="1613"/>
    <cellStyle name="標準 81" xfId="1614"/>
    <cellStyle name="標準 81 2" xfId="1615"/>
    <cellStyle name="標準 81 2 2" xfId="1616"/>
    <cellStyle name="標準 81 2 2 2" xfId="1617"/>
    <cellStyle name="標準 81 2 2 3" xfId="1618"/>
    <cellStyle name="標準 81 2 2 4" xfId="1619"/>
    <cellStyle name="標準 81 2 3" xfId="1620"/>
    <cellStyle name="標準 81 2 4" xfId="1621"/>
    <cellStyle name="標準 81 2 5" xfId="1622"/>
    <cellStyle name="標準 81 3" xfId="1623"/>
    <cellStyle name="標準 81 3 2" xfId="1624"/>
    <cellStyle name="標準 81 3 3" xfId="1625"/>
    <cellStyle name="標準 81 3 4" xfId="1626"/>
    <cellStyle name="標準 81 4" xfId="1627"/>
    <cellStyle name="標準 81 5" xfId="1628"/>
    <cellStyle name="標準 81 6" xfId="1629"/>
    <cellStyle name="標準 82" xfId="1630"/>
    <cellStyle name="標準 82 2" xfId="1631"/>
    <cellStyle name="標準 82 2 2" xfId="1632"/>
    <cellStyle name="標準 82 2 2 2" xfId="1633"/>
    <cellStyle name="標準 82 2 2 3" xfId="1634"/>
    <cellStyle name="標準 82 2 2 4" xfId="1635"/>
    <cellStyle name="標準 82 2 3" xfId="1636"/>
    <cellStyle name="標準 82 2 4" xfId="1637"/>
    <cellStyle name="標準 82 2 5" xfId="1638"/>
    <cellStyle name="標準 82 3" xfId="1639"/>
    <cellStyle name="標準 82 3 2" xfId="1640"/>
    <cellStyle name="標準 82 3 3" xfId="1641"/>
    <cellStyle name="標準 82 3 4" xfId="1642"/>
    <cellStyle name="標準 82 4" xfId="1643"/>
    <cellStyle name="標準 82 5" xfId="1644"/>
    <cellStyle name="標準 82 6" xfId="1645"/>
    <cellStyle name="標準 83" xfId="1646"/>
    <cellStyle name="標準 83 2" xfId="1647"/>
    <cellStyle name="標準 83 2 2" xfId="1648"/>
    <cellStyle name="標準 83 2 2 2" xfId="1649"/>
    <cellStyle name="標準 83 2 2 3" xfId="1650"/>
    <cellStyle name="標準 83 2 2 4" xfId="1651"/>
    <cellStyle name="標準 83 2 3" xfId="1652"/>
    <cellStyle name="標準 83 2 4" xfId="1653"/>
    <cellStyle name="標準 83 2 5" xfId="1654"/>
    <cellStyle name="標準 83 3" xfId="1655"/>
    <cellStyle name="標準 83 3 2" xfId="1656"/>
    <cellStyle name="標準 83 3 3" xfId="1657"/>
    <cellStyle name="標準 83 3 4" xfId="1658"/>
    <cellStyle name="標準 83 4" xfId="1659"/>
    <cellStyle name="標準 83 5" xfId="1660"/>
    <cellStyle name="標準 83 6" xfId="1661"/>
    <cellStyle name="標準 84" xfId="1662"/>
    <cellStyle name="標準 84 2" xfId="1663"/>
    <cellStyle name="標準 84 2 2" xfId="1664"/>
    <cellStyle name="標準 84 2 2 2" xfId="1665"/>
    <cellStyle name="標準 84 2 2 3" xfId="1666"/>
    <cellStyle name="標準 84 2 2 4" xfId="1667"/>
    <cellStyle name="標準 84 2 3" xfId="1668"/>
    <cellStyle name="標準 84 2 4" xfId="1669"/>
    <cellStyle name="標準 84 2 5" xfId="1670"/>
    <cellStyle name="標準 84 3" xfId="1671"/>
    <cellStyle name="標準 84 3 2" xfId="1672"/>
    <cellStyle name="標準 84 3 3" xfId="1673"/>
    <cellStyle name="標準 84 3 4" xfId="1674"/>
    <cellStyle name="標準 84 4" xfId="1675"/>
    <cellStyle name="標準 84 5" xfId="1676"/>
    <cellStyle name="標準 84 6" xfId="1677"/>
    <cellStyle name="標準 85" xfId="1678"/>
    <cellStyle name="標準 85 2" xfId="1679"/>
    <cellStyle name="標準 85 2 2" xfId="1680"/>
    <cellStyle name="標準 85 2 2 2" xfId="1681"/>
    <cellStyle name="標準 85 2 2 3" xfId="1682"/>
    <cellStyle name="標準 85 2 2 4" xfId="1683"/>
    <cellStyle name="標準 85 2 3" xfId="1684"/>
    <cellStyle name="標準 85 2 4" xfId="1685"/>
    <cellStyle name="標準 85 2 5" xfId="1686"/>
    <cellStyle name="標準 85 3" xfId="1687"/>
    <cellStyle name="標準 85 3 2" xfId="1688"/>
    <cellStyle name="標準 85 3 3" xfId="1689"/>
    <cellStyle name="標準 85 3 4" xfId="1690"/>
    <cellStyle name="標準 85 4" xfId="1691"/>
    <cellStyle name="標準 85 5" xfId="1692"/>
    <cellStyle name="標準 85 6" xfId="1693"/>
    <cellStyle name="標準 86" xfId="1694"/>
    <cellStyle name="標準 86 2" xfId="1695"/>
    <cellStyle name="標準 86 2 2" xfId="1696"/>
    <cellStyle name="標準 86 2 2 2" xfId="1697"/>
    <cellStyle name="標準 86 2 2 3" xfId="1698"/>
    <cellStyle name="標準 86 2 2 4" xfId="1699"/>
    <cellStyle name="標準 86 2 3" xfId="1700"/>
    <cellStyle name="標準 86 2 4" xfId="1701"/>
    <cellStyle name="標準 86 2 5" xfId="1702"/>
    <cellStyle name="標準 86 3" xfId="1703"/>
    <cellStyle name="標準 86 3 2" xfId="1704"/>
    <cellStyle name="標準 86 3 3" xfId="1705"/>
    <cellStyle name="標準 86 3 4" xfId="1706"/>
    <cellStyle name="標準 86 4" xfId="1707"/>
    <cellStyle name="標準 86 5" xfId="1708"/>
    <cellStyle name="標準 86 6" xfId="1709"/>
    <cellStyle name="標準 87" xfId="1710"/>
    <cellStyle name="標準 87 2" xfId="1711"/>
    <cellStyle name="標準 87 2 2" xfId="1712"/>
    <cellStyle name="標準 87 2 2 2" xfId="1713"/>
    <cellStyle name="標準 87 2 2 3" xfId="1714"/>
    <cellStyle name="標準 87 2 2 4" xfId="1715"/>
    <cellStyle name="標準 87 2 3" xfId="1716"/>
    <cellStyle name="標準 87 2 4" xfId="1717"/>
    <cellStyle name="標準 87 2 5" xfId="1718"/>
    <cellStyle name="標準 87 3" xfId="1719"/>
    <cellStyle name="標準 87 3 2" xfId="1720"/>
    <cellStyle name="標準 87 3 3" xfId="1721"/>
    <cellStyle name="標準 87 3 4" xfId="1722"/>
    <cellStyle name="標準 87 4" xfId="1723"/>
    <cellStyle name="標準 87 5" xfId="1724"/>
    <cellStyle name="標準 87 6" xfId="1725"/>
    <cellStyle name="標準 88" xfId="1726"/>
    <cellStyle name="標準 88 2" xfId="1727"/>
    <cellStyle name="標準 88 2 2" xfId="1728"/>
    <cellStyle name="標準 88 2 2 2" xfId="1729"/>
    <cellStyle name="標準 88 2 2 3" xfId="1730"/>
    <cellStyle name="標準 88 2 2 4" xfId="1731"/>
    <cellStyle name="標準 88 2 3" xfId="1732"/>
    <cellStyle name="標準 88 2 4" xfId="1733"/>
    <cellStyle name="標準 88 2 5" xfId="1734"/>
    <cellStyle name="標準 88 3" xfId="1735"/>
    <cellStyle name="標準 88 3 2" xfId="1736"/>
    <cellStyle name="標準 88 3 3" xfId="1737"/>
    <cellStyle name="標準 88 3 4" xfId="1738"/>
    <cellStyle name="標準 88 4" xfId="1739"/>
    <cellStyle name="標準 88 5" xfId="1740"/>
    <cellStyle name="標準 88 6" xfId="1741"/>
    <cellStyle name="標準 89" xfId="1742"/>
    <cellStyle name="標準 89 2" xfId="1743"/>
    <cellStyle name="標準 89 2 2" xfId="1744"/>
    <cellStyle name="標準 89 2 2 2" xfId="1745"/>
    <cellStyle name="標準 89 2 2 3" xfId="1746"/>
    <cellStyle name="標準 89 2 2 4" xfId="1747"/>
    <cellStyle name="標準 89 2 3" xfId="1748"/>
    <cellStyle name="標準 89 2 4" xfId="1749"/>
    <cellStyle name="標準 89 2 5" xfId="1750"/>
    <cellStyle name="標準 89 3" xfId="1751"/>
    <cellStyle name="標準 89 3 2" xfId="1752"/>
    <cellStyle name="標準 89 3 3" xfId="1753"/>
    <cellStyle name="標準 89 3 4" xfId="1754"/>
    <cellStyle name="標準 89 4" xfId="1755"/>
    <cellStyle name="標準 89 5" xfId="1756"/>
    <cellStyle name="標準 89 6" xfId="1757"/>
    <cellStyle name="標準 9" xfId="1758"/>
    <cellStyle name="標準 9 2" xfId="1759"/>
    <cellStyle name="標準 9 3" xfId="1760"/>
    <cellStyle name="標準 90" xfId="1761"/>
    <cellStyle name="標準 90 2" xfId="1762"/>
    <cellStyle name="標準 90 2 2" xfId="1763"/>
    <cellStyle name="標準 90 2 2 2" xfId="1764"/>
    <cellStyle name="標準 90 2 2 3" xfId="1765"/>
    <cellStyle name="標準 90 2 2 4" xfId="1766"/>
    <cellStyle name="標準 90 2 3" xfId="1767"/>
    <cellStyle name="標準 90 2 4" xfId="1768"/>
    <cellStyle name="標準 90 2 5" xfId="1769"/>
    <cellStyle name="標準 90 3" xfId="1770"/>
    <cellStyle name="標準 90 3 2" xfId="1771"/>
    <cellStyle name="標準 90 3 3" xfId="1772"/>
    <cellStyle name="標準 90 3 4" xfId="1773"/>
    <cellStyle name="標準 90 4" xfId="1774"/>
    <cellStyle name="標準 90 5" xfId="1775"/>
    <cellStyle name="標準 90 6" xfId="1776"/>
    <cellStyle name="標準 91" xfId="1777"/>
    <cellStyle name="標準 91 2" xfId="1778"/>
    <cellStyle name="標準 91 2 2" xfId="1779"/>
    <cellStyle name="標準 91 2 2 2" xfId="1780"/>
    <cellStyle name="標準 91 2 2 3" xfId="1781"/>
    <cellStyle name="標準 91 2 2 4" xfId="1782"/>
    <cellStyle name="標準 91 2 3" xfId="1783"/>
    <cellStyle name="標準 91 2 4" xfId="1784"/>
    <cellStyle name="標準 91 2 5" xfId="1785"/>
    <cellStyle name="標準 91 3" xfId="1786"/>
    <cellStyle name="標準 91 3 2" xfId="1787"/>
    <cellStyle name="標準 91 3 3" xfId="1788"/>
    <cellStyle name="標準 91 3 4" xfId="1789"/>
    <cellStyle name="標準 91 4" xfId="1790"/>
    <cellStyle name="標準 91 5" xfId="1791"/>
    <cellStyle name="標準 91 6" xfId="1792"/>
    <cellStyle name="標準 92" xfId="1793"/>
    <cellStyle name="標準 92 2" xfId="1794"/>
    <cellStyle name="標準 92 2 2" xfId="1795"/>
    <cellStyle name="標準 92 2 2 2" xfId="1796"/>
    <cellStyle name="標準 92 2 2 3" xfId="1797"/>
    <cellStyle name="標準 92 2 2 4" xfId="1798"/>
    <cellStyle name="標準 92 2 3" xfId="1799"/>
    <cellStyle name="標準 92 2 4" xfId="1800"/>
    <cellStyle name="標準 92 2 5" xfId="1801"/>
    <cellStyle name="標準 92 3" xfId="1802"/>
    <cellStyle name="標準 92 3 2" xfId="1803"/>
    <cellStyle name="標準 92 3 3" xfId="1804"/>
    <cellStyle name="標準 92 3 4" xfId="1805"/>
    <cellStyle name="標準 92 4" xfId="1806"/>
    <cellStyle name="標準 92 5" xfId="1807"/>
    <cellStyle name="標準 92 6" xfId="1808"/>
    <cellStyle name="標準 93" xfId="1809"/>
    <cellStyle name="標準 93 2" xfId="1810"/>
    <cellStyle name="標準 93 2 2" xfId="1811"/>
    <cellStyle name="標準 93 2 2 2" xfId="1812"/>
    <cellStyle name="標準 93 2 2 3" xfId="1813"/>
    <cellStyle name="標準 93 2 2 4" xfId="1814"/>
    <cellStyle name="標準 93 2 3" xfId="1815"/>
    <cellStyle name="標準 93 2 4" xfId="1816"/>
    <cellStyle name="標準 93 2 5" xfId="1817"/>
    <cellStyle name="標準 93 3" xfId="1818"/>
    <cellStyle name="標準 93 3 2" xfId="1819"/>
    <cellStyle name="標準 93 3 3" xfId="1820"/>
    <cellStyle name="標準 93 3 4" xfId="1821"/>
    <cellStyle name="標準 93 4" xfId="1822"/>
    <cellStyle name="標準 93 5" xfId="1823"/>
    <cellStyle name="標準 93 6" xfId="1824"/>
    <cellStyle name="標準 94" xfId="1825"/>
    <cellStyle name="標準 94 2" xfId="1826"/>
    <cellStyle name="標準 94 2 2" xfId="1827"/>
    <cellStyle name="標準 94 2 2 2" xfId="1828"/>
    <cellStyle name="標準 94 2 2 3" xfId="1829"/>
    <cellStyle name="標準 94 2 2 4" xfId="1830"/>
    <cellStyle name="標準 94 2 3" xfId="1831"/>
    <cellStyle name="標準 94 2 4" xfId="1832"/>
    <cellStyle name="標準 94 2 5" xfId="1833"/>
    <cellStyle name="標準 94 3" xfId="1834"/>
    <cellStyle name="標準 94 3 2" xfId="1835"/>
    <cellStyle name="標準 94 3 3" xfId="1836"/>
    <cellStyle name="標準 94 3 4" xfId="1837"/>
    <cellStyle name="標準 94 4" xfId="1838"/>
    <cellStyle name="標準 94 5" xfId="1839"/>
    <cellStyle name="標準 94 6" xfId="1840"/>
    <cellStyle name="標準 95" xfId="1841"/>
    <cellStyle name="標準 95 2" xfId="1842"/>
    <cellStyle name="標準 95 2 2" xfId="1843"/>
    <cellStyle name="標準 95 2 2 2" xfId="1844"/>
    <cellStyle name="標準 95 2 2 3" xfId="1845"/>
    <cellStyle name="標準 95 2 2 4" xfId="1846"/>
    <cellStyle name="標準 95 2 3" xfId="1847"/>
    <cellStyle name="標準 95 2 4" xfId="1848"/>
    <cellStyle name="標準 95 2 5" xfId="1849"/>
    <cellStyle name="標準 95 3" xfId="1850"/>
    <cellStyle name="標準 95 3 2" xfId="1851"/>
    <cellStyle name="標準 95 3 3" xfId="1852"/>
    <cellStyle name="標準 95 3 4" xfId="1853"/>
    <cellStyle name="標準 95 4" xfId="1854"/>
    <cellStyle name="標準 95 5" xfId="1855"/>
    <cellStyle name="標準 95 6" xfId="1856"/>
    <cellStyle name="標準 96" xfId="1857"/>
    <cellStyle name="標準 96 2" xfId="1858"/>
    <cellStyle name="標準 96 2 2" xfId="1859"/>
    <cellStyle name="標準 96 2 2 2" xfId="1860"/>
    <cellStyle name="標準 96 2 2 3" xfId="1861"/>
    <cellStyle name="標準 96 2 2 4" xfId="1862"/>
    <cellStyle name="標準 96 2 3" xfId="1863"/>
    <cellStyle name="標準 96 2 4" xfId="1864"/>
    <cellStyle name="標準 96 2 5" xfId="1865"/>
    <cellStyle name="標準 96 3" xfId="1866"/>
    <cellStyle name="標準 96 3 2" xfId="1867"/>
    <cellStyle name="標準 96 3 3" xfId="1868"/>
    <cellStyle name="標準 96 3 4" xfId="1869"/>
    <cellStyle name="標準 96 4" xfId="1870"/>
    <cellStyle name="標準 96 5" xfId="1871"/>
    <cellStyle name="標準 96 6" xfId="1872"/>
    <cellStyle name="標準 97" xfId="1873"/>
    <cellStyle name="標準 97 2" xfId="1874"/>
    <cellStyle name="標準 97 2 2" xfId="1875"/>
    <cellStyle name="標準 97 2 2 2" xfId="1876"/>
    <cellStyle name="標準 97 2 2 3" xfId="1877"/>
    <cellStyle name="標準 97 2 2 4" xfId="1878"/>
    <cellStyle name="標準 97 2 3" xfId="1879"/>
    <cellStyle name="標準 97 2 4" xfId="1880"/>
    <cellStyle name="標準 97 2 5" xfId="1881"/>
    <cellStyle name="標準 97 3" xfId="1882"/>
    <cellStyle name="標準 97 3 2" xfId="1883"/>
    <cellStyle name="標準 97 3 3" xfId="1884"/>
    <cellStyle name="標準 97 3 4" xfId="1885"/>
    <cellStyle name="標準 97 4" xfId="1886"/>
    <cellStyle name="標準 97 5" xfId="1887"/>
    <cellStyle name="標準 97 6" xfId="1888"/>
    <cellStyle name="標準 98" xfId="1889"/>
    <cellStyle name="標準 98 2" xfId="1890"/>
    <cellStyle name="標準 98 2 2" xfId="1891"/>
    <cellStyle name="標準 98 2 2 2" xfId="1892"/>
    <cellStyle name="標準 98 2 2 3" xfId="1893"/>
    <cellStyle name="標準 98 2 2 4" xfId="1894"/>
    <cellStyle name="標準 98 2 3" xfId="1895"/>
    <cellStyle name="標準 98 2 4" xfId="1896"/>
    <cellStyle name="標準 98 2 5" xfId="1897"/>
    <cellStyle name="標準 98 3" xfId="1898"/>
    <cellStyle name="標準 98 3 2" xfId="1899"/>
    <cellStyle name="標準 98 3 3" xfId="1900"/>
    <cellStyle name="標準 98 3 4" xfId="1901"/>
    <cellStyle name="標準 98 4" xfId="1902"/>
    <cellStyle name="標準 98 5" xfId="1903"/>
    <cellStyle name="標準 98 6" xfId="1904"/>
    <cellStyle name="標準 99" xfId="1905"/>
    <cellStyle name="標準 99 2" xfId="1906"/>
    <cellStyle name="標準 99 2 2" xfId="1907"/>
    <cellStyle name="標準 99 2 2 2" xfId="1908"/>
    <cellStyle name="標準 99 2 2 3" xfId="1909"/>
    <cellStyle name="標準 99 2 2 4" xfId="1910"/>
    <cellStyle name="標準 99 2 3" xfId="1911"/>
    <cellStyle name="標準 99 2 4" xfId="1912"/>
    <cellStyle name="標準 99 2 5" xfId="1913"/>
    <cellStyle name="標準 99 3" xfId="1914"/>
    <cellStyle name="標準 99 3 2" xfId="1915"/>
    <cellStyle name="標準 99 3 3" xfId="1916"/>
    <cellStyle name="標準 99 3 4" xfId="1917"/>
    <cellStyle name="標準 99 4" xfId="1918"/>
    <cellStyle name="標準 99 5" xfId="1919"/>
    <cellStyle name="標準 99 6" xfId="1920"/>
    <cellStyle name="標準１" xfId="1921"/>
    <cellStyle name="標準10" xfId="1922"/>
    <cellStyle name="標準12" xfId="1923"/>
    <cellStyle name="文字列" xfId="1924"/>
    <cellStyle name="未定義" xfId="1925"/>
    <cellStyle name="未定義 2" xfId="1926"/>
    <cellStyle name="未定義 3" xfId="1927"/>
    <cellStyle name="未定義_030_上場有価証券総括表_詳細設計書_府令改正対応" xfId="1928"/>
    <cellStyle name="良い 2" xfId="1929"/>
    <cellStyle name="良い 3" xfId="1930"/>
    <cellStyle name="良い 4" xfId="1931"/>
    <cellStyle name="良い 5" xfId="1932"/>
    <cellStyle name="良い 6" xfId="1933"/>
    <cellStyle name="良い 7" xfId="1934"/>
    <cellStyle name="良い 8" xfId="1935"/>
    <cellStyle name="良い 9" xfId="1936"/>
    <cellStyle name="표준_4.3.1_取引処理（取引処理制御１－１）" xfId="19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7"/>
  <sheetViews>
    <sheetView showGridLines="0" tabSelected="1" view="pageBreakPreview" zoomScaleNormal="70" zoomScaleSheetLayoutView="100" workbookViewId="0">
      <pane ySplit="6" topLeftCell="A7" activePane="bottomLeft" state="frozen"/>
      <selection pane="bottomLeft" activeCell="A7" sqref="A7"/>
    </sheetView>
  </sheetViews>
  <sheetFormatPr defaultRowHeight="13.5"/>
  <cols>
    <col min="1" max="1" bestFit="true" customWidth="true" style="1" width="13.125" collapsed="false"/>
    <col min="2" max="2" bestFit="true" customWidth="true" style="1" width="10.75" collapsed="false"/>
    <col min="3" max="4" bestFit="true" customWidth="true" style="1" width="59.625" collapsed="false"/>
    <col min="5" max="5" bestFit="true" customWidth="true" style="3" width="13.75" collapsed="false"/>
    <col min="6" max="6" bestFit="true" customWidth="true" style="3" width="20.75" collapsed="false"/>
    <col min="7" max="7" customWidth="true" style="3" width="11.25" collapsed="false"/>
    <col min="8" max="8" bestFit="true" customWidth="true" style="1" width="8.75" collapsed="false"/>
    <col min="9" max="9" bestFit="true" customWidth="true" style="1" width="11.75" collapsed="false"/>
    <col min="10" max="10" bestFit="true" customWidth="true" style="1" width="12.625" collapsed="false"/>
    <col min="11" max="11" customWidth="true" style="1" width="16.25" collapsed="false"/>
    <col min="12" max="12" bestFit="true" customWidth="true" style="1" width="5.625" collapsed="false"/>
    <col min="13" max="13" customWidth="true" style="1" width="16.25" collapsed="false"/>
    <col min="14" max="14" bestFit="true" customWidth="true" style="1" width="5.625" collapsed="false"/>
    <col min="15" max="15" customWidth="true" style="1" width="16.25" collapsed="false"/>
    <col min="16" max="16" bestFit="true" customWidth="true" style="1" width="5.625" collapsed="false"/>
    <col min="17" max="17" customWidth="true" style="1" width="16.25" collapsed="false"/>
    <col min="18" max="18" bestFit="true" customWidth="true" style="1" width="5.625" collapsed="false"/>
    <col min="19" max="19" bestFit="true" customWidth="true" style="1" width="23.875" collapsed="false"/>
    <col min="20" max="20" customWidth="true" style="1" width="16.25" collapsed="false"/>
    <col min="21" max="21" bestFit="true" customWidth="true" style="1" width="26.125" collapsed="false"/>
    <col min="22" max="22" bestFit="true" customWidth="true" style="1" width="19.875" collapsed="false"/>
    <col min="23" max="23" bestFit="true" customWidth="true" style="1" width="25.0" collapsed="false"/>
    <col min="24" max="24" bestFit="true" customWidth="true" style="1" width="13.125" collapsed="false"/>
    <col min="25" max="16384" style="1" width="9.0" collapsed="false"/>
  </cols>
  <sheetData>
    <row r="1" spans="1:24" ht="13.5" customHeight="1">
      <c r="A1" s="4"/>
      <c r="B1" s="5"/>
      <c r="C1" s="5"/>
      <c r="D1" s="5"/>
      <c r="E1" s="6"/>
      <c r="F1" s="6"/>
      <c r="G1" s="6"/>
      <c r="H1" s="5"/>
      <c r="I1" s="5"/>
      <c r="J1" s="5"/>
      <c r="K1" s="5"/>
      <c r="L1" s="5"/>
      <c r="M1" s="5"/>
      <c r="N1" s="37" t="s">
        <v>0</v>
      </c>
      <c r="O1" s="37"/>
      <c r="P1" s="37"/>
      <c r="Q1" s="37"/>
      <c r="R1" s="37"/>
      <c r="S1" s="37"/>
      <c r="T1" s="37"/>
      <c r="U1" s="37"/>
      <c r="V1" s="37"/>
      <c r="W1" s="37"/>
      <c r="X1" s="38"/>
    </row>
    <row r="2" spans="1:24" ht="99" customHeight="1">
      <c r="A2" s="43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39"/>
      <c r="O2" s="39"/>
      <c r="P2" s="39"/>
      <c r="Q2" s="39"/>
      <c r="R2" s="39"/>
      <c r="S2" s="39"/>
      <c r="T2" s="39"/>
      <c r="U2" s="39"/>
      <c r="V2" s="39"/>
      <c r="W2" s="39"/>
      <c r="X2" s="40"/>
    </row>
    <row r="3" spans="1:24" ht="39" customHeight="1">
      <c r="A3" s="45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1"/>
      <c r="O3" s="41"/>
      <c r="P3" s="41"/>
      <c r="Q3" s="41"/>
      <c r="R3" s="41"/>
      <c r="S3" s="41"/>
      <c r="T3" s="41"/>
      <c r="U3" s="41"/>
      <c r="V3" s="41"/>
      <c r="W3" s="41"/>
      <c r="X3" s="42"/>
    </row>
    <row r="4" spans="1:24" s="2" customFormat="1" ht="13.5" customHeight="1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7" t="s">
        <v>10</v>
      </c>
      <c r="I4" s="7" t="s">
        <v>11</v>
      </c>
      <c r="J4" s="7" t="s">
        <v>12</v>
      </c>
      <c r="K4" s="11" t="s">
        <v>13</v>
      </c>
      <c r="L4" s="10" t="s">
        <v>9</v>
      </c>
      <c r="M4" s="11" t="s">
        <v>14</v>
      </c>
      <c r="N4" s="10" t="s">
        <v>9</v>
      </c>
      <c r="O4" s="11" t="s">
        <v>15</v>
      </c>
      <c r="P4" s="10" t="s">
        <v>9</v>
      </c>
      <c r="Q4" s="11" t="s">
        <v>16</v>
      </c>
      <c r="R4" s="10" t="s">
        <v>9</v>
      </c>
      <c r="S4" s="7" t="s">
        <v>17</v>
      </c>
      <c r="T4" s="7" t="s">
        <v>18</v>
      </c>
      <c r="U4" s="12" t="s">
        <v>19</v>
      </c>
      <c r="V4" s="7" t="s">
        <v>20</v>
      </c>
      <c r="W4" s="7" t="s">
        <v>21</v>
      </c>
      <c r="X4" s="7" t="s">
        <v>22</v>
      </c>
    </row>
    <row r="5" spans="1:24">
      <c r="A5" s="13" t="s">
        <v>23</v>
      </c>
      <c r="B5" s="13" t="s">
        <v>24</v>
      </c>
      <c r="C5" s="13"/>
      <c r="D5" s="13"/>
      <c r="E5" s="14"/>
      <c r="F5" s="15"/>
      <c r="G5" s="16" t="s">
        <v>25</v>
      </c>
      <c r="H5" s="17" t="s">
        <v>26</v>
      </c>
      <c r="I5" s="17" t="s">
        <v>27</v>
      </c>
      <c r="J5" s="17" t="s">
        <v>28</v>
      </c>
      <c r="K5" s="18" t="s">
        <v>29</v>
      </c>
      <c r="L5" s="16" t="s">
        <v>25</v>
      </c>
      <c r="M5" s="18" t="s">
        <v>30</v>
      </c>
      <c r="N5" s="16" t="s">
        <v>25</v>
      </c>
      <c r="O5" s="18" t="s">
        <v>31</v>
      </c>
      <c r="P5" s="16" t="s">
        <v>25</v>
      </c>
      <c r="Q5" s="18" t="s">
        <v>32</v>
      </c>
      <c r="R5" s="16" t="s">
        <v>25</v>
      </c>
      <c r="S5" s="19" t="s">
        <v>33</v>
      </c>
      <c r="T5" s="19" t="s">
        <v>34</v>
      </c>
      <c r="U5" s="19" t="s">
        <v>35</v>
      </c>
      <c r="V5" s="19" t="s">
        <v>36</v>
      </c>
      <c r="W5" s="19" t="s">
        <v>37</v>
      </c>
      <c r="X5" s="19" t="s">
        <v>38</v>
      </c>
    </row>
    <row r="6" spans="1:24">
      <c r="A6" s="20"/>
      <c r="B6" s="20"/>
      <c r="C6" s="20"/>
      <c r="D6" s="20"/>
      <c r="E6" s="21"/>
      <c r="F6" s="22"/>
      <c r="G6" s="23"/>
      <c r="H6" s="24"/>
      <c r="I6" s="24"/>
      <c r="J6" s="24" t="s">
        <v>39</v>
      </c>
      <c r="K6" s="25" t="s">
        <v>40</v>
      </c>
      <c r="L6" s="26"/>
      <c r="M6" s="25" t="s">
        <v>40</v>
      </c>
      <c r="N6" s="26"/>
      <c r="O6" s="25" t="s">
        <v>40</v>
      </c>
      <c r="P6" s="26"/>
      <c r="Q6" s="25" t="s">
        <v>40</v>
      </c>
      <c r="R6" s="26"/>
      <c r="S6" s="25" t="s">
        <v>40</v>
      </c>
      <c r="T6" s="24" t="s">
        <v>41</v>
      </c>
      <c r="U6" s="24" t="s">
        <v>41</v>
      </c>
      <c r="V6" s="25" t="s">
        <v>40</v>
      </c>
      <c r="W6" s="25" t="s">
        <v>40</v>
      </c>
      <c r="X6" s="24"/>
    </row>
    <row r="7" spans="1:24" s="2" customFormat="1" ht="13.5" customHeight="1">
      <c r="A7" s="27" t="s">
        <v>42</v>
      </c>
      <c r="B7" s="27" t="s">
        <v>43</v>
      </c>
      <c r="C7" s="27" t="s">
        <v>44</v>
      </c>
      <c r="D7" s="27" t="s">
        <v>45</v>
      </c>
      <c r="E7" s="28" t="s">
        <v>46</v>
      </c>
      <c r="F7" s="29" t="s">
        <v>46</v>
      </c>
      <c r="G7" s="30" t="s">
        <v>46</v>
      </c>
      <c r="H7" s="31"/>
      <c r="I7" s="31" t="s">
        <v>47</v>
      </c>
      <c r="J7" s="32" t="n">
        <v>10.0</v>
      </c>
      <c r="K7" s="33" t="n">
        <f>4332</f>
        <v>4332.0</v>
      </c>
      <c r="L7" s="34" t="s">
        <v>48</v>
      </c>
      <c r="M7" s="33" t="n">
        <f>4438</f>
        <v>4438.0</v>
      </c>
      <c r="N7" s="34" t="s">
        <v>49</v>
      </c>
      <c r="O7" s="33" t="n">
        <f>4065</f>
        <v>4065.0</v>
      </c>
      <c r="P7" s="34" t="s">
        <v>50</v>
      </c>
      <c r="Q7" s="33" t="n">
        <f>4221</f>
        <v>4221.0</v>
      </c>
      <c r="R7" s="34" t="s">
        <v>51</v>
      </c>
      <c r="S7" s="35" t="n">
        <f>4259.73</f>
        <v>4259.73</v>
      </c>
      <c r="T7" s="32" t="n">
        <f>4629330</f>
        <v>4629330.0</v>
      </c>
      <c r="U7" s="32" t="n">
        <f>1018950</f>
        <v>1018950.0</v>
      </c>
      <c r="V7" s="32" t="n">
        <f>19682781697</f>
        <v>1.9682781697E10</v>
      </c>
      <c r="W7" s="32" t="n">
        <f>4318064107</f>
        <v>4.318064107E9</v>
      </c>
      <c r="X7" s="36" t="n">
        <f>22</f>
        <v>22.0</v>
      </c>
    </row>
    <row r="8">
      <c r="A8" s="27" t="s">
        <v>42</v>
      </c>
      <c r="B8" s="27" t="s">
        <v>52</v>
      </c>
      <c r="C8" s="27" t="s">
        <v>53</v>
      </c>
      <c r="D8" s="27" t="s">
        <v>54</v>
      </c>
      <c r="E8" s="28" t="s">
        <v>46</v>
      </c>
      <c r="F8" s="29" t="s">
        <v>46</v>
      </c>
      <c r="G8" s="30" t="s">
        <v>46</v>
      </c>
      <c r="H8" s="31"/>
      <c r="I8" s="31" t="s">
        <v>47</v>
      </c>
      <c r="J8" s="32" t="n">
        <v>10.0</v>
      </c>
      <c r="K8" s="33" t="n">
        <f>427.5</f>
        <v>427.5</v>
      </c>
      <c r="L8" s="34" t="s">
        <v>48</v>
      </c>
      <c r="M8" s="33" t="n">
        <f>439.4</f>
        <v>439.4</v>
      </c>
      <c r="N8" s="34" t="s">
        <v>49</v>
      </c>
      <c r="O8" s="33" t="n">
        <f>401.9</f>
        <v>401.9</v>
      </c>
      <c r="P8" s="34" t="s">
        <v>50</v>
      </c>
      <c r="Q8" s="33" t="n">
        <f>417.2</f>
        <v>417.2</v>
      </c>
      <c r="R8" s="34" t="s">
        <v>51</v>
      </c>
      <c r="S8" s="35" t="n">
        <f>421.42</f>
        <v>421.42</v>
      </c>
      <c r="T8" s="32" t="n">
        <f>612705290</f>
        <v>6.1270529E8</v>
      </c>
      <c r="U8" s="32" t="n">
        <f>168338280</f>
        <v>1.6833828E8</v>
      </c>
      <c r="V8" s="32" t="n">
        <f>258682587542</f>
        <v>2.58682587542E11</v>
      </c>
      <c r="W8" s="32" t="n">
        <f>71696117987</f>
        <v>7.1696117987E10</v>
      </c>
      <c r="X8" s="36" t="n">
        <f>22</f>
        <v>22.0</v>
      </c>
    </row>
    <row r="9">
      <c r="A9" s="27" t="s">
        <v>42</v>
      </c>
      <c r="B9" s="27" t="s">
        <v>55</v>
      </c>
      <c r="C9" s="27" t="s">
        <v>56</v>
      </c>
      <c r="D9" s="27" t="s">
        <v>57</v>
      </c>
      <c r="E9" s="28" t="s">
        <v>46</v>
      </c>
      <c r="F9" s="29" t="s">
        <v>46</v>
      </c>
      <c r="G9" s="30" t="s">
        <v>46</v>
      </c>
      <c r="H9" s="31"/>
      <c r="I9" s="31" t="s">
        <v>47</v>
      </c>
      <c r="J9" s="32" t="n">
        <v>1.0</v>
      </c>
      <c r="K9" s="33" t="n">
        <f>4227</f>
        <v>4227.0</v>
      </c>
      <c r="L9" s="34" t="s">
        <v>48</v>
      </c>
      <c r="M9" s="33" t="n">
        <f>4308</f>
        <v>4308.0</v>
      </c>
      <c r="N9" s="34" t="s">
        <v>58</v>
      </c>
      <c r="O9" s="33" t="n">
        <f>3969</f>
        <v>3969.0</v>
      </c>
      <c r="P9" s="34" t="s">
        <v>50</v>
      </c>
      <c r="Q9" s="33" t="n">
        <f>4120</f>
        <v>4120.0</v>
      </c>
      <c r="R9" s="34" t="s">
        <v>51</v>
      </c>
      <c r="S9" s="35" t="n">
        <f>4154.41</f>
        <v>4154.41</v>
      </c>
      <c r="T9" s="32" t="n">
        <f>11876983</f>
        <v>1.1876983E7</v>
      </c>
      <c r="U9" s="32" t="n">
        <f>3415131</f>
        <v>3415131.0</v>
      </c>
      <c r="V9" s="32" t="n">
        <f>49350633495</f>
        <v>4.9350633495E10</v>
      </c>
      <c r="W9" s="32" t="n">
        <f>14157808717</f>
        <v>1.4157808717E10</v>
      </c>
      <c r="X9" s="36" t="n">
        <f>22</f>
        <v>22.0</v>
      </c>
    </row>
    <row r="10">
      <c r="A10" s="27" t="s">
        <v>42</v>
      </c>
      <c r="B10" s="27" t="s">
        <v>59</v>
      </c>
      <c r="C10" s="27" t="s">
        <v>60</v>
      </c>
      <c r="D10" s="27" t="s">
        <v>61</v>
      </c>
      <c r="E10" s="28" t="s">
        <v>46</v>
      </c>
      <c r="F10" s="29" t="s">
        <v>46</v>
      </c>
      <c r="G10" s="30" t="s">
        <v>46</v>
      </c>
      <c r="H10" s="31"/>
      <c r="I10" s="31" t="s">
        <v>47</v>
      </c>
      <c r="J10" s="32" t="n">
        <v>1.0</v>
      </c>
      <c r="K10" s="33" t="n">
        <f>56500</f>
        <v>56500.0</v>
      </c>
      <c r="L10" s="34" t="s">
        <v>48</v>
      </c>
      <c r="M10" s="33" t="n">
        <f>57990</f>
        <v>57990.0</v>
      </c>
      <c r="N10" s="34" t="s">
        <v>62</v>
      </c>
      <c r="O10" s="33" t="n">
        <f>53920</f>
        <v>53920.0</v>
      </c>
      <c r="P10" s="34" t="s">
        <v>50</v>
      </c>
      <c r="Q10" s="33" t="n">
        <f>55540</f>
        <v>55540.0</v>
      </c>
      <c r="R10" s="34" t="s">
        <v>51</v>
      </c>
      <c r="S10" s="35" t="n">
        <f>56175.91</f>
        <v>56175.91</v>
      </c>
      <c r="T10" s="32" t="n">
        <f>1446</f>
        <v>1446.0</v>
      </c>
      <c r="U10" s="32" t="str">
        <f>"－"</f>
        <v>－</v>
      </c>
      <c r="V10" s="32" t="n">
        <f>81344490</f>
        <v>8.134449E7</v>
      </c>
      <c r="W10" s="32" t="str">
        <f>"－"</f>
        <v>－</v>
      </c>
      <c r="X10" s="36" t="n">
        <f>22</f>
        <v>22.0</v>
      </c>
    </row>
    <row r="11">
      <c r="A11" s="27" t="s">
        <v>42</v>
      </c>
      <c r="B11" s="27" t="s">
        <v>63</v>
      </c>
      <c r="C11" s="27" t="s">
        <v>64</v>
      </c>
      <c r="D11" s="27" t="s">
        <v>65</v>
      </c>
      <c r="E11" s="28" t="s">
        <v>46</v>
      </c>
      <c r="F11" s="29" t="s">
        <v>46</v>
      </c>
      <c r="G11" s="30" t="s">
        <v>46</v>
      </c>
      <c r="H11" s="31"/>
      <c r="I11" s="31" t="s">
        <v>47</v>
      </c>
      <c r="J11" s="32" t="n">
        <v>1.0</v>
      </c>
      <c r="K11" s="33" t="n">
        <f>2059</f>
        <v>2059.0</v>
      </c>
      <c r="L11" s="34" t="s">
        <v>48</v>
      </c>
      <c r="M11" s="33" t="n">
        <f>2149</f>
        <v>2149.0</v>
      </c>
      <c r="N11" s="34" t="s">
        <v>49</v>
      </c>
      <c r="O11" s="33" t="n">
        <f>1990</f>
        <v>1990.0</v>
      </c>
      <c r="P11" s="34" t="s">
        <v>50</v>
      </c>
      <c r="Q11" s="33" t="n">
        <f>2092</f>
        <v>2092.0</v>
      </c>
      <c r="R11" s="34" t="s">
        <v>51</v>
      </c>
      <c r="S11" s="35" t="n">
        <f>2083.55</f>
        <v>2083.55</v>
      </c>
      <c r="T11" s="32" t="n">
        <f>825204</f>
        <v>825204.0</v>
      </c>
      <c r="U11" s="32" t="n">
        <f>293649</f>
        <v>293649.0</v>
      </c>
      <c r="V11" s="32" t="n">
        <f>1716488254</f>
        <v>1.716488254E9</v>
      </c>
      <c r="W11" s="32" t="n">
        <f>611565288</f>
        <v>6.11565288E8</v>
      </c>
      <c r="X11" s="36" t="n">
        <f>22</f>
        <v>22.0</v>
      </c>
    </row>
    <row r="12">
      <c r="A12" s="27" t="s">
        <v>42</v>
      </c>
      <c r="B12" s="27" t="s">
        <v>66</v>
      </c>
      <c r="C12" s="27" t="s">
        <v>67</v>
      </c>
      <c r="D12" s="27" t="s">
        <v>68</v>
      </c>
      <c r="E12" s="28" t="s">
        <v>46</v>
      </c>
      <c r="F12" s="29" t="s">
        <v>46</v>
      </c>
      <c r="G12" s="30" t="s">
        <v>46</v>
      </c>
      <c r="H12" s="31"/>
      <c r="I12" s="31" t="s">
        <v>47</v>
      </c>
      <c r="J12" s="32" t="n">
        <v>1000.0</v>
      </c>
      <c r="K12" s="33" t="n">
        <f>761.7</f>
        <v>761.7</v>
      </c>
      <c r="L12" s="34" t="s">
        <v>69</v>
      </c>
      <c r="M12" s="33" t="n">
        <f>766.3</f>
        <v>766.3</v>
      </c>
      <c r="N12" s="34" t="s">
        <v>70</v>
      </c>
      <c r="O12" s="33" t="n">
        <f>720</f>
        <v>720.0</v>
      </c>
      <c r="P12" s="34" t="s">
        <v>50</v>
      </c>
      <c r="Q12" s="33" t="n">
        <f>737.5</f>
        <v>737.5</v>
      </c>
      <c r="R12" s="34" t="s">
        <v>71</v>
      </c>
      <c r="S12" s="35" t="n">
        <f>745.08</f>
        <v>745.08</v>
      </c>
      <c r="T12" s="32" t="n">
        <f>75000</f>
        <v>75000.0</v>
      </c>
      <c r="U12" s="32" t="n">
        <f>19000</f>
        <v>19000.0</v>
      </c>
      <c r="V12" s="32" t="n">
        <f>55426400</f>
        <v>5.54264E7</v>
      </c>
      <c r="W12" s="32" t="n">
        <f>13965000</f>
        <v>1.3965E7</v>
      </c>
      <c r="X12" s="36" t="n">
        <f>13</f>
        <v>13.0</v>
      </c>
    </row>
    <row r="13">
      <c r="A13" s="27" t="s">
        <v>42</v>
      </c>
      <c r="B13" s="27" t="s">
        <v>72</v>
      </c>
      <c r="C13" s="27" t="s">
        <v>73</v>
      </c>
      <c r="D13" s="27" t="s">
        <v>74</v>
      </c>
      <c r="E13" s="28" t="s">
        <v>46</v>
      </c>
      <c r="F13" s="29" t="s">
        <v>46</v>
      </c>
      <c r="G13" s="30" t="s">
        <v>46</v>
      </c>
      <c r="H13" s="31"/>
      <c r="I13" s="31" t="s">
        <v>47</v>
      </c>
      <c r="J13" s="32" t="n">
        <v>1.0</v>
      </c>
      <c r="K13" s="33" t="n">
        <f>74140</f>
        <v>74140.0</v>
      </c>
      <c r="L13" s="34" t="s">
        <v>48</v>
      </c>
      <c r="M13" s="33" t="n">
        <f>75050</f>
        <v>75050.0</v>
      </c>
      <c r="N13" s="34" t="s">
        <v>48</v>
      </c>
      <c r="O13" s="33" t="n">
        <f>62350</f>
        <v>62350.0</v>
      </c>
      <c r="P13" s="34" t="s">
        <v>75</v>
      </c>
      <c r="Q13" s="33" t="n">
        <f>66440</f>
        <v>66440.0</v>
      </c>
      <c r="R13" s="34" t="s">
        <v>51</v>
      </c>
      <c r="S13" s="35" t="n">
        <f>68887.27</f>
        <v>68887.27</v>
      </c>
      <c r="T13" s="32" t="n">
        <f>1771415</f>
        <v>1771415.0</v>
      </c>
      <c r="U13" s="32" t="n">
        <f>550747</f>
        <v>550747.0</v>
      </c>
      <c r="V13" s="32" t="n">
        <f>120753922972</f>
        <v>1.20753922972E11</v>
      </c>
      <c r="W13" s="32" t="n">
        <f>36971641022</f>
        <v>3.6971641022E10</v>
      </c>
      <c r="X13" s="36" t="n">
        <f>22</f>
        <v>22.0</v>
      </c>
    </row>
    <row r="14">
      <c r="A14" s="27" t="s">
        <v>42</v>
      </c>
      <c r="B14" s="27" t="s">
        <v>76</v>
      </c>
      <c r="C14" s="27" t="s">
        <v>77</v>
      </c>
      <c r="D14" s="27" t="s">
        <v>78</v>
      </c>
      <c r="E14" s="28" t="s">
        <v>46</v>
      </c>
      <c r="F14" s="29" t="s">
        <v>46</v>
      </c>
      <c r="G14" s="30" t="s">
        <v>46</v>
      </c>
      <c r="H14" s="31"/>
      <c r="I14" s="31" t="s">
        <v>47</v>
      </c>
      <c r="J14" s="32" t="n">
        <v>1.0</v>
      </c>
      <c r="K14" s="33" t="n">
        <f>74450</f>
        <v>74450.0</v>
      </c>
      <c r="L14" s="34" t="s">
        <v>48</v>
      </c>
      <c r="M14" s="33" t="n">
        <f>75310</f>
        <v>75310.0</v>
      </c>
      <c r="N14" s="34" t="s">
        <v>48</v>
      </c>
      <c r="O14" s="33" t="n">
        <f>62580</f>
        <v>62580.0</v>
      </c>
      <c r="P14" s="34" t="s">
        <v>75</v>
      </c>
      <c r="Q14" s="33" t="n">
        <f>66560</f>
        <v>66560.0</v>
      </c>
      <c r="R14" s="34" t="s">
        <v>51</v>
      </c>
      <c r="S14" s="35" t="n">
        <f>69060</f>
        <v>69060.0</v>
      </c>
      <c r="T14" s="32" t="n">
        <f>8973794</f>
        <v>8973794.0</v>
      </c>
      <c r="U14" s="32" t="n">
        <f>432150</f>
        <v>432150.0</v>
      </c>
      <c r="V14" s="32" t="n">
        <f>617616512962</f>
        <v>6.17616512962E11</v>
      </c>
      <c r="W14" s="32" t="n">
        <f>29434385612</f>
        <v>2.9434385612E10</v>
      </c>
      <c r="X14" s="36" t="n">
        <f>22</f>
        <v>22.0</v>
      </c>
    </row>
    <row r="15">
      <c r="A15" s="27" t="s">
        <v>42</v>
      </c>
      <c r="B15" s="27" t="s">
        <v>79</v>
      </c>
      <c r="C15" s="27" t="s">
        <v>80</v>
      </c>
      <c r="D15" s="27" t="s">
        <v>81</v>
      </c>
      <c r="E15" s="28" t="s">
        <v>46</v>
      </c>
      <c r="F15" s="29" t="s">
        <v>46</v>
      </c>
      <c r="G15" s="30" t="s">
        <v>46</v>
      </c>
      <c r="H15" s="31"/>
      <c r="I15" s="31" t="s">
        <v>47</v>
      </c>
      <c r="J15" s="32" t="n">
        <v>1.0</v>
      </c>
      <c r="K15" s="33" t="n">
        <f>12670</f>
        <v>12670.0</v>
      </c>
      <c r="L15" s="34" t="s">
        <v>48</v>
      </c>
      <c r="M15" s="33" t="n">
        <f>12725</f>
        <v>12725.0</v>
      </c>
      <c r="N15" s="34" t="s">
        <v>48</v>
      </c>
      <c r="O15" s="33" t="n">
        <f>11475</f>
        <v>11475.0</v>
      </c>
      <c r="P15" s="34" t="s">
        <v>50</v>
      </c>
      <c r="Q15" s="33" t="n">
        <f>11780</f>
        <v>11780.0</v>
      </c>
      <c r="R15" s="34" t="s">
        <v>51</v>
      </c>
      <c r="S15" s="35" t="n">
        <f>12080.23</f>
        <v>12080.23</v>
      </c>
      <c r="T15" s="32" t="n">
        <f>29629</f>
        <v>29629.0</v>
      </c>
      <c r="U15" s="32" t="n">
        <f>20720</f>
        <v>20720.0</v>
      </c>
      <c r="V15" s="32" t="n">
        <f>343788915</f>
        <v>3.43788915E8</v>
      </c>
      <c r="W15" s="32" t="n">
        <f>236933200</f>
        <v>2.369332E8</v>
      </c>
      <c r="X15" s="36" t="n">
        <f>22</f>
        <v>22.0</v>
      </c>
    </row>
    <row r="16">
      <c r="A16" s="27" t="s">
        <v>42</v>
      </c>
      <c r="B16" s="27" t="s">
        <v>82</v>
      </c>
      <c r="C16" s="27" t="s">
        <v>83</v>
      </c>
      <c r="D16" s="27" t="s">
        <v>84</v>
      </c>
      <c r="E16" s="28" t="s">
        <v>46</v>
      </c>
      <c r="F16" s="29" t="s">
        <v>46</v>
      </c>
      <c r="G16" s="30" t="s">
        <v>46</v>
      </c>
      <c r="H16" s="31"/>
      <c r="I16" s="31" t="s">
        <v>47</v>
      </c>
      <c r="J16" s="32" t="n">
        <v>10.0</v>
      </c>
      <c r="K16" s="33" t="n">
        <f>302</f>
        <v>302.0</v>
      </c>
      <c r="L16" s="34" t="s">
        <v>48</v>
      </c>
      <c r="M16" s="33" t="n">
        <f>304</f>
        <v>304.0</v>
      </c>
      <c r="N16" s="34" t="s">
        <v>58</v>
      </c>
      <c r="O16" s="33" t="n">
        <f>278.7</f>
        <v>278.7</v>
      </c>
      <c r="P16" s="34" t="s">
        <v>70</v>
      </c>
      <c r="Q16" s="33" t="n">
        <f>296</f>
        <v>296.0</v>
      </c>
      <c r="R16" s="34" t="s">
        <v>51</v>
      </c>
      <c r="S16" s="35" t="n">
        <f>294.24</f>
        <v>294.24</v>
      </c>
      <c r="T16" s="32" t="n">
        <f>383860</f>
        <v>383860.0</v>
      </c>
      <c r="U16" s="32" t="n">
        <f>9160</f>
        <v>9160.0</v>
      </c>
      <c r="V16" s="32" t="n">
        <f>112756458</f>
        <v>1.12756458E8</v>
      </c>
      <c r="W16" s="32" t="n">
        <f>2698912</f>
        <v>2698912.0</v>
      </c>
      <c r="X16" s="36" t="n">
        <f>22</f>
        <v>22.0</v>
      </c>
    </row>
    <row r="17">
      <c r="A17" s="27" t="s">
        <v>42</v>
      </c>
      <c r="B17" s="27" t="s">
        <v>85</v>
      </c>
      <c r="C17" s="27" t="s">
        <v>86</v>
      </c>
      <c r="D17" s="27" t="s">
        <v>87</v>
      </c>
      <c r="E17" s="28" t="s">
        <v>46</v>
      </c>
      <c r="F17" s="29" t="s">
        <v>46</v>
      </c>
      <c r="G17" s="30" t="s">
        <v>46</v>
      </c>
      <c r="H17" s="31"/>
      <c r="I17" s="31" t="s">
        <v>47</v>
      </c>
      <c r="J17" s="32" t="n">
        <v>1.0</v>
      </c>
      <c r="K17" s="33" t="n">
        <f>59740</f>
        <v>59740.0</v>
      </c>
      <c r="L17" s="34" t="s">
        <v>48</v>
      </c>
      <c r="M17" s="33" t="n">
        <f>62330</f>
        <v>62330.0</v>
      </c>
      <c r="N17" s="34" t="s">
        <v>58</v>
      </c>
      <c r="O17" s="33" t="n">
        <f>59140</f>
        <v>59140.0</v>
      </c>
      <c r="P17" s="34" t="s">
        <v>48</v>
      </c>
      <c r="Q17" s="33" t="n">
        <f>60040</f>
        <v>60040.0</v>
      </c>
      <c r="R17" s="34" t="s">
        <v>51</v>
      </c>
      <c r="S17" s="35" t="n">
        <f>60697.73</f>
        <v>60697.73</v>
      </c>
      <c r="T17" s="32" t="n">
        <f>200051</f>
        <v>200051.0</v>
      </c>
      <c r="U17" s="32" t="n">
        <f>7</f>
        <v>7.0</v>
      </c>
      <c r="V17" s="32" t="n">
        <f>12157151430</f>
        <v>1.215715143E10</v>
      </c>
      <c r="W17" s="32" t="n">
        <f>407850</f>
        <v>407850.0</v>
      </c>
      <c r="X17" s="36" t="n">
        <f>22</f>
        <v>22.0</v>
      </c>
    </row>
    <row r="18">
      <c r="A18" s="27" t="s">
        <v>42</v>
      </c>
      <c r="B18" s="27" t="s">
        <v>88</v>
      </c>
      <c r="C18" s="27" t="s">
        <v>89</v>
      </c>
      <c r="D18" s="27" t="s">
        <v>90</v>
      </c>
      <c r="E18" s="28" t="s">
        <v>46</v>
      </c>
      <c r="F18" s="29" t="s">
        <v>46</v>
      </c>
      <c r="G18" s="30" t="s">
        <v>46</v>
      </c>
      <c r="H18" s="31"/>
      <c r="I18" s="31" t="s">
        <v>47</v>
      </c>
      <c r="J18" s="32" t="n">
        <v>1.0</v>
      </c>
      <c r="K18" s="33" t="n">
        <f>15405</f>
        <v>15405.0</v>
      </c>
      <c r="L18" s="34" t="s">
        <v>48</v>
      </c>
      <c r="M18" s="33" t="n">
        <f>16065</f>
        <v>16065.0</v>
      </c>
      <c r="N18" s="34" t="s">
        <v>58</v>
      </c>
      <c r="O18" s="33" t="n">
        <f>15250</f>
        <v>15250.0</v>
      </c>
      <c r="P18" s="34" t="s">
        <v>48</v>
      </c>
      <c r="Q18" s="33" t="n">
        <f>15470</f>
        <v>15470.0</v>
      </c>
      <c r="R18" s="34" t="s">
        <v>51</v>
      </c>
      <c r="S18" s="35" t="n">
        <f>15647.5</f>
        <v>15647.5</v>
      </c>
      <c r="T18" s="32" t="n">
        <f>633400</f>
        <v>633400.0</v>
      </c>
      <c r="U18" s="32" t="n">
        <f>109704</f>
        <v>109704.0</v>
      </c>
      <c r="V18" s="32" t="n">
        <f>9901399009</f>
        <v>9.901399009E9</v>
      </c>
      <c r="W18" s="32" t="n">
        <f>1697594744</f>
        <v>1.697594744E9</v>
      </c>
      <c r="X18" s="36" t="n">
        <f>22</f>
        <v>22.0</v>
      </c>
    </row>
    <row r="19">
      <c r="A19" s="27" t="s">
        <v>42</v>
      </c>
      <c r="B19" s="27" t="s">
        <v>91</v>
      </c>
      <c r="C19" s="27" t="s">
        <v>92</v>
      </c>
      <c r="D19" s="27" t="s">
        <v>93</v>
      </c>
      <c r="E19" s="28" t="s">
        <v>46</v>
      </c>
      <c r="F19" s="29" t="s">
        <v>46</v>
      </c>
      <c r="G19" s="30" t="s">
        <v>46</v>
      </c>
      <c r="H19" s="31"/>
      <c r="I19" s="31" t="s">
        <v>47</v>
      </c>
      <c r="J19" s="32" t="n">
        <v>1.0</v>
      </c>
      <c r="K19" s="33" t="n">
        <f>7414</f>
        <v>7414.0</v>
      </c>
      <c r="L19" s="34" t="s">
        <v>48</v>
      </c>
      <c r="M19" s="33" t="n">
        <f>7496</f>
        <v>7496.0</v>
      </c>
      <c r="N19" s="34" t="s">
        <v>48</v>
      </c>
      <c r="O19" s="33" t="n">
        <f>6298</f>
        <v>6298.0</v>
      </c>
      <c r="P19" s="34" t="s">
        <v>75</v>
      </c>
      <c r="Q19" s="33" t="n">
        <f>6710</f>
        <v>6710.0</v>
      </c>
      <c r="R19" s="34" t="s">
        <v>51</v>
      </c>
      <c r="S19" s="35" t="n">
        <f>6934.23</f>
        <v>6934.23</v>
      </c>
      <c r="T19" s="32" t="n">
        <f>23566340</f>
        <v>2.356634E7</v>
      </c>
      <c r="U19" s="32" t="n">
        <f>6765024</f>
        <v>6765024.0</v>
      </c>
      <c r="V19" s="32" t="n">
        <f>164591526491</f>
        <v>1.64591526491E11</v>
      </c>
      <c r="W19" s="32" t="n">
        <f>47700565795</f>
        <v>4.7700565795E10</v>
      </c>
      <c r="X19" s="36" t="n">
        <f>22</f>
        <v>22.0</v>
      </c>
    </row>
    <row r="20">
      <c r="A20" s="27" t="s">
        <v>42</v>
      </c>
      <c r="B20" s="27" t="s">
        <v>94</v>
      </c>
      <c r="C20" s="27" t="s">
        <v>95</v>
      </c>
      <c r="D20" s="27" t="s">
        <v>96</v>
      </c>
      <c r="E20" s="28" t="s">
        <v>46</v>
      </c>
      <c r="F20" s="29" t="s">
        <v>46</v>
      </c>
      <c r="G20" s="30" t="s">
        <v>46</v>
      </c>
      <c r="H20" s="31"/>
      <c r="I20" s="31" t="s">
        <v>47</v>
      </c>
      <c r="J20" s="32" t="n">
        <v>1.0</v>
      </c>
      <c r="K20" s="33" t="n">
        <f>74590</f>
        <v>74590.0</v>
      </c>
      <c r="L20" s="34" t="s">
        <v>48</v>
      </c>
      <c r="M20" s="33" t="n">
        <f>75410</f>
        <v>75410.0</v>
      </c>
      <c r="N20" s="34" t="s">
        <v>48</v>
      </c>
      <c r="O20" s="33" t="n">
        <f>62620</f>
        <v>62620.0</v>
      </c>
      <c r="P20" s="34" t="s">
        <v>75</v>
      </c>
      <c r="Q20" s="33" t="n">
        <f>66820</f>
        <v>66820.0</v>
      </c>
      <c r="R20" s="34" t="s">
        <v>51</v>
      </c>
      <c r="S20" s="35" t="n">
        <f>69110</f>
        <v>69110.0</v>
      </c>
      <c r="T20" s="32" t="n">
        <f>1937774</f>
        <v>1937774.0</v>
      </c>
      <c r="U20" s="32" t="n">
        <f>988271</f>
        <v>988271.0</v>
      </c>
      <c r="V20" s="32" t="n">
        <f>132190396264</f>
        <v>1.32190396264E11</v>
      </c>
      <c r="W20" s="32" t="n">
        <f>66611040764</f>
        <v>6.6611040764E10</v>
      </c>
      <c r="X20" s="36" t="n">
        <f>22</f>
        <v>22.0</v>
      </c>
    </row>
    <row r="21">
      <c r="A21" s="27" t="s">
        <v>42</v>
      </c>
      <c r="B21" s="27" t="s">
        <v>97</v>
      </c>
      <c r="C21" s="27" t="s">
        <v>98</v>
      </c>
      <c r="D21" s="27" t="s">
        <v>99</v>
      </c>
      <c r="E21" s="28" t="s">
        <v>46</v>
      </c>
      <c r="F21" s="29" t="s">
        <v>46</v>
      </c>
      <c r="G21" s="30" t="s">
        <v>46</v>
      </c>
      <c r="H21" s="31"/>
      <c r="I21" s="31" t="s">
        <v>47</v>
      </c>
      <c r="J21" s="32" t="n">
        <v>1.0</v>
      </c>
      <c r="K21" s="33" t="n">
        <f>1104</f>
        <v>1104.0</v>
      </c>
      <c r="L21" s="34" t="s">
        <v>48</v>
      </c>
      <c r="M21" s="33" t="n">
        <f>1110</f>
        <v>1110.0</v>
      </c>
      <c r="N21" s="34" t="s">
        <v>100</v>
      </c>
      <c r="O21" s="33" t="n">
        <f>1083</f>
        <v>1083.0</v>
      </c>
      <c r="P21" s="34" t="s">
        <v>51</v>
      </c>
      <c r="Q21" s="33" t="n">
        <f>1084</f>
        <v>1084.0</v>
      </c>
      <c r="R21" s="34" t="s">
        <v>51</v>
      </c>
      <c r="S21" s="35" t="n">
        <f>1101.59</f>
        <v>1101.59</v>
      </c>
      <c r="T21" s="32" t="n">
        <f>5158563</f>
        <v>5158563.0</v>
      </c>
      <c r="U21" s="32" t="n">
        <f>2650000</f>
        <v>2650000.0</v>
      </c>
      <c r="V21" s="32" t="n">
        <f>5672887671</f>
        <v>5.672887671E9</v>
      </c>
      <c r="W21" s="32" t="n">
        <f>2916502654</f>
        <v>2.916502654E9</v>
      </c>
      <c r="X21" s="36" t="n">
        <f>22</f>
        <v>22.0</v>
      </c>
    </row>
    <row r="22">
      <c r="A22" s="27" t="s">
        <v>42</v>
      </c>
      <c r="B22" s="27" t="s">
        <v>101</v>
      </c>
      <c r="C22" s="27" t="s">
        <v>102</v>
      </c>
      <c r="D22" s="27" t="s">
        <v>103</v>
      </c>
      <c r="E22" s="28" t="s">
        <v>46</v>
      </c>
      <c r="F22" s="29" t="s">
        <v>46</v>
      </c>
      <c r="G22" s="30" t="s">
        <v>46</v>
      </c>
      <c r="H22" s="31"/>
      <c r="I22" s="31" t="s">
        <v>47</v>
      </c>
      <c r="J22" s="32" t="n">
        <v>10.0</v>
      </c>
      <c r="K22" s="33" t="n">
        <f>1959</f>
        <v>1959.0</v>
      </c>
      <c r="L22" s="34" t="s">
        <v>48</v>
      </c>
      <c r="M22" s="33" t="n">
        <f>2067</f>
        <v>2067.0</v>
      </c>
      <c r="N22" s="34" t="s">
        <v>51</v>
      </c>
      <c r="O22" s="33" t="n">
        <f>1932.5</f>
        <v>1932.5</v>
      </c>
      <c r="P22" s="34" t="s">
        <v>48</v>
      </c>
      <c r="Q22" s="33" t="n">
        <f>2012.5</f>
        <v>2012.5</v>
      </c>
      <c r="R22" s="34" t="s">
        <v>51</v>
      </c>
      <c r="S22" s="35" t="n">
        <f>1998.36</f>
        <v>1998.36</v>
      </c>
      <c r="T22" s="32" t="n">
        <f>33240490</f>
        <v>3.324049E7</v>
      </c>
      <c r="U22" s="32" t="n">
        <f>9435580</f>
        <v>9435580.0</v>
      </c>
      <c r="V22" s="32" t="n">
        <f>66304512867</f>
        <v>6.6304512867E10</v>
      </c>
      <c r="W22" s="32" t="n">
        <f>18749081957</f>
        <v>1.8749081957E10</v>
      </c>
      <c r="X22" s="36" t="n">
        <f>22</f>
        <v>22.0</v>
      </c>
    </row>
    <row r="23">
      <c r="A23" s="27" t="s">
        <v>42</v>
      </c>
      <c r="B23" s="27" t="s">
        <v>104</v>
      </c>
      <c r="C23" s="27" t="s">
        <v>105</v>
      </c>
      <c r="D23" s="27" t="s">
        <v>106</v>
      </c>
      <c r="E23" s="28" t="s">
        <v>46</v>
      </c>
      <c r="F23" s="29" t="s">
        <v>46</v>
      </c>
      <c r="G23" s="30" t="s">
        <v>46</v>
      </c>
      <c r="H23" s="31"/>
      <c r="I23" s="31" t="s">
        <v>47</v>
      </c>
      <c r="J23" s="32" t="n">
        <v>1.0</v>
      </c>
      <c r="K23" s="33" t="n">
        <f>1846</f>
        <v>1846.0</v>
      </c>
      <c r="L23" s="34" t="s">
        <v>48</v>
      </c>
      <c r="M23" s="33" t="n">
        <f>1935</f>
        <v>1935.0</v>
      </c>
      <c r="N23" s="34" t="s">
        <v>75</v>
      </c>
      <c r="O23" s="33" t="n">
        <f>1823</f>
        <v>1823.0</v>
      </c>
      <c r="P23" s="34" t="s">
        <v>48</v>
      </c>
      <c r="Q23" s="33" t="n">
        <f>1900</f>
        <v>1900.0</v>
      </c>
      <c r="R23" s="34" t="s">
        <v>51</v>
      </c>
      <c r="S23" s="35" t="n">
        <f>1875.09</f>
        <v>1875.09</v>
      </c>
      <c r="T23" s="32" t="n">
        <f>2939593</f>
        <v>2939593.0</v>
      </c>
      <c r="U23" s="32" t="n">
        <f>1326690</f>
        <v>1326690.0</v>
      </c>
      <c r="V23" s="32" t="n">
        <f>5527919538</f>
        <v>5.527919538E9</v>
      </c>
      <c r="W23" s="32" t="n">
        <f>2491322591</f>
        <v>2.491322591E9</v>
      </c>
      <c r="X23" s="36" t="n">
        <f>22</f>
        <v>22.0</v>
      </c>
    </row>
    <row r="24">
      <c r="A24" s="27" t="s">
        <v>42</v>
      </c>
      <c r="B24" s="27" t="s">
        <v>107</v>
      </c>
      <c r="C24" s="27" t="s">
        <v>108</v>
      </c>
      <c r="D24" s="27" t="s">
        <v>109</v>
      </c>
      <c r="E24" s="28" t="s">
        <v>46</v>
      </c>
      <c r="F24" s="29" t="s">
        <v>46</v>
      </c>
      <c r="G24" s="30" t="s">
        <v>46</v>
      </c>
      <c r="H24" s="31"/>
      <c r="I24" s="31" t="s">
        <v>47</v>
      </c>
      <c r="J24" s="32" t="n">
        <v>1.0</v>
      </c>
      <c r="K24" s="33" t="n">
        <f>73910</f>
        <v>73910.0</v>
      </c>
      <c r="L24" s="34" t="s">
        <v>48</v>
      </c>
      <c r="M24" s="33" t="n">
        <f>74890</f>
        <v>74890.0</v>
      </c>
      <c r="N24" s="34" t="s">
        <v>48</v>
      </c>
      <c r="O24" s="33" t="n">
        <f>62550</f>
        <v>62550.0</v>
      </c>
      <c r="P24" s="34" t="s">
        <v>75</v>
      </c>
      <c r="Q24" s="33" t="n">
        <f>66540</f>
        <v>66540.0</v>
      </c>
      <c r="R24" s="34" t="s">
        <v>51</v>
      </c>
      <c r="S24" s="35" t="n">
        <f>69033.18</f>
        <v>69033.18</v>
      </c>
      <c r="T24" s="32" t="n">
        <f>1244237</f>
        <v>1244237.0</v>
      </c>
      <c r="U24" s="32" t="n">
        <f>700320</f>
        <v>700320.0</v>
      </c>
      <c r="V24" s="32" t="n">
        <f>87292955771</f>
        <v>8.7292955771E10</v>
      </c>
      <c r="W24" s="32" t="n">
        <f>49906298991</f>
        <v>4.9906298991E10</v>
      </c>
      <c r="X24" s="36" t="n">
        <f>22</f>
        <v>22.0</v>
      </c>
    </row>
    <row r="25">
      <c r="A25" s="27" t="s">
        <v>42</v>
      </c>
      <c r="B25" s="27" t="s">
        <v>110</v>
      </c>
      <c r="C25" s="27" t="s">
        <v>111</v>
      </c>
      <c r="D25" s="27" t="s">
        <v>112</v>
      </c>
      <c r="E25" s="28" t="s">
        <v>46</v>
      </c>
      <c r="F25" s="29" t="s">
        <v>46</v>
      </c>
      <c r="G25" s="30" t="s">
        <v>46</v>
      </c>
      <c r="H25" s="31"/>
      <c r="I25" s="31" t="s">
        <v>47</v>
      </c>
      <c r="J25" s="32" t="n">
        <v>1.0</v>
      </c>
      <c r="K25" s="33" t="n">
        <f>4221</f>
        <v>4221.0</v>
      </c>
      <c r="L25" s="34" t="s">
        <v>48</v>
      </c>
      <c r="M25" s="33" t="n">
        <f>4338</f>
        <v>4338.0</v>
      </c>
      <c r="N25" s="34" t="s">
        <v>49</v>
      </c>
      <c r="O25" s="33" t="n">
        <f>4003</f>
        <v>4003.0</v>
      </c>
      <c r="P25" s="34" t="s">
        <v>50</v>
      </c>
      <c r="Q25" s="33" t="n">
        <f>4149</f>
        <v>4149.0</v>
      </c>
      <c r="R25" s="34" t="s">
        <v>51</v>
      </c>
      <c r="S25" s="35" t="n">
        <f>4192.5</f>
        <v>4192.5</v>
      </c>
      <c r="T25" s="32" t="n">
        <f>5992241</f>
        <v>5992241.0</v>
      </c>
      <c r="U25" s="32" t="n">
        <f>3501112</f>
        <v>3501112.0</v>
      </c>
      <c r="V25" s="32" t="n">
        <f>25161277577</f>
        <v>2.5161277577E10</v>
      </c>
      <c r="W25" s="32" t="n">
        <f>14701279979</f>
        <v>1.4701279979E10</v>
      </c>
      <c r="X25" s="36" t="n">
        <f>22</f>
        <v>22.0</v>
      </c>
    </row>
    <row r="26">
      <c r="A26" s="27" t="s">
        <v>42</v>
      </c>
      <c r="B26" s="27" t="s">
        <v>113</v>
      </c>
      <c r="C26" s="27" t="s">
        <v>114</v>
      </c>
      <c r="D26" s="27" t="s">
        <v>115</v>
      </c>
      <c r="E26" s="28" t="s">
        <v>46</v>
      </c>
      <c r="F26" s="29" t="s">
        <v>46</v>
      </c>
      <c r="G26" s="30" t="s">
        <v>46</v>
      </c>
      <c r="H26" s="31"/>
      <c r="I26" s="31" t="s">
        <v>47</v>
      </c>
      <c r="J26" s="32" t="n">
        <v>1.0</v>
      </c>
      <c r="K26" s="33" t="n">
        <f>17900</f>
        <v>17900.0</v>
      </c>
      <c r="L26" s="34" t="s">
        <v>48</v>
      </c>
      <c r="M26" s="33" t="n">
        <f>18060</f>
        <v>18060.0</v>
      </c>
      <c r="N26" s="34" t="s">
        <v>116</v>
      </c>
      <c r="O26" s="33" t="n">
        <f>17570</f>
        <v>17570.0</v>
      </c>
      <c r="P26" s="34" t="s">
        <v>51</v>
      </c>
      <c r="Q26" s="33" t="n">
        <f>17620</f>
        <v>17620.0</v>
      </c>
      <c r="R26" s="34" t="s">
        <v>51</v>
      </c>
      <c r="S26" s="35" t="n">
        <f>17861</f>
        <v>17861.0</v>
      </c>
      <c r="T26" s="32" t="n">
        <f>1474</f>
        <v>1474.0</v>
      </c>
      <c r="U26" s="32" t="str">
        <f>"－"</f>
        <v>－</v>
      </c>
      <c r="V26" s="32" t="n">
        <f>26197430</f>
        <v>2.619743E7</v>
      </c>
      <c r="W26" s="32" t="str">
        <f>"－"</f>
        <v>－</v>
      </c>
      <c r="X26" s="36" t="n">
        <f>20</f>
        <v>20.0</v>
      </c>
    </row>
    <row r="27">
      <c r="A27" s="27" t="s">
        <v>42</v>
      </c>
      <c r="B27" s="27" t="s">
        <v>117</v>
      </c>
      <c r="C27" s="27" t="s">
        <v>118</v>
      </c>
      <c r="D27" s="27" t="s">
        <v>119</v>
      </c>
      <c r="E27" s="28" t="s">
        <v>46</v>
      </c>
      <c r="F27" s="29" t="s">
        <v>46</v>
      </c>
      <c r="G27" s="30" t="s">
        <v>46</v>
      </c>
      <c r="H27" s="31"/>
      <c r="I27" s="31" t="s">
        <v>47</v>
      </c>
      <c r="J27" s="32" t="n">
        <v>10.0</v>
      </c>
      <c r="K27" s="33" t="n">
        <f>110.9</f>
        <v>110.9</v>
      </c>
      <c r="L27" s="34" t="s">
        <v>48</v>
      </c>
      <c r="M27" s="33" t="n">
        <f>119.8</f>
        <v>119.8</v>
      </c>
      <c r="N27" s="34" t="s">
        <v>50</v>
      </c>
      <c r="O27" s="33" t="n">
        <f>104.9</f>
        <v>104.9</v>
      </c>
      <c r="P27" s="34" t="s">
        <v>49</v>
      </c>
      <c r="Q27" s="33" t="n">
        <f>110.7</f>
        <v>110.7</v>
      </c>
      <c r="R27" s="34" t="s">
        <v>51</v>
      </c>
      <c r="S27" s="35" t="n">
        <f>110.7</f>
        <v>110.7</v>
      </c>
      <c r="T27" s="32" t="n">
        <f>259571970</f>
        <v>2.5957197E8</v>
      </c>
      <c r="U27" s="32" t="n">
        <f>1205300</f>
        <v>1205300.0</v>
      </c>
      <c r="V27" s="32" t="n">
        <f>28630996123</f>
        <v>2.8630996123E10</v>
      </c>
      <c r="W27" s="32" t="n">
        <f>134632072</f>
        <v>1.34632072E8</v>
      </c>
      <c r="X27" s="36" t="n">
        <f>22</f>
        <v>22.0</v>
      </c>
    </row>
    <row r="28">
      <c r="A28" s="27" t="s">
        <v>42</v>
      </c>
      <c r="B28" s="27" t="s">
        <v>120</v>
      </c>
      <c r="C28" s="27" t="s">
        <v>121</v>
      </c>
      <c r="D28" s="27" t="s">
        <v>122</v>
      </c>
      <c r="E28" s="28" t="s">
        <v>46</v>
      </c>
      <c r="F28" s="29" t="s">
        <v>46</v>
      </c>
      <c r="G28" s="30" t="s">
        <v>46</v>
      </c>
      <c r="H28" s="31"/>
      <c r="I28" s="31" t="s">
        <v>47</v>
      </c>
      <c r="J28" s="32" t="n">
        <v>1.0</v>
      </c>
      <c r="K28" s="33" t="n">
        <f>2460</f>
        <v>2460.0</v>
      </c>
      <c r="L28" s="34" t="s">
        <v>48</v>
      </c>
      <c r="M28" s="33" t="n">
        <f>3335</f>
        <v>3335.0</v>
      </c>
      <c r="N28" s="34" t="s">
        <v>75</v>
      </c>
      <c r="O28" s="33" t="n">
        <f>2419</f>
        <v>2419.0</v>
      </c>
      <c r="P28" s="34" t="s">
        <v>48</v>
      </c>
      <c r="Q28" s="33" t="n">
        <f>2926</f>
        <v>2926.0</v>
      </c>
      <c r="R28" s="34" t="s">
        <v>51</v>
      </c>
      <c r="S28" s="35" t="n">
        <f>2807.18</f>
        <v>2807.18</v>
      </c>
      <c r="T28" s="32" t="n">
        <f>336789454</f>
        <v>3.36789454E8</v>
      </c>
      <c r="U28" s="32" t="n">
        <f>1224806</f>
        <v>1224806.0</v>
      </c>
      <c r="V28" s="32" t="n">
        <f>942806465877</f>
        <v>9.42806465877E11</v>
      </c>
      <c r="W28" s="32" t="n">
        <f>3679883765</f>
        <v>3.679883765E9</v>
      </c>
      <c r="X28" s="36" t="n">
        <f>22</f>
        <v>22.0</v>
      </c>
    </row>
    <row r="29">
      <c r="A29" s="27" t="s">
        <v>42</v>
      </c>
      <c r="B29" s="27" t="s">
        <v>123</v>
      </c>
      <c r="C29" s="27" t="s">
        <v>124</v>
      </c>
      <c r="D29" s="27" t="s">
        <v>125</v>
      </c>
      <c r="E29" s="28" t="s">
        <v>46</v>
      </c>
      <c r="F29" s="29" t="s">
        <v>46</v>
      </c>
      <c r="G29" s="30" t="s">
        <v>46</v>
      </c>
      <c r="H29" s="31"/>
      <c r="I29" s="31" t="s">
        <v>47</v>
      </c>
      <c r="J29" s="32" t="n">
        <v>1.0</v>
      </c>
      <c r="K29" s="33" t="n">
        <f>156550</f>
        <v>156550.0</v>
      </c>
      <c r="L29" s="34" t="s">
        <v>48</v>
      </c>
      <c r="M29" s="33" t="n">
        <f>159950</f>
        <v>159950.0</v>
      </c>
      <c r="N29" s="34" t="s">
        <v>48</v>
      </c>
      <c r="O29" s="33" t="n">
        <f>111200</f>
        <v>111200.0</v>
      </c>
      <c r="P29" s="34" t="s">
        <v>75</v>
      </c>
      <c r="Q29" s="33" t="n">
        <f>126000</f>
        <v>126000.0</v>
      </c>
      <c r="R29" s="34" t="s">
        <v>51</v>
      </c>
      <c r="S29" s="35" t="n">
        <f>135975</f>
        <v>135975.0</v>
      </c>
      <c r="T29" s="32" t="n">
        <f>342656</f>
        <v>342656.0</v>
      </c>
      <c r="U29" s="32" t="n">
        <f>5776</f>
        <v>5776.0</v>
      </c>
      <c r="V29" s="32" t="n">
        <f>46779835634</f>
        <v>4.6779835634E10</v>
      </c>
      <c r="W29" s="32" t="n">
        <f>785583134</f>
        <v>7.85583134E8</v>
      </c>
      <c r="X29" s="36" t="n">
        <f>22</f>
        <v>22.0</v>
      </c>
    </row>
    <row r="30">
      <c r="A30" s="27" t="s">
        <v>42</v>
      </c>
      <c r="B30" s="27" t="s">
        <v>126</v>
      </c>
      <c r="C30" s="27" t="s">
        <v>127</v>
      </c>
      <c r="D30" s="27" t="s">
        <v>128</v>
      </c>
      <c r="E30" s="28" t="s">
        <v>46</v>
      </c>
      <c r="F30" s="29" t="s">
        <v>46</v>
      </c>
      <c r="G30" s="30" t="s">
        <v>46</v>
      </c>
      <c r="H30" s="31"/>
      <c r="I30" s="31" t="s">
        <v>47</v>
      </c>
      <c r="J30" s="32" t="n">
        <v>10.0</v>
      </c>
      <c r="K30" s="33" t="n">
        <f>60.9</f>
        <v>60.9</v>
      </c>
      <c r="L30" s="34" t="s">
        <v>48</v>
      </c>
      <c r="M30" s="33" t="n">
        <f>81.8</f>
        <v>81.8</v>
      </c>
      <c r="N30" s="34" t="s">
        <v>75</v>
      </c>
      <c r="O30" s="33" t="n">
        <f>59.3</f>
        <v>59.3</v>
      </c>
      <c r="P30" s="34" t="s">
        <v>48</v>
      </c>
      <c r="Q30" s="33" t="n">
        <f>71.8</f>
        <v>71.8</v>
      </c>
      <c r="R30" s="34" t="s">
        <v>51</v>
      </c>
      <c r="S30" s="35" t="n">
        <f>68.89</f>
        <v>68.89</v>
      </c>
      <c r="T30" s="32" t="n">
        <f>5522239200</f>
        <v>5.5222392E9</v>
      </c>
      <c r="U30" s="32" t="n">
        <f>57342800</f>
        <v>5.73428E7</v>
      </c>
      <c r="V30" s="32" t="n">
        <f>377546235466</f>
        <v>3.77546235466E11</v>
      </c>
      <c r="W30" s="32" t="n">
        <f>4042343993</f>
        <v>4.042343993E9</v>
      </c>
      <c r="X30" s="36" t="n">
        <f>22</f>
        <v>22.0</v>
      </c>
    </row>
    <row r="31">
      <c r="A31" s="27" t="s">
        <v>42</v>
      </c>
      <c r="B31" s="27" t="s">
        <v>129</v>
      </c>
      <c r="C31" s="27" t="s">
        <v>130</v>
      </c>
      <c r="D31" s="27" t="s">
        <v>131</v>
      </c>
      <c r="E31" s="28" t="s">
        <v>46</v>
      </c>
      <c r="F31" s="29" t="s">
        <v>46</v>
      </c>
      <c r="G31" s="30" t="s">
        <v>46</v>
      </c>
      <c r="H31" s="31"/>
      <c r="I31" s="31" t="s">
        <v>47</v>
      </c>
      <c r="J31" s="32" t="n">
        <v>1.0</v>
      </c>
      <c r="K31" s="33" t="n">
        <f>3774</f>
        <v>3774.0</v>
      </c>
      <c r="L31" s="34" t="s">
        <v>48</v>
      </c>
      <c r="M31" s="33" t="n">
        <f>3862</f>
        <v>3862.0</v>
      </c>
      <c r="N31" s="34" t="s">
        <v>49</v>
      </c>
      <c r="O31" s="33" t="n">
        <f>3603</f>
        <v>3603.0</v>
      </c>
      <c r="P31" s="34" t="s">
        <v>50</v>
      </c>
      <c r="Q31" s="33" t="n">
        <f>3754</f>
        <v>3754.0</v>
      </c>
      <c r="R31" s="34" t="s">
        <v>51</v>
      </c>
      <c r="S31" s="35" t="n">
        <f>3758.95</f>
        <v>3758.95</v>
      </c>
      <c r="T31" s="32" t="n">
        <f>4938469</f>
        <v>4938469.0</v>
      </c>
      <c r="U31" s="32" t="n">
        <f>4453330</f>
        <v>4453330.0</v>
      </c>
      <c r="V31" s="32" t="n">
        <f>18359469319</f>
        <v>1.8359469319E10</v>
      </c>
      <c r="W31" s="32" t="n">
        <f>16538105797</f>
        <v>1.6538105797E10</v>
      </c>
      <c r="X31" s="36" t="n">
        <f>22</f>
        <v>22.0</v>
      </c>
    </row>
    <row r="32">
      <c r="A32" s="27" t="s">
        <v>42</v>
      </c>
      <c r="B32" s="27" t="s">
        <v>132</v>
      </c>
      <c r="C32" s="27" t="s">
        <v>133</v>
      </c>
      <c r="D32" s="27" t="s">
        <v>134</v>
      </c>
      <c r="E32" s="28" t="s">
        <v>46</v>
      </c>
      <c r="F32" s="29" t="s">
        <v>46</v>
      </c>
      <c r="G32" s="30" t="s">
        <v>46</v>
      </c>
      <c r="H32" s="31"/>
      <c r="I32" s="31" t="s">
        <v>47</v>
      </c>
      <c r="J32" s="32" t="n">
        <v>1.0</v>
      </c>
      <c r="K32" s="33" t="n">
        <f>5098</f>
        <v>5098.0</v>
      </c>
      <c r="L32" s="34" t="s">
        <v>48</v>
      </c>
      <c r="M32" s="33" t="n">
        <f>5155</f>
        <v>5155.0</v>
      </c>
      <c r="N32" s="34" t="s">
        <v>48</v>
      </c>
      <c r="O32" s="33" t="n">
        <f>3595</f>
        <v>3595.0</v>
      </c>
      <c r="P32" s="34" t="s">
        <v>75</v>
      </c>
      <c r="Q32" s="33" t="n">
        <f>4077</f>
        <v>4077.0</v>
      </c>
      <c r="R32" s="34" t="s">
        <v>51</v>
      </c>
      <c r="S32" s="35" t="n">
        <f>4389.59</f>
        <v>4389.59</v>
      </c>
      <c r="T32" s="32" t="n">
        <f>10165629</f>
        <v>1.0165629E7</v>
      </c>
      <c r="U32" s="32" t="n">
        <f>214739</f>
        <v>214739.0</v>
      </c>
      <c r="V32" s="32" t="n">
        <f>44714815857</f>
        <v>4.4714815857E10</v>
      </c>
      <c r="W32" s="32" t="n">
        <f>956685753</f>
        <v>9.56685753E8</v>
      </c>
      <c r="X32" s="36" t="n">
        <f>22</f>
        <v>22.0</v>
      </c>
    </row>
    <row r="33">
      <c r="A33" s="27" t="s">
        <v>42</v>
      </c>
      <c r="B33" s="27" t="s">
        <v>135</v>
      </c>
      <c r="C33" s="27" t="s">
        <v>136</v>
      </c>
      <c r="D33" s="27" t="s">
        <v>137</v>
      </c>
      <c r="E33" s="28" t="s">
        <v>46</v>
      </c>
      <c r="F33" s="29" t="s">
        <v>46</v>
      </c>
      <c r="G33" s="30" t="s">
        <v>46</v>
      </c>
      <c r="H33" s="31"/>
      <c r="I33" s="31" t="s">
        <v>47</v>
      </c>
      <c r="J33" s="32" t="n">
        <v>1.0</v>
      </c>
      <c r="K33" s="33" t="n">
        <f>62</f>
        <v>62.0</v>
      </c>
      <c r="L33" s="34" t="s">
        <v>48</v>
      </c>
      <c r="M33" s="33" t="n">
        <f>84</f>
        <v>84.0</v>
      </c>
      <c r="N33" s="34" t="s">
        <v>75</v>
      </c>
      <c r="O33" s="33" t="n">
        <f>60</f>
        <v>60.0</v>
      </c>
      <c r="P33" s="34" t="s">
        <v>48</v>
      </c>
      <c r="Q33" s="33" t="n">
        <f>74</f>
        <v>74.0</v>
      </c>
      <c r="R33" s="34" t="s">
        <v>51</v>
      </c>
      <c r="S33" s="35" t="n">
        <f>70.73</f>
        <v>70.73</v>
      </c>
      <c r="T33" s="32" t="n">
        <f>176638917</f>
        <v>1.76638917E8</v>
      </c>
      <c r="U33" s="32" t="n">
        <f>616838</f>
        <v>616838.0</v>
      </c>
      <c r="V33" s="32" t="n">
        <f>12158393682</f>
        <v>1.2158393682E10</v>
      </c>
      <c r="W33" s="32" t="n">
        <f>43429044</f>
        <v>4.3429044E7</v>
      </c>
      <c r="X33" s="36" t="n">
        <f>22</f>
        <v>22.0</v>
      </c>
    </row>
    <row r="34">
      <c r="A34" s="27" t="s">
        <v>42</v>
      </c>
      <c r="B34" s="27" t="s">
        <v>138</v>
      </c>
      <c r="C34" s="27" t="s">
        <v>139</v>
      </c>
      <c r="D34" s="27" t="s">
        <v>140</v>
      </c>
      <c r="E34" s="28" t="s">
        <v>46</v>
      </c>
      <c r="F34" s="29" t="s">
        <v>46</v>
      </c>
      <c r="G34" s="30" t="s">
        <v>46</v>
      </c>
      <c r="H34" s="31"/>
      <c r="I34" s="31" t="s">
        <v>47</v>
      </c>
      <c r="J34" s="32" t="n">
        <v>1.0</v>
      </c>
      <c r="K34" s="33" t="n">
        <f>3035</f>
        <v>3035.0</v>
      </c>
      <c r="L34" s="34" t="s">
        <v>48</v>
      </c>
      <c r="M34" s="33" t="n">
        <f>3184</f>
        <v>3184.0</v>
      </c>
      <c r="N34" s="34" t="s">
        <v>49</v>
      </c>
      <c r="O34" s="33" t="n">
        <f>2757</f>
        <v>2757.0</v>
      </c>
      <c r="P34" s="34" t="s">
        <v>50</v>
      </c>
      <c r="Q34" s="33" t="n">
        <f>2940</f>
        <v>2940.0</v>
      </c>
      <c r="R34" s="34" t="s">
        <v>51</v>
      </c>
      <c r="S34" s="35" t="n">
        <f>3002.23</f>
        <v>3002.23</v>
      </c>
      <c r="T34" s="32" t="n">
        <f>2267633</f>
        <v>2267633.0</v>
      </c>
      <c r="U34" s="32" t="n">
        <f>41550</f>
        <v>41550.0</v>
      </c>
      <c r="V34" s="32" t="n">
        <f>6843965374</f>
        <v>6.843965374E9</v>
      </c>
      <c r="W34" s="32" t="n">
        <f>122458901</f>
        <v>1.22458901E8</v>
      </c>
      <c r="X34" s="36" t="n">
        <f>22</f>
        <v>22.0</v>
      </c>
    </row>
    <row r="35">
      <c r="A35" s="27" t="s">
        <v>42</v>
      </c>
      <c r="B35" s="27" t="s">
        <v>141</v>
      </c>
      <c r="C35" s="27" t="s">
        <v>142</v>
      </c>
      <c r="D35" s="27" t="s">
        <v>143</v>
      </c>
      <c r="E35" s="28" t="s">
        <v>46</v>
      </c>
      <c r="F35" s="29" t="s">
        <v>46</v>
      </c>
      <c r="G35" s="30" t="s">
        <v>46</v>
      </c>
      <c r="H35" s="31"/>
      <c r="I35" s="31" t="s">
        <v>47</v>
      </c>
      <c r="J35" s="32" t="n">
        <v>1.0</v>
      </c>
      <c r="K35" s="33" t="n">
        <f>160</f>
        <v>160.0</v>
      </c>
      <c r="L35" s="34" t="s">
        <v>48</v>
      </c>
      <c r="M35" s="33" t="n">
        <f>174</f>
        <v>174.0</v>
      </c>
      <c r="N35" s="34" t="s">
        <v>50</v>
      </c>
      <c r="O35" s="33" t="n">
        <f>152</f>
        <v>152.0</v>
      </c>
      <c r="P35" s="34" t="s">
        <v>49</v>
      </c>
      <c r="Q35" s="33" t="n">
        <f>162</f>
        <v>162.0</v>
      </c>
      <c r="R35" s="34" t="s">
        <v>51</v>
      </c>
      <c r="S35" s="35" t="n">
        <f>160.91</f>
        <v>160.91</v>
      </c>
      <c r="T35" s="32" t="n">
        <f>13099890</f>
        <v>1.309989E7</v>
      </c>
      <c r="U35" s="32" t="n">
        <f>1330</f>
        <v>1330.0</v>
      </c>
      <c r="V35" s="32" t="n">
        <f>2109963277</f>
        <v>2.109963277E9</v>
      </c>
      <c r="W35" s="32" t="n">
        <f>210380</f>
        <v>210380.0</v>
      </c>
      <c r="X35" s="36" t="n">
        <f>22</f>
        <v>22.0</v>
      </c>
    </row>
    <row r="36">
      <c r="A36" s="27" t="s">
        <v>42</v>
      </c>
      <c r="B36" s="27" t="s">
        <v>144</v>
      </c>
      <c r="C36" s="27" t="s">
        <v>145</v>
      </c>
      <c r="D36" s="27" t="s">
        <v>146</v>
      </c>
      <c r="E36" s="28" t="s">
        <v>46</v>
      </c>
      <c r="F36" s="29" t="s">
        <v>46</v>
      </c>
      <c r="G36" s="30" t="s">
        <v>46</v>
      </c>
      <c r="H36" s="31"/>
      <c r="I36" s="31" t="s">
        <v>47</v>
      </c>
      <c r="J36" s="32" t="n">
        <v>1.0</v>
      </c>
      <c r="K36" s="33" t="n">
        <f>71990</f>
        <v>71990.0</v>
      </c>
      <c r="L36" s="34" t="s">
        <v>48</v>
      </c>
      <c r="M36" s="33" t="n">
        <f>72750</f>
        <v>72750.0</v>
      </c>
      <c r="N36" s="34" t="s">
        <v>48</v>
      </c>
      <c r="O36" s="33" t="n">
        <f>60800</f>
        <v>60800.0</v>
      </c>
      <c r="P36" s="34" t="s">
        <v>75</v>
      </c>
      <c r="Q36" s="33" t="n">
        <f>64650</f>
        <v>64650.0</v>
      </c>
      <c r="R36" s="34" t="s">
        <v>51</v>
      </c>
      <c r="S36" s="35" t="n">
        <f>67130</f>
        <v>67130.0</v>
      </c>
      <c r="T36" s="32" t="n">
        <f>283893</f>
        <v>283893.0</v>
      </c>
      <c r="U36" s="32" t="n">
        <f>90550</f>
        <v>90550.0</v>
      </c>
      <c r="V36" s="32" t="n">
        <f>18843315475</f>
        <v>1.8843315475E10</v>
      </c>
      <c r="W36" s="32" t="n">
        <f>6013737005</f>
        <v>6.013737005E9</v>
      </c>
      <c r="X36" s="36" t="n">
        <f>22</f>
        <v>22.0</v>
      </c>
    </row>
    <row r="37">
      <c r="A37" s="27" t="s">
        <v>42</v>
      </c>
      <c r="B37" s="27" t="s">
        <v>147</v>
      </c>
      <c r="C37" s="27" t="s">
        <v>148</v>
      </c>
      <c r="D37" s="27" t="s">
        <v>149</v>
      </c>
      <c r="E37" s="28" t="s">
        <v>46</v>
      </c>
      <c r="F37" s="29" t="s">
        <v>46</v>
      </c>
      <c r="G37" s="30" t="s">
        <v>46</v>
      </c>
      <c r="H37" s="31"/>
      <c r="I37" s="31" t="s">
        <v>47</v>
      </c>
      <c r="J37" s="32" t="n">
        <v>1.0</v>
      </c>
      <c r="K37" s="33" t="n">
        <f>71930</f>
        <v>71930.0</v>
      </c>
      <c r="L37" s="34" t="s">
        <v>48</v>
      </c>
      <c r="M37" s="33" t="n">
        <f>72800</f>
        <v>72800.0</v>
      </c>
      <c r="N37" s="34" t="s">
        <v>48</v>
      </c>
      <c r="O37" s="33" t="n">
        <f>61210</f>
        <v>61210.0</v>
      </c>
      <c r="P37" s="34" t="s">
        <v>75</v>
      </c>
      <c r="Q37" s="33" t="n">
        <f>65070</f>
        <v>65070.0</v>
      </c>
      <c r="R37" s="34" t="s">
        <v>51</v>
      </c>
      <c r="S37" s="35" t="n">
        <f>67349.09</f>
        <v>67349.09</v>
      </c>
      <c r="T37" s="32" t="n">
        <f>184125</f>
        <v>184125.0</v>
      </c>
      <c r="U37" s="32" t="n">
        <f>99790</f>
        <v>99790.0</v>
      </c>
      <c r="V37" s="32" t="n">
        <f>12267204653</f>
        <v>1.2267204653E10</v>
      </c>
      <c r="W37" s="32" t="n">
        <f>6585192243</f>
        <v>6.585192243E9</v>
      </c>
      <c r="X37" s="36" t="n">
        <f>22</f>
        <v>22.0</v>
      </c>
    </row>
    <row r="38">
      <c r="A38" s="27" t="s">
        <v>42</v>
      </c>
      <c r="B38" s="27" t="s">
        <v>150</v>
      </c>
      <c r="C38" s="27" t="s">
        <v>151</v>
      </c>
      <c r="D38" s="27" t="s">
        <v>152</v>
      </c>
      <c r="E38" s="28" t="s">
        <v>46</v>
      </c>
      <c r="F38" s="29" t="s">
        <v>46</v>
      </c>
      <c r="G38" s="30" t="s">
        <v>46</v>
      </c>
      <c r="H38" s="31"/>
      <c r="I38" s="31" t="s">
        <v>47</v>
      </c>
      <c r="J38" s="32" t="n">
        <v>10.0</v>
      </c>
      <c r="K38" s="33" t="n">
        <f>1855</f>
        <v>1855.0</v>
      </c>
      <c r="L38" s="34" t="s">
        <v>48</v>
      </c>
      <c r="M38" s="33" t="n">
        <f>1964.5</f>
        <v>1964.5</v>
      </c>
      <c r="N38" s="34" t="s">
        <v>51</v>
      </c>
      <c r="O38" s="33" t="n">
        <f>1821</f>
        <v>1821.0</v>
      </c>
      <c r="P38" s="34" t="s">
        <v>48</v>
      </c>
      <c r="Q38" s="33" t="n">
        <f>1918.5</f>
        <v>1918.5</v>
      </c>
      <c r="R38" s="34" t="s">
        <v>51</v>
      </c>
      <c r="S38" s="35" t="n">
        <f>1897.57</f>
        <v>1897.57</v>
      </c>
      <c r="T38" s="32" t="n">
        <f>9898360</f>
        <v>9898360.0</v>
      </c>
      <c r="U38" s="32" t="n">
        <f>3074270</f>
        <v>3074270.0</v>
      </c>
      <c r="V38" s="32" t="n">
        <f>18762398909</f>
        <v>1.8762398909E10</v>
      </c>
      <c r="W38" s="32" t="n">
        <f>5827992724</f>
        <v>5.827992724E9</v>
      </c>
      <c r="X38" s="36" t="n">
        <f>22</f>
        <v>22.0</v>
      </c>
    </row>
    <row r="39">
      <c r="A39" s="27" t="s">
        <v>42</v>
      </c>
      <c r="B39" s="27" t="s">
        <v>153</v>
      </c>
      <c r="C39" s="27" t="s">
        <v>154</v>
      </c>
      <c r="D39" s="27" t="s">
        <v>155</v>
      </c>
      <c r="E39" s="28" t="s">
        <v>46</v>
      </c>
      <c r="F39" s="29" t="s">
        <v>46</v>
      </c>
      <c r="G39" s="30" t="s">
        <v>46</v>
      </c>
      <c r="H39" s="31"/>
      <c r="I39" s="31" t="s">
        <v>47</v>
      </c>
      <c r="J39" s="32" t="n">
        <v>1.0</v>
      </c>
      <c r="K39" s="33" t="n">
        <f>3037</f>
        <v>3037.0</v>
      </c>
      <c r="L39" s="34" t="s">
        <v>48</v>
      </c>
      <c r="M39" s="33" t="n">
        <f>3246</f>
        <v>3246.0</v>
      </c>
      <c r="N39" s="34" t="s">
        <v>156</v>
      </c>
      <c r="O39" s="33" t="n">
        <f>2965</f>
        <v>2965.0</v>
      </c>
      <c r="P39" s="34" t="s">
        <v>48</v>
      </c>
      <c r="Q39" s="33" t="n">
        <f>3131</f>
        <v>3131.0</v>
      </c>
      <c r="R39" s="34" t="s">
        <v>51</v>
      </c>
      <c r="S39" s="35" t="n">
        <f>3093.5</f>
        <v>3093.5</v>
      </c>
      <c r="T39" s="32" t="n">
        <f>32994</f>
        <v>32994.0</v>
      </c>
      <c r="U39" s="32" t="n">
        <f>170</f>
        <v>170.0</v>
      </c>
      <c r="V39" s="32" t="n">
        <f>102510960</f>
        <v>1.0251096E8</v>
      </c>
      <c r="W39" s="32" t="n">
        <f>529707</f>
        <v>529707.0</v>
      </c>
      <c r="X39" s="36" t="n">
        <f>22</f>
        <v>22.0</v>
      </c>
    </row>
    <row r="40">
      <c r="A40" s="27" t="s">
        <v>42</v>
      </c>
      <c r="B40" s="27" t="s">
        <v>157</v>
      </c>
      <c r="C40" s="27" t="s">
        <v>158</v>
      </c>
      <c r="D40" s="27" t="s">
        <v>159</v>
      </c>
      <c r="E40" s="28" t="s">
        <v>46</v>
      </c>
      <c r="F40" s="29" t="s">
        <v>46</v>
      </c>
      <c r="G40" s="30" t="s">
        <v>46</v>
      </c>
      <c r="H40" s="31"/>
      <c r="I40" s="31" t="s">
        <v>47</v>
      </c>
      <c r="J40" s="32" t="n">
        <v>1.0</v>
      </c>
      <c r="K40" s="33" t="n">
        <f>1993</f>
        <v>1993.0</v>
      </c>
      <c r="L40" s="34" t="s">
        <v>48</v>
      </c>
      <c r="M40" s="33" t="n">
        <f>2036</f>
        <v>2036.0</v>
      </c>
      <c r="N40" s="34" t="s">
        <v>51</v>
      </c>
      <c r="O40" s="33" t="n">
        <f>1962</f>
        <v>1962.0</v>
      </c>
      <c r="P40" s="34" t="s">
        <v>160</v>
      </c>
      <c r="Q40" s="33" t="n">
        <f>2017</f>
        <v>2017.0</v>
      </c>
      <c r="R40" s="34" t="s">
        <v>51</v>
      </c>
      <c r="S40" s="35" t="n">
        <f>2006.43</f>
        <v>2006.43</v>
      </c>
      <c r="T40" s="32" t="n">
        <f>636580</f>
        <v>636580.0</v>
      </c>
      <c r="U40" s="32" t="str">
        <f>"－"</f>
        <v>－</v>
      </c>
      <c r="V40" s="32" t="n">
        <f>1274041836</f>
        <v>1.274041836E9</v>
      </c>
      <c r="W40" s="32" t="str">
        <f>"－"</f>
        <v>－</v>
      </c>
      <c r="X40" s="36" t="n">
        <f>21</f>
        <v>21.0</v>
      </c>
    </row>
    <row r="41">
      <c r="A41" s="27" t="s">
        <v>42</v>
      </c>
      <c r="B41" s="27" t="s">
        <v>161</v>
      </c>
      <c r="C41" s="27" t="s">
        <v>162</v>
      </c>
      <c r="D41" s="27" t="s">
        <v>163</v>
      </c>
      <c r="E41" s="28" t="s">
        <v>46</v>
      </c>
      <c r="F41" s="29" t="s">
        <v>46</v>
      </c>
      <c r="G41" s="30" t="s">
        <v>46</v>
      </c>
      <c r="H41" s="31"/>
      <c r="I41" s="31" t="s">
        <v>47</v>
      </c>
      <c r="J41" s="32" t="n">
        <v>1.0</v>
      </c>
      <c r="K41" s="33" t="n">
        <f>1186</f>
        <v>1186.0</v>
      </c>
      <c r="L41" s="34" t="s">
        <v>48</v>
      </c>
      <c r="M41" s="33" t="n">
        <f>1382</f>
        <v>1382.0</v>
      </c>
      <c r="N41" s="34" t="s">
        <v>75</v>
      </c>
      <c r="O41" s="33" t="n">
        <f>1170</f>
        <v>1170.0</v>
      </c>
      <c r="P41" s="34" t="s">
        <v>48</v>
      </c>
      <c r="Q41" s="33" t="n">
        <f>1297</f>
        <v>1297.0</v>
      </c>
      <c r="R41" s="34" t="s">
        <v>51</v>
      </c>
      <c r="S41" s="35" t="n">
        <f>1265.18</f>
        <v>1265.18</v>
      </c>
      <c r="T41" s="32" t="n">
        <f>4758470</f>
        <v>4758470.0</v>
      </c>
      <c r="U41" s="32" t="n">
        <f>400000</f>
        <v>400000.0</v>
      </c>
      <c r="V41" s="32" t="n">
        <f>6046543360</f>
        <v>6.04654336E9</v>
      </c>
      <c r="W41" s="32" t="n">
        <f>501296000</f>
        <v>5.01296E8</v>
      </c>
      <c r="X41" s="36" t="n">
        <f>22</f>
        <v>22.0</v>
      </c>
    </row>
    <row r="42">
      <c r="A42" s="27" t="s">
        <v>42</v>
      </c>
      <c r="B42" s="27" t="s">
        <v>164</v>
      </c>
      <c r="C42" s="27" t="s">
        <v>165</v>
      </c>
      <c r="D42" s="27" t="s">
        <v>166</v>
      </c>
      <c r="E42" s="28" t="s">
        <v>46</v>
      </c>
      <c r="F42" s="29" t="s">
        <v>46</v>
      </c>
      <c r="G42" s="30" t="s">
        <v>46</v>
      </c>
      <c r="H42" s="31"/>
      <c r="I42" s="31" t="s">
        <v>47</v>
      </c>
      <c r="J42" s="32" t="n">
        <v>1.0</v>
      </c>
      <c r="K42" s="33" t="n">
        <f>1800</f>
        <v>1800.0</v>
      </c>
      <c r="L42" s="34" t="s">
        <v>48</v>
      </c>
      <c r="M42" s="33" t="n">
        <f>1874</f>
        <v>1874.0</v>
      </c>
      <c r="N42" s="34" t="s">
        <v>50</v>
      </c>
      <c r="O42" s="33" t="n">
        <f>1752</f>
        <v>1752.0</v>
      </c>
      <c r="P42" s="34" t="s">
        <v>49</v>
      </c>
      <c r="Q42" s="33" t="n">
        <f>1812</f>
        <v>1812.0</v>
      </c>
      <c r="R42" s="34" t="s">
        <v>51</v>
      </c>
      <c r="S42" s="35" t="n">
        <f>1800.36</f>
        <v>1800.36</v>
      </c>
      <c r="T42" s="32" t="n">
        <f>772721</f>
        <v>772721.0</v>
      </c>
      <c r="U42" s="32" t="n">
        <f>110511</f>
        <v>110511.0</v>
      </c>
      <c r="V42" s="32" t="n">
        <f>1396628256</f>
        <v>1.396628256E9</v>
      </c>
      <c r="W42" s="32" t="n">
        <f>201374222</f>
        <v>2.01374222E8</v>
      </c>
      <c r="X42" s="36" t="n">
        <f>22</f>
        <v>22.0</v>
      </c>
    </row>
    <row r="43">
      <c r="A43" s="27" t="s">
        <v>42</v>
      </c>
      <c r="B43" s="27" t="s">
        <v>167</v>
      </c>
      <c r="C43" s="27" t="s">
        <v>168</v>
      </c>
      <c r="D43" s="27" t="s">
        <v>169</v>
      </c>
      <c r="E43" s="28" t="s">
        <v>46</v>
      </c>
      <c r="F43" s="29" t="s">
        <v>46</v>
      </c>
      <c r="G43" s="30" t="s">
        <v>46</v>
      </c>
      <c r="H43" s="31"/>
      <c r="I43" s="31" t="s">
        <v>47</v>
      </c>
      <c r="J43" s="32" t="n">
        <v>1.0</v>
      </c>
      <c r="K43" s="33" t="n">
        <f>98690</f>
        <v>98690.0</v>
      </c>
      <c r="L43" s="34" t="s">
        <v>48</v>
      </c>
      <c r="M43" s="33" t="n">
        <f>99730</f>
        <v>99730.0</v>
      </c>
      <c r="N43" s="34" t="s">
        <v>48</v>
      </c>
      <c r="O43" s="33" t="n">
        <f>69530</f>
        <v>69530.0</v>
      </c>
      <c r="P43" s="34" t="s">
        <v>75</v>
      </c>
      <c r="Q43" s="33" t="n">
        <f>78850</f>
        <v>78850.0</v>
      </c>
      <c r="R43" s="34" t="s">
        <v>51</v>
      </c>
      <c r="S43" s="35" t="n">
        <f>84962.73</f>
        <v>84962.73</v>
      </c>
      <c r="T43" s="32" t="n">
        <f>4202044</f>
        <v>4202044.0</v>
      </c>
      <c r="U43" s="32" t="n">
        <f>43148</f>
        <v>43148.0</v>
      </c>
      <c r="V43" s="32" t="n">
        <f>361167458418</f>
        <v>3.61167458418E11</v>
      </c>
      <c r="W43" s="32" t="n">
        <f>3621816958</f>
        <v>3.621816958E9</v>
      </c>
      <c r="X43" s="36" t="n">
        <f>22</f>
        <v>22.0</v>
      </c>
    </row>
    <row r="44">
      <c r="A44" s="27" t="s">
        <v>42</v>
      </c>
      <c r="B44" s="27" t="s">
        <v>170</v>
      </c>
      <c r="C44" s="27" t="s">
        <v>171</v>
      </c>
      <c r="D44" s="27" t="s">
        <v>172</v>
      </c>
      <c r="E44" s="28" t="s">
        <v>46</v>
      </c>
      <c r="F44" s="29" t="s">
        <v>46</v>
      </c>
      <c r="G44" s="30" t="s">
        <v>46</v>
      </c>
      <c r="H44" s="31"/>
      <c r="I44" s="31" t="s">
        <v>47</v>
      </c>
      <c r="J44" s="32" t="n">
        <v>1.0</v>
      </c>
      <c r="K44" s="33" t="n">
        <f>99</f>
        <v>99.0</v>
      </c>
      <c r="L44" s="34" t="s">
        <v>48</v>
      </c>
      <c r="M44" s="33" t="n">
        <f>135</f>
        <v>135.0</v>
      </c>
      <c r="N44" s="34" t="s">
        <v>75</v>
      </c>
      <c r="O44" s="33" t="n">
        <f>97</f>
        <v>97.0</v>
      </c>
      <c r="P44" s="34" t="s">
        <v>48</v>
      </c>
      <c r="Q44" s="33" t="n">
        <f>119</f>
        <v>119.0</v>
      </c>
      <c r="R44" s="34" t="s">
        <v>51</v>
      </c>
      <c r="S44" s="35" t="n">
        <f>113.14</f>
        <v>113.14</v>
      </c>
      <c r="T44" s="32" t="n">
        <f>338877560</f>
        <v>3.3887756E8</v>
      </c>
      <c r="U44" s="32" t="n">
        <f>5458433</f>
        <v>5458433.0</v>
      </c>
      <c r="V44" s="32" t="n">
        <f>38120746187</f>
        <v>3.8120746187E10</v>
      </c>
      <c r="W44" s="32" t="n">
        <f>629569895</f>
        <v>6.29569895E8</v>
      </c>
      <c r="X44" s="36" t="n">
        <f>22</f>
        <v>22.0</v>
      </c>
    </row>
    <row r="45">
      <c r="A45" s="27" t="s">
        <v>42</v>
      </c>
      <c r="B45" s="27" t="s">
        <v>173</v>
      </c>
      <c r="C45" s="27" t="s">
        <v>174</v>
      </c>
      <c r="D45" s="27" t="s">
        <v>175</v>
      </c>
      <c r="E45" s="28" t="s">
        <v>46</v>
      </c>
      <c r="F45" s="29" t="s">
        <v>46</v>
      </c>
      <c r="G45" s="30" t="s">
        <v>46</v>
      </c>
      <c r="H45" s="31"/>
      <c r="I45" s="31" t="s">
        <v>47</v>
      </c>
      <c r="J45" s="32" t="n">
        <v>1.0</v>
      </c>
      <c r="K45" s="33" t="n">
        <f>205</f>
        <v>205.0</v>
      </c>
      <c r="L45" s="34" t="s">
        <v>48</v>
      </c>
      <c r="M45" s="33" t="n">
        <f>223</f>
        <v>223.0</v>
      </c>
      <c r="N45" s="34" t="s">
        <v>50</v>
      </c>
      <c r="O45" s="33" t="n">
        <f>195</f>
        <v>195.0</v>
      </c>
      <c r="P45" s="34" t="s">
        <v>49</v>
      </c>
      <c r="Q45" s="33" t="n">
        <f>203</f>
        <v>203.0</v>
      </c>
      <c r="R45" s="34" t="s">
        <v>51</v>
      </c>
      <c r="S45" s="35" t="n">
        <f>204.59</f>
        <v>204.59</v>
      </c>
      <c r="T45" s="32" t="n">
        <f>72830</f>
        <v>72830.0</v>
      </c>
      <c r="U45" s="32" t="str">
        <f>"－"</f>
        <v>－</v>
      </c>
      <c r="V45" s="32" t="n">
        <f>15069906</f>
        <v>1.5069906E7</v>
      </c>
      <c r="W45" s="32" t="str">
        <f>"－"</f>
        <v>－</v>
      </c>
      <c r="X45" s="36" t="n">
        <f>22</f>
        <v>22.0</v>
      </c>
    </row>
    <row r="46">
      <c r="A46" s="27" t="s">
        <v>42</v>
      </c>
      <c r="B46" s="27" t="s">
        <v>176</v>
      </c>
      <c r="C46" s="27" t="s">
        <v>177</v>
      </c>
      <c r="D46" s="27" t="s">
        <v>178</v>
      </c>
      <c r="E46" s="28" t="s">
        <v>46</v>
      </c>
      <c r="F46" s="29" t="s">
        <v>46</v>
      </c>
      <c r="G46" s="30" t="s">
        <v>46</v>
      </c>
      <c r="H46" s="31"/>
      <c r="I46" s="31" t="s">
        <v>47</v>
      </c>
      <c r="J46" s="32" t="n">
        <v>10.0</v>
      </c>
      <c r="K46" s="33" t="n">
        <f>193</f>
        <v>193.0</v>
      </c>
      <c r="L46" s="34" t="s">
        <v>48</v>
      </c>
      <c r="M46" s="33" t="n">
        <f>207</f>
        <v>207.0</v>
      </c>
      <c r="N46" s="34" t="s">
        <v>50</v>
      </c>
      <c r="O46" s="33" t="n">
        <f>183.5</f>
        <v>183.5</v>
      </c>
      <c r="P46" s="34" t="s">
        <v>49</v>
      </c>
      <c r="Q46" s="33" t="n">
        <f>192.4</f>
        <v>192.4</v>
      </c>
      <c r="R46" s="34" t="s">
        <v>51</v>
      </c>
      <c r="S46" s="35" t="n">
        <f>192.53</f>
        <v>192.53</v>
      </c>
      <c r="T46" s="32" t="n">
        <f>340790</f>
        <v>340790.0</v>
      </c>
      <c r="U46" s="32" t="n">
        <f>9830</f>
        <v>9830.0</v>
      </c>
      <c r="V46" s="32" t="n">
        <f>65916625</f>
        <v>6.5916625E7</v>
      </c>
      <c r="W46" s="32" t="n">
        <f>1965810</f>
        <v>1965810.0</v>
      </c>
      <c r="X46" s="36" t="n">
        <f>22</f>
        <v>22.0</v>
      </c>
    </row>
    <row r="47">
      <c r="A47" s="27" t="s">
        <v>42</v>
      </c>
      <c r="B47" s="27" t="s">
        <v>179</v>
      </c>
      <c r="C47" s="27" t="s">
        <v>180</v>
      </c>
      <c r="D47" s="27" t="s">
        <v>181</v>
      </c>
      <c r="E47" s="28" t="s">
        <v>46</v>
      </c>
      <c r="F47" s="29" t="s">
        <v>46</v>
      </c>
      <c r="G47" s="30" t="s">
        <v>46</v>
      </c>
      <c r="H47" s="31"/>
      <c r="I47" s="31" t="s">
        <v>47</v>
      </c>
      <c r="J47" s="32" t="n">
        <v>1.0</v>
      </c>
      <c r="K47" s="33" t="n">
        <f>80</f>
        <v>80.0</v>
      </c>
      <c r="L47" s="34" t="s">
        <v>48</v>
      </c>
      <c r="M47" s="33" t="n">
        <f>86</f>
        <v>86.0</v>
      </c>
      <c r="N47" s="34" t="s">
        <v>50</v>
      </c>
      <c r="O47" s="33" t="n">
        <f>75</f>
        <v>75.0</v>
      </c>
      <c r="P47" s="34" t="s">
        <v>49</v>
      </c>
      <c r="Q47" s="33" t="n">
        <f>79</f>
        <v>79.0</v>
      </c>
      <c r="R47" s="34" t="s">
        <v>51</v>
      </c>
      <c r="S47" s="35" t="n">
        <f>79.64</f>
        <v>79.64</v>
      </c>
      <c r="T47" s="32" t="n">
        <f>215258</f>
        <v>215258.0</v>
      </c>
      <c r="U47" s="32" t="str">
        <f>"－"</f>
        <v>－</v>
      </c>
      <c r="V47" s="32" t="n">
        <f>17404183</f>
        <v>1.7404183E7</v>
      </c>
      <c r="W47" s="32" t="str">
        <f>"－"</f>
        <v>－</v>
      </c>
      <c r="X47" s="36" t="n">
        <f>22</f>
        <v>22.0</v>
      </c>
    </row>
    <row r="48">
      <c r="A48" s="27" t="s">
        <v>42</v>
      </c>
      <c r="B48" s="27" t="s">
        <v>182</v>
      </c>
      <c r="C48" s="27" t="s">
        <v>183</v>
      </c>
      <c r="D48" s="27" t="s">
        <v>184</v>
      </c>
      <c r="E48" s="28" t="s">
        <v>46</v>
      </c>
      <c r="F48" s="29" t="s">
        <v>46</v>
      </c>
      <c r="G48" s="30" t="s">
        <v>46</v>
      </c>
      <c r="H48" s="31"/>
      <c r="I48" s="31" t="s">
        <v>47</v>
      </c>
      <c r="J48" s="32" t="n">
        <v>10.0</v>
      </c>
      <c r="K48" s="33" t="n">
        <f>4145</f>
        <v>4145.0</v>
      </c>
      <c r="L48" s="34" t="s">
        <v>48</v>
      </c>
      <c r="M48" s="33" t="n">
        <f>4214</f>
        <v>4214.0</v>
      </c>
      <c r="N48" s="34" t="s">
        <v>58</v>
      </c>
      <c r="O48" s="33" t="n">
        <f>3941</f>
        <v>3941.0</v>
      </c>
      <c r="P48" s="34" t="s">
        <v>50</v>
      </c>
      <c r="Q48" s="33" t="n">
        <f>4082</f>
        <v>4082.0</v>
      </c>
      <c r="R48" s="34" t="s">
        <v>51</v>
      </c>
      <c r="S48" s="35" t="n">
        <f>4105.5</f>
        <v>4105.5</v>
      </c>
      <c r="T48" s="32" t="n">
        <f>5658960</f>
        <v>5658960.0</v>
      </c>
      <c r="U48" s="32" t="n">
        <f>4629540</f>
        <v>4629540.0</v>
      </c>
      <c r="V48" s="32" t="n">
        <f>23044281488</f>
        <v>2.3044281488E10</v>
      </c>
      <c r="W48" s="32" t="n">
        <f>18829823648</f>
        <v>1.8829823648E10</v>
      </c>
      <c r="X48" s="36" t="n">
        <f>22</f>
        <v>22.0</v>
      </c>
    </row>
    <row r="49">
      <c r="A49" s="27" t="s">
        <v>42</v>
      </c>
      <c r="B49" s="27" t="s">
        <v>185</v>
      </c>
      <c r="C49" s="27" t="s">
        <v>186</v>
      </c>
      <c r="D49" s="27" t="s">
        <v>187</v>
      </c>
      <c r="E49" s="28" t="s">
        <v>46</v>
      </c>
      <c r="F49" s="29" t="s">
        <v>46</v>
      </c>
      <c r="G49" s="30" t="s">
        <v>46</v>
      </c>
      <c r="H49" s="31"/>
      <c r="I49" s="31" t="s">
        <v>47</v>
      </c>
      <c r="J49" s="32" t="n">
        <v>1.0</v>
      </c>
      <c r="K49" s="33" t="n">
        <f>37490</f>
        <v>37490.0</v>
      </c>
      <c r="L49" s="34" t="s">
        <v>48</v>
      </c>
      <c r="M49" s="33" t="n">
        <f>37910</f>
        <v>37910.0</v>
      </c>
      <c r="N49" s="34" t="s">
        <v>58</v>
      </c>
      <c r="O49" s="33" t="n">
        <f>35360</f>
        <v>35360.0</v>
      </c>
      <c r="P49" s="34" t="s">
        <v>50</v>
      </c>
      <c r="Q49" s="33" t="n">
        <f>36630</f>
        <v>36630.0</v>
      </c>
      <c r="R49" s="34" t="s">
        <v>51</v>
      </c>
      <c r="S49" s="35" t="n">
        <f>36857.27</f>
        <v>36857.27</v>
      </c>
      <c r="T49" s="32" t="n">
        <f>108628</f>
        <v>108628.0</v>
      </c>
      <c r="U49" s="32" t="n">
        <f>52178</f>
        <v>52178.0</v>
      </c>
      <c r="V49" s="32" t="n">
        <f>3998731812</f>
        <v>3.998731812E9</v>
      </c>
      <c r="W49" s="32" t="n">
        <f>1922755512</f>
        <v>1.922755512E9</v>
      </c>
      <c r="X49" s="36" t="n">
        <f>22</f>
        <v>22.0</v>
      </c>
    </row>
    <row r="50">
      <c r="A50" s="27" t="s">
        <v>42</v>
      </c>
      <c r="B50" s="27" t="s">
        <v>188</v>
      </c>
      <c r="C50" s="27" t="s">
        <v>189</v>
      </c>
      <c r="D50" s="27" t="s">
        <v>190</v>
      </c>
      <c r="E50" s="28" t="s">
        <v>46</v>
      </c>
      <c r="F50" s="29" t="s">
        <v>46</v>
      </c>
      <c r="G50" s="30" t="s">
        <v>46</v>
      </c>
      <c r="H50" s="31"/>
      <c r="I50" s="31" t="s">
        <v>47</v>
      </c>
      <c r="J50" s="32" t="n">
        <v>10.0</v>
      </c>
      <c r="K50" s="33" t="n">
        <f>417</f>
        <v>417.0</v>
      </c>
      <c r="L50" s="34" t="s">
        <v>48</v>
      </c>
      <c r="M50" s="33" t="n">
        <f>429</f>
        <v>429.0</v>
      </c>
      <c r="N50" s="34" t="s">
        <v>49</v>
      </c>
      <c r="O50" s="33" t="n">
        <f>400.3</f>
        <v>400.3</v>
      </c>
      <c r="P50" s="34" t="s">
        <v>50</v>
      </c>
      <c r="Q50" s="33" t="n">
        <f>415.2</f>
        <v>415.2</v>
      </c>
      <c r="R50" s="34" t="s">
        <v>51</v>
      </c>
      <c r="S50" s="35" t="n">
        <f>417.3</f>
        <v>417.3</v>
      </c>
      <c r="T50" s="32" t="n">
        <f>183758030</f>
        <v>1.8375803E8</v>
      </c>
      <c r="U50" s="32" t="n">
        <f>66359100</f>
        <v>6.63591E7</v>
      </c>
      <c r="V50" s="32" t="n">
        <f>76695217893</f>
        <v>7.6695217893E10</v>
      </c>
      <c r="W50" s="32" t="n">
        <f>27757041652</f>
        <v>2.7757041652E10</v>
      </c>
      <c r="X50" s="36" t="n">
        <f>22</f>
        <v>22.0</v>
      </c>
    </row>
    <row r="51">
      <c r="A51" s="27" t="s">
        <v>42</v>
      </c>
      <c r="B51" s="27" t="s">
        <v>191</v>
      </c>
      <c r="C51" s="27" t="s">
        <v>192</v>
      </c>
      <c r="D51" s="27" t="s">
        <v>193</v>
      </c>
      <c r="E51" s="28" t="s">
        <v>46</v>
      </c>
      <c r="F51" s="29" t="s">
        <v>46</v>
      </c>
      <c r="G51" s="30" t="s">
        <v>46</v>
      </c>
      <c r="H51" s="31"/>
      <c r="I51" s="31" t="s">
        <v>47</v>
      </c>
      <c r="J51" s="32" t="n">
        <v>1.0</v>
      </c>
      <c r="K51" s="33" t="n">
        <f>1878</f>
        <v>1878.0</v>
      </c>
      <c r="L51" s="34" t="s">
        <v>48</v>
      </c>
      <c r="M51" s="33" t="n">
        <f>1979</f>
        <v>1979.0</v>
      </c>
      <c r="N51" s="34" t="s">
        <v>75</v>
      </c>
      <c r="O51" s="33" t="n">
        <f>1852</f>
        <v>1852.0</v>
      </c>
      <c r="P51" s="34" t="s">
        <v>48</v>
      </c>
      <c r="Q51" s="33" t="n">
        <f>1929</f>
        <v>1929.0</v>
      </c>
      <c r="R51" s="34" t="s">
        <v>51</v>
      </c>
      <c r="S51" s="35" t="n">
        <f>1914.18</f>
        <v>1914.18</v>
      </c>
      <c r="T51" s="32" t="n">
        <f>8471282</f>
        <v>8471282.0</v>
      </c>
      <c r="U51" s="32" t="n">
        <f>4894309</f>
        <v>4894309.0</v>
      </c>
      <c r="V51" s="32" t="n">
        <f>16170903548</f>
        <v>1.6170903548E10</v>
      </c>
      <c r="W51" s="32" t="n">
        <f>9312297298</f>
        <v>9.312297298E9</v>
      </c>
      <c r="X51" s="36" t="n">
        <f>22</f>
        <v>22.0</v>
      </c>
    </row>
    <row r="52">
      <c r="A52" s="27" t="s">
        <v>42</v>
      </c>
      <c r="B52" s="27" t="s">
        <v>194</v>
      </c>
      <c r="C52" s="27" t="s">
        <v>195</v>
      </c>
      <c r="D52" s="27" t="s">
        <v>196</v>
      </c>
      <c r="E52" s="28" t="s">
        <v>46</v>
      </c>
      <c r="F52" s="29" t="s">
        <v>46</v>
      </c>
      <c r="G52" s="30" t="s">
        <v>46</v>
      </c>
      <c r="H52" s="31"/>
      <c r="I52" s="31" t="s">
        <v>47</v>
      </c>
      <c r="J52" s="32" t="n">
        <v>1.0</v>
      </c>
      <c r="K52" s="33" t="n">
        <f>3230</f>
        <v>3230.0</v>
      </c>
      <c r="L52" s="34" t="s">
        <v>48</v>
      </c>
      <c r="M52" s="33" t="n">
        <f>3438</f>
        <v>3438.0</v>
      </c>
      <c r="N52" s="34" t="s">
        <v>197</v>
      </c>
      <c r="O52" s="33" t="n">
        <f>3208</f>
        <v>3208.0</v>
      </c>
      <c r="P52" s="34" t="s">
        <v>69</v>
      </c>
      <c r="Q52" s="33" t="n">
        <f>3344</f>
        <v>3344.0</v>
      </c>
      <c r="R52" s="34" t="s">
        <v>51</v>
      </c>
      <c r="S52" s="35" t="n">
        <f>3308.64</f>
        <v>3308.64</v>
      </c>
      <c r="T52" s="32" t="n">
        <f>383866</f>
        <v>383866.0</v>
      </c>
      <c r="U52" s="32" t="n">
        <f>212279</f>
        <v>212279.0</v>
      </c>
      <c r="V52" s="32" t="n">
        <f>1282362140</f>
        <v>1.28236214E9</v>
      </c>
      <c r="W52" s="32" t="n">
        <f>711328259</f>
        <v>7.11328259E8</v>
      </c>
      <c r="X52" s="36" t="n">
        <f>22</f>
        <v>22.0</v>
      </c>
    </row>
    <row r="53">
      <c r="A53" s="27" t="s">
        <v>42</v>
      </c>
      <c r="B53" s="27" t="s">
        <v>198</v>
      </c>
      <c r="C53" s="27" t="s">
        <v>199</v>
      </c>
      <c r="D53" s="27" t="s">
        <v>200</v>
      </c>
      <c r="E53" s="28" t="s">
        <v>46</v>
      </c>
      <c r="F53" s="29" t="s">
        <v>46</v>
      </c>
      <c r="G53" s="30" t="s">
        <v>46</v>
      </c>
      <c r="H53" s="31"/>
      <c r="I53" s="31" t="s">
        <v>47</v>
      </c>
      <c r="J53" s="32" t="n">
        <v>1.0</v>
      </c>
      <c r="K53" s="33" t="n">
        <f>4974</f>
        <v>4974.0</v>
      </c>
      <c r="L53" s="34" t="s">
        <v>48</v>
      </c>
      <c r="M53" s="33" t="n">
        <f>5556</f>
        <v>5556.0</v>
      </c>
      <c r="N53" s="34" t="s">
        <v>75</v>
      </c>
      <c r="O53" s="33" t="n">
        <f>4895</f>
        <v>4895.0</v>
      </c>
      <c r="P53" s="34" t="s">
        <v>48</v>
      </c>
      <c r="Q53" s="33" t="n">
        <f>5326</f>
        <v>5326.0</v>
      </c>
      <c r="R53" s="34" t="s">
        <v>51</v>
      </c>
      <c r="S53" s="35" t="n">
        <f>5200.45</f>
        <v>5200.45</v>
      </c>
      <c r="T53" s="32" t="n">
        <f>1467716</f>
        <v>1467716.0</v>
      </c>
      <c r="U53" s="32" t="n">
        <f>452887</f>
        <v>452887.0</v>
      </c>
      <c r="V53" s="32" t="n">
        <f>7635374345</f>
        <v>7.635374345E9</v>
      </c>
      <c r="W53" s="32" t="n">
        <f>2364885748</f>
        <v>2.364885748E9</v>
      </c>
      <c r="X53" s="36" t="n">
        <f>22</f>
        <v>22.0</v>
      </c>
    </row>
    <row r="54">
      <c r="A54" s="27" t="s">
        <v>42</v>
      </c>
      <c r="B54" s="27" t="s">
        <v>201</v>
      </c>
      <c r="C54" s="27" t="s">
        <v>202</v>
      </c>
      <c r="D54" s="27" t="s">
        <v>203</v>
      </c>
      <c r="E54" s="28" t="s">
        <v>46</v>
      </c>
      <c r="F54" s="29" t="s">
        <v>46</v>
      </c>
      <c r="G54" s="30" t="s">
        <v>46</v>
      </c>
      <c r="H54" s="31"/>
      <c r="I54" s="31" t="s">
        <v>47</v>
      </c>
      <c r="J54" s="32" t="n">
        <v>1.0</v>
      </c>
      <c r="K54" s="33" t="n">
        <f>54190</f>
        <v>54190.0</v>
      </c>
      <c r="L54" s="34" t="s">
        <v>69</v>
      </c>
      <c r="M54" s="33" t="n">
        <f>60280</f>
        <v>60280.0</v>
      </c>
      <c r="N54" s="34" t="s">
        <v>160</v>
      </c>
      <c r="O54" s="33" t="n">
        <f>50000</f>
        <v>50000.0</v>
      </c>
      <c r="P54" s="34" t="s">
        <v>51</v>
      </c>
      <c r="Q54" s="33" t="n">
        <f>51990</f>
        <v>51990.0</v>
      </c>
      <c r="R54" s="34" t="s">
        <v>51</v>
      </c>
      <c r="S54" s="35" t="n">
        <f>55623.08</f>
        <v>55623.08</v>
      </c>
      <c r="T54" s="32" t="n">
        <f>599</f>
        <v>599.0</v>
      </c>
      <c r="U54" s="32" t="str">
        <f>"－"</f>
        <v>－</v>
      </c>
      <c r="V54" s="32" t="n">
        <f>33392920</f>
        <v>3.339292E7</v>
      </c>
      <c r="W54" s="32" t="str">
        <f>"－"</f>
        <v>－</v>
      </c>
      <c r="X54" s="36" t="n">
        <f>13</f>
        <v>13.0</v>
      </c>
    </row>
    <row r="55">
      <c r="A55" s="27" t="s">
        <v>42</v>
      </c>
      <c r="B55" s="27" t="s">
        <v>204</v>
      </c>
      <c r="C55" s="27" t="s">
        <v>205</v>
      </c>
      <c r="D55" s="27" t="s">
        <v>206</v>
      </c>
      <c r="E55" s="28" t="s">
        <v>46</v>
      </c>
      <c r="F55" s="29" t="s">
        <v>46</v>
      </c>
      <c r="G55" s="30" t="s">
        <v>46</v>
      </c>
      <c r="H55" s="31"/>
      <c r="I55" s="31" t="s">
        <v>47</v>
      </c>
      <c r="J55" s="32" t="n">
        <v>1.0</v>
      </c>
      <c r="K55" s="33" t="n">
        <f>39960</f>
        <v>39960.0</v>
      </c>
      <c r="L55" s="34" t="s">
        <v>48</v>
      </c>
      <c r="M55" s="33" t="n">
        <f>41890</f>
        <v>41890.0</v>
      </c>
      <c r="N55" s="34" t="s">
        <v>207</v>
      </c>
      <c r="O55" s="33" t="n">
        <f>39110</f>
        <v>39110.0</v>
      </c>
      <c r="P55" s="34" t="s">
        <v>116</v>
      </c>
      <c r="Q55" s="33" t="n">
        <f>39300</f>
        <v>39300.0</v>
      </c>
      <c r="R55" s="34" t="s">
        <v>75</v>
      </c>
      <c r="S55" s="35" t="n">
        <f>39881.82</f>
        <v>39881.82</v>
      </c>
      <c r="T55" s="32" t="n">
        <f>1329</f>
        <v>1329.0</v>
      </c>
      <c r="U55" s="32" t="str">
        <f>"－"</f>
        <v>－</v>
      </c>
      <c r="V55" s="32" t="n">
        <f>53356770</f>
        <v>5.335677E7</v>
      </c>
      <c r="W55" s="32" t="str">
        <f>"－"</f>
        <v>－</v>
      </c>
      <c r="X55" s="36" t="n">
        <f>11</f>
        <v>11.0</v>
      </c>
    </row>
    <row r="56">
      <c r="A56" s="27" t="s">
        <v>42</v>
      </c>
      <c r="B56" s="27" t="s">
        <v>208</v>
      </c>
      <c r="C56" s="27" t="s">
        <v>209</v>
      </c>
      <c r="D56" s="27" t="s">
        <v>210</v>
      </c>
      <c r="E56" s="28" t="s">
        <v>46</v>
      </c>
      <c r="F56" s="29" t="s">
        <v>46</v>
      </c>
      <c r="G56" s="30" t="s">
        <v>46</v>
      </c>
      <c r="H56" s="31"/>
      <c r="I56" s="31" t="s">
        <v>47</v>
      </c>
      <c r="J56" s="32" t="n">
        <v>1.0</v>
      </c>
      <c r="K56" s="33" t="n">
        <f>3651</f>
        <v>3651.0</v>
      </c>
      <c r="L56" s="34" t="s">
        <v>48</v>
      </c>
      <c r="M56" s="33" t="n">
        <f>3800</f>
        <v>3800.0</v>
      </c>
      <c r="N56" s="34" t="s">
        <v>75</v>
      </c>
      <c r="O56" s="33" t="n">
        <f>3554</f>
        <v>3554.0</v>
      </c>
      <c r="P56" s="34" t="s">
        <v>48</v>
      </c>
      <c r="Q56" s="33" t="n">
        <f>3740</f>
        <v>3740.0</v>
      </c>
      <c r="R56" s="34" t="s">
        <v>51</v>
      </c>
      <c r="S56" s="35" t="n">
        <f>3677</f>
        <v>3677.0</v>
      </c>
      <c r="T56" s="32" t="n">
        <f>2353</f>
        <v>2353.0</v>
      </c>
      <c r="U56" s="32" t="n">
        <f>10</f>
        <v>10.0</v>
      </c>
      <c r="V56" s="32" t="n">
        <f>8713423</f>
        <v>8713423.0</v>
      </c>
      <c r="W56" s="32" t="n">
        <f>35830</f>
        <v>35830.0</v>
      </c>
      <c r="X56" s="36" t="n">
        <f>21</f>
        <v>21.0</v>
      </c>
    </row>
    <row r="57">
      <c r="A57" s="27" t="s">
        <v>42</v>
      </c>
      <c r="B57" s="27" t="s">
        <v>211</v>
      </c>
      <c r="C57" s="27" t="s">
        <v>212</v>
      </c>
      <c r="D57" s="27" t="s">
        <v>213</v>
      </c>
      <c r="E57" s="28" t="s">
        <v>46</v>
      </c>
      <c r="F57" s="29" t="s">
        <v>46</v>
      </c>
      <c r="G57" s="30" t="s">
        <v>46</v>
      </c>
      <c r="H57" s="31"/>
      <c r="I57" s="31" t="s">
        <v>47</v>
      </c>
      <c r="J57" s="32" t="n">
        <v>1.0</v>
      </c>
      <c r="K57" s="33" t="n">
        <f>1576</f>
        <v>1576.0</v>
      </c>
      <c r="L57" s="34" t="s">
        <v>48</v>
      </c>
      <c r="M57" s="33" t="n">
        <f>1580</f>
        <v>1580.0</v>
      </c>
      <c r="N57" s="34" t="s">
        <v>214</v>
      </c>
      <c r="O57" s="33" t="n">
        <f>1533</f>
        <v>1533.0</v>
      </c>
      <c r="P57" s="34" t="s">
        <v>71</v>
      </c>
      <c r="Q57" s="33" t="n">
        <f>1542</f>
        <v>1542.0</v>
      </c>
      <c r="R57" s="34" t="s">
        <v>51</v>
      </c>
      <c r="S57" s="35" t="n">
        <f>1552.73</f>
        <v>1552.73</v>
      </c>
      <c r="T57" s="32" t="n">
        <f>4239794</f>
        <v>4239794.0</v>
      </c>
      <c r="U57" s="32" t="n">
        <f>2257991</f>
        <v>2257991.0</v>
      </c>
      <c r="V57" s="32" t="n">
        <f>6553440766</f>
        <v>6.553440766E9</v>
      </c>
      <c r="W57" s="32" t="n">
        <f>3476274562</f>
        <v>3.476274562E9</v>
      </c>
      <c r="X57" s="36" t="n">
        <f>22</f>
        <v>22.0</v>
      </c>
    </row>
    <row r="58">
      <c r="A58" s="27" t="s">
        <v>42</v>
      </c>
      <c r="B58" s="27" t="s">
        <v>215</v>
      </c>
      <c r="C58" s="27" t="s">
        <v>216</v>
      </c>
      <c r="D58" s="27" t="s">
        <v>217</v>
      </c>
      <c r="E58" s="28" t="s">
        <v>46</v>
      </c>
      <c r="F58" s="29" t="s">
        <v>46</v>
      </c>
      <c r="G58" s="30" t="s">
        <v>46</v>
      </c>
      <c r="H58" s="31"/>
      <c r="I58" s="31" t="s">
        <v>47</v>
      </c>
      <c r="J58" s="32" t="n">
        <v>1.0</v>
      </c>
      <c r="K58" s="33" t="n">
        <f>3528</f>
        <v>3528.0</v>
      </c>
      <c r="L58" s="34" t="s">
        <v>48</v>
      </c>
      <c r="M58" s="33" t="n">
        <f>3817</f>
        <v>3817.0</v>
      </c>
      <c r="N58" s="34" t="s">
        <v>75</v>
      </c>
      <c r="O58" s="33" t="n">
        <f>3528</f>
        <v>3528.0</v>
      </c>
      <c r="P58" s="34" t="s">
        <v>48</v>
      </c>
      <c r="Q58" s="33" t="n">
        <f>3764</f>
        <v>3764.0</v>
      </c>
      <c r="R58" s="34" t="s">
        <v>197</v>
      </c>
      <c r="S58" s="35" t="n">
        <f>3668.22</f>
        <v>3668.22</v>
      </c>
      <c r="T58" s="32" t="n">
        <f>2451</f>
        <v>2451.0</v>
      </c>
      <c r="U58" s="32" t="str">
        <f>"－"</f>
        <v>－</v>
      </c>
      <c r="V58" s="32" t="n">
        <f>8928728</f>
        <v>8928728.0</v>
      </c>
      <c r="W58" s="32" t="str">
        <f>"－"</f>
        <v>－</v>
      </c>
      <c r="X58" s="36" t="n">
        <f>18</f>
        <v>18.0</v>
      </c>
    </row>
    <row r="59">
      <c r="A59" s="27" t="s">
        <v>42</v>
      </c>
      <c r="B59" s="27" t="s">
        <v>218</v>
      </c>
      <c r="C59" s="27" t="s">
        <v>219</v>
      </c>
      <c r="D59" s="27" t="s">
        <v>220</v>
      </c>
      <c r="E59" s="28" t="s">
        <v>46</v>
      </c>
      <c r="F59" s="29" t="s">
        <v>46</v>
      </c>
      <c r="G59" s="30" t="s">
        <v>46</v>
      </c>
      <c r="H59" s="31"/>
      <c r="I59" s="31" t="s">
        <v>47</v>
      </c>
      <c r="J59" s="32" t="n">
        <v>10.0</v>
      </c>
      <c r="K59" s="33" t="n">
        <f>3647</f>
        <v>3647.0</v>
      </c>
      <c r="L59" s="34" t="s">
        <v>48</v>
      </c>
      <c r="M59" s="33" t="n">
        <f>3788</f>
        <v>3788.0</v>
      </c>
      <c r="N59" s="34" t="s">
        <v>197</v>
      </c>
      <c r="O59" s="33" t="n">
        <f>3500</f>
        <v>3500.0</v>
      </c>
      <c r="P59" s="34" t="s">
        <v>48</v>
      </c>
      <c r="Q59" s="33" t="n">
        <f>3699</f>
        <v>3699.0</v>
      </c>
      <c r="R59" s="34" t="s">
        <v>51</v>
      </c>
      <c r="S59" s="35" t="n">
        <f>3643.86</f>
        <v>3643.86</v>
      </c>
      <c r="T59" s="32" t="n">
        <f>255920</f>
        <v>255920.0</v>
      </c>
      <c r="U59" s="32" t="str">
        <f>"－"</f>
        <v>－</v>
      </c>
      <c r="V59" s="32" t="n">
        <f>928086250</f>
        <v>9.2808625E8</v>
      </c>
      <c r="W59" s="32" t="str">
        <f>"－"</f>
        <v>－</v>
      </c>
      <c r="X59" s="36" t="n">
        <f>22</f>
        <v>22.0</v>
      </c>
    </row>
    <row r="60">
      <c r="A60" s="27" t="s">
        <v>42</v>
      </c>
      <c r="B60" s="27" t="s">
        <v>221</v>
      </c>
      <c r="C60" s="27" t="s">
        <v>222</v>
      </c>
      <c r="D60" s="27" t="s">
        <v>223</v>
      </c>
      <c r="E60" s="28" t="s">
        <v>46</v>
      </c>
      <c r="F60" s="29" t="s">
        <v>46</v>
      </c>
      <c r="G60" s="30" t="s">
        <v>46</v>
      </c>
      <c r="H60" s="31"/>
      <c r="I60" s="31" t="s">
        <v>47</v>
      </c>
      <c r="J60" s="32" t="n">
        <v>1.0</v>
      </c>
      <c r="K60" s="33" t="n">
        <f>52720</f>
        <v>52720.0</v>
      </c>
      <c r="L60" s="34" t="s">
        <v>48</v>
      </c>
      <c r="M60" s="33" t="n">
        <f>54450</f>
        <v>54450.0</v>
      </c>
      <c r="N60" s="34" t="s">
        <v>214</v>
      </c>
      <c r="O60" s="33" t="n">
        <f>52450</f>
        <v>52450.0</v>
      </c>
      <c r="P60" s="34" t="s">
        <v>224</v>
      </c>
      <c r="Q60" s="33" t="n">
        <f>52450</f>
        <v>52450.0</v>
      </c>
      <c r="R60" s="34" t="s">
        <v>224</v>
      </c>
      <c r="S60" s="35" t="n">
        <f>53206.67</f>
        <v>53206.67</v>
      </c>
      <c r="T60" s="32" t="n">
        <f>3</f>
        <v>3.0</v>
      </c>
      <c r="U60" s="32" t="str">
        <f>"－"</f>
        <v>－</v>
      </c>
      <c r="V60" s="32" t="n">
        <f>159620</f>
        <v>159620.0</v>
      </c>
      <c r="W60" s="32" t="str">
        <f>"－"</f>
        <v>－</v>
      </c>
      <c r="X60" s="36" t="n">
        <f>3</f>
        <v>3.0</v>
      </c>
    </row>
    <row r="61">
      <c r="A61" s="27" t="s">
        <v>42</v>
      </c>
      <c r="B61" s="27" t="s">
        <v>225</v>
      </c>
      <c r="C61" s="27" t="s">
        <v>226</v>
      </c>
      <c r="D61" s="27" t="s">
        <v>227</v>
      </c>
      <c r="E61" s="28" t="s">
        <v>46</v>
      </c>
      <c r="F61" s="29" t="s">
        <v>46</v>
      </c>
      <c r="G61" s="30" t="s">
        <v>46</v>
      </c>
      <c r="H61" s="31"/>
      <c r="I61" s="31" t="s">
        <v>47</v>
      </c>
      <c r="J61" s="32" t="n">
        <v>1.0</v>
      </c>
      <c r="K61" s="33" t="n">
        <f>25130</f>
        <v>25130.0</v>
      </c>
      <c r="L61" s="34" t="s">
        <v>48</v>
      </c>
      <c r="M61" s="33" t="n">
        <f>26795</f>
        <v>26795.0</v>
      </c>
      <c r="N61" s="34" t="s">
        <v>214</v>
      </c>
      <c r="O61" s="33" t="n">
        <f>23790</f>
        <v>23790.0</v>
      </c>
      <c r="P61" s="34" t="s">
        <v>51</v>
      </c>
      <c r="Q61" s="33" t="n">
        <f>23855</f>
        <v>23855.0</v>
      </c>
      <c r="R61" s="34" t="s">
        <v>51</v>
      </c>
      <c r="S61" s="35" t="n">
        <f>24462.95</f>
        <v>24462.95</v>
      </c>
      <c r="T61" s="32" t="n">
        <f>223090</f>
        <v>223090.0</v>
      </c>
      <c r="U61" s="32" t="n">
        <f>148689</f>
        <v>148689.0</v>
      </c>
      <c r="V61" s="32" t="n">
        <f>5427605788</f>
        <v>5.427605788E9</v>
      </c>
      <c r="W61" s="32" t="n">
        <f>3616243843</f>
        <v>3.616243843E9</v>
      </c>
      <c r="X61" s="36" t="n">
        <f>22</f>
        <v>22.0</v>
      </c>
    </row>
    <row r="62">
      <c r="A62" s="27" t="s">
        <v>42</v>
      </c>
      <c r="B62" s="27" t="s">
        <v>228</v>
      </c>
      <c r="C62" s="27" t="s">
        <v>229</v>
      </c>
      <c r="D62" s="27" t="s">
        <v>230</v>
      </c>
      <c r="E62" s="28" t="s">
        <v>46</v>
      </c>
      <c r="F62" s="29" t="s">
        <v>46</v>
      </c>
      <c r="G62" s="30" t="s">
        <v>46</v>
      </c>
      <c r="H62" s="31"/>
      <c r="I62" s="31" t="s">
        <v>47</v>
      </c>
      <c r="J62" s="32" t="n">
        <v>1.0</v>
      </c>
      <c r="K62" s="33" t="n">
        <f>12220</f>
        <v>12220.0</v>
      </c>
      <c r="L62" s="34" t="s">
        <v>48</v>
      </c>
      <c r="M62" s="33" t="n">
        <f>12275</f>
        <v>12275.0</v>
      </c>
      <c r="N62" s="34" t="s">
        <v>69</v>
      </c>
      <c r="O62" s="33" t="n">
        <f>11715</f>
        <v>11715.0</v>
      </c>
      <c r="P62" s="34" t="s">
        <v>71</v>
      </c>
      <c r="Q62" s="33" t="n">
        <f>11780</f>
        <v>11780.0</v>
      </c>
      <c r="R62" s="34" t="s">
        <v>51</v>
      </c>
      <c r="S62" s="35" t="n">
        <f>11909.09</f>
        <v>11909.09</v>
      </c>
      <c r="T62" s="32" t="n">
        <f>457951</f>
        <v>457951.0</v>
      </c>
      <c r="U62" s="32" t="n">
        <f>438397</f>
        <v>438397.0</v>
      </c>
      <c r="V62" s="32" t="n">
        <f>5403799988</f>
        <v>5.403799988E9</v>
      </c>
      <c r="W62" s="32" t="n">
        <f>5170492333</f>
        <v>5.170492333E9</v>
      </c>
      <c r="X62" s="36" t="n">
        <f>22</f>
        <v>22.0</v>
      </c>
    </row>
    <row r="63">
      <c r="A63" s="27" t="s">
        <v>42</v>
      </c>
      <c r="B63" s="27" t="s">
        <v>231</v>
      </c>
      <c r="C63" s="27" t="s">
        <v>232</v>
      </c>
      <c r="D63" s="27" t="s">
        <v>233</v>
      </c>
      <c r="E63" s="28" t="s">
        <v>46</v>
      </c>
      <c r="F63" s="29" t="s">
        <v>46</v>
      </c>
      <c r="G63" s="30" t="s">
        <v>46</v>
      </c>
      <c r="H63" s="31"/>
      <c r="I63" s="31" t="s">
        <v>47</v>
      </c>
      <c r="J63" s="32" t="n">
        <v>1.0</v>
      </c>
      <c r="K63" s="33" t="n">
        <f>1889</f>
        <v>1889.0</v>
      </c>
      <c r="L63" s="34" t="s">
        <v>48</v>
      </c>
      <c r="M63" s="33" t="n">
        <f>1976</f>
        <v>1976.0</v>
      </c>
      <c r="N63" s="34" t="s">
        <v>75</v>
      </c>
      <c r="O63" s="33" t="n">
        <f>1849</f>
        <v>1849.0</v>
      </c>
      <c r="P63" s="34" t="s">
        <v>48</v>
      </c>
      <c r="Q63" s="33" t="n">
        <f>1950</f>
        <v>1950.0</v>
      </c>
      <c r="R63" s="34" t="s">
        <v>51</v>
      </c>
      <c r="S63" s="35" t="n">
        <f>1912.45</f>
        <v>1912.45</v>
      </c>
      <c r="T63" s="32" t="n">
        <f>4795625</f>
        <v>4795625.0</v>
      </c>
      <c r="U63" s="32" t="n">
        <f>1878780</f>
        <v>1878780.0</v>
      </c>
      <c r="V63" s="32" t="n">
        <f>9203160659</f>
        <v>9.203160659E9</v>
      </c>
      <c r="W63" s="32" t="n">
        <f>3603599759</f>
        <v>3.603599759E9</v>
      </c>
      <c r="X63" s="36" t="n">
        <f>22</f>
        <v>22.0</v>
      </c>
    </row>
    <row r="64">
      <c r="A64" s="27" t="s">
        <v>42</v>
      </c>
      <c r="B64" s="27" t="s">
        <v>234</v>
      </c>
      <c r="C64" s="27" t="s">
        <v>235</v>
      </c>
      <c r="D64" s="27" t="s">
        <v>236</v>
      </c>
      <c r="E64" s="28" t="s">
        <v>46</v>
      </c>
      <c r="F64" s="29" t="s">
        <v>46</v>
      </c>
      <c r="G64" s="30" t="s">
        <v>46</v>
      </c>
      <c r="H64" s="31"/>
      <c r="I64" s="31" t="s">
        <v>47</v>
      </c>
      <c r="J64" s="32" t="n">
        <v>1.0</v>
      </c>
      <c r="K64" s="33" t="n">
        <f>3190</f>
        <v>3190.0</v>
      </c>
      <c r="L64" s="34" t="s">
        <v>48</v>
      </c>
      <c r="M64" s="33" t="n">
        <f>3556</f>
        <v>3556.0</v>
      </c>
      <c r="N64" s="34" t="s">
        <v>75</v>
      </c>
      <c r="O64" s="33" t="n">
        <f>3160</f>
        <v>3160.0</v>
      </c>
      <c r="P64" s="34" t="s">
        <v>48</v>
      </c>
      <c r="Q64" s="33" t="n">
        <f>3436</f>
        <v>3436.0</v>
      </c>
      <c r="R64" s="34" t="s">
        <v>51</v>
      </c>
      <c r="S64" s="35" t="n">
        <f>3346.77</f>
        <v>3346.77</v>
      </c>
      <c r="T64" s="32" t="n">
        <f>22768386</f>
        <v>2.2768386E7</v>
      </c>
      <c r="U64" s="32" t="n">
        <f>2764419</f>
        <v>2764419.0</v>
      </c>
      <c r="V64" s="32" t="n">
        <f>75882384636</f>
        <v>7.5882384636E10</v>
      </c>
      <c r="W64" s="32" t="n">
        <f>9134331261</f>
        <v>9.134331261E9</v>
      </c>
      <c r="X64" s="36" t="n">
        <f>22</f>
        <v>22.0</v>
      </c>
    </row>
    <row r="65">
      <c r="A65" s="27" t="s">
        <v>42</v>
      </c>
      <c r="B65" s="27" t="s">
        <v>237</v>
      </c>
      <c r="C65" s="27" t="s">
        <v>238</v>
      </c>
      <c r="D65" s="27" t="s">
        <v>239</v>
      </c>
      <c r="E65" s="28" t="s">
        <v>46</v>
      </c>
      <c r="F65" s="29" t="s">
        <v>46</v>
      </c>
      <c r="G65" s="30" t="s">
        <v>46</v>
      </c>
      <c r="H65" s="31"/>
      <c r="I65" s="31" t="s">
        <v>47</v>
      </c>
      <c r="J65" s="32" t="n">
        <v>1.0</v>
      </c>
      <c r="K65" s="33" t="n">
        <f>7430</f>
        <v>7430.0</v>
      </c>
      <c r="L65" s="34" t="s">
        <v>214</v>
      </c>
      <c r="M65" s="33" t="n">
        <f>8085</f>
        <v>8085.0</v>
      </c>
      <c r="N65" s="34" t="s">
        <v>75</v>
      </c>
      <c r="O65" s="33" t="n">
        <f>7430</f>
        <v>7430.0</v>
      </c>
      <c r="P65" s="34" t="s">
        <v>214</v>
      </c>
      <c r="Q65" s="33" t="n">
        <f>7820</f>
        <v>7820.0</v>
      </c>
      <c r="R65" s="34" t="s">
        <v>51</v>
      </c>
      <c r="S65" s="35" t="n">
        <f>7891</f>
        <v>7891.0</v>
      </c>
      <c r="T65" s="32" t="n">
        <f>29</f>
        <v>29.0</v>
      </c>
      <c r="U65" s="32" t="str">
        <f>"－"</f>
        <v>－</v>
      </c>
      <c r="V65" s="32" t="n">
        <f>230162</f>
        <v>230162.0</v>
      </c>
      <c r="W65" s="32" t="str">
        <f>"－"</f>
        <v>－</v>
      </c>
      <c r="X65" s="36" t="n">
        <f>5</f>
        <v>5.0</v>
      </c>
    </row>
    <row r="66">
      <c r="A66" s="27" t="s">
        <v>42</v>
      </c>
      <c r="B66" s="27" t="s">
        <v>240</v>
      </c>
      <c r="C66" s="27" t="s">
        <v>241</v>
      </c>
      <c r="D66" s="27" t="s">
        <v>242</v>
      </c>
      <c r="E66" s="28" t="s">
        <v>46</v>
      </c>
      <c r="F66" s="29" t="s">
        <v>46</v>
      </c>
      <c r="G66" s="30" t="s">
        <v>46</v>
      </c>
      <c r="H66" s="31"/>
      <c r="I66" s="31" t="s">
        <v>47</v>
      </c>
      <c r="J66" s="32" t="n">
        <v>1.0</v>
      </c>
      <c r="K66" s="33" t="n">
        <f>25605</f>
        <v>25605.0</v>
      </c>
      <c r="L66" s="34" t="s">
        <v>48</v>
      </c>
      <c r="M66" s="33" t="n">
        <f>26400</f>
        <v>26400.0</v>
      </c>
      <c r="N66" s="34" t="s">
        <v>58</v>
      </c>
      <c r="O66" s="33" t="n">
        <f>24235</f>
        <v>24235.0</v>
      </c>
      <c r="P66" s="34" t="s">
        <v>75</v>
      </c>
      <c r="Q66" s="33" t="n">
        <f>25130</f>
        <v>25130.0</v>
      </c>
      <c r="R66" s="34" t="s">
        <v>51</v>
      </c>
      <c r="S66" s="35" t="n">
        <f>25181.82</f>
        <v>25181.82</v>
      </c>
      <c r="T66" s="32" t="n">
        <f>23994</f>
        <v>23994.0</v>
      </c>
      <c r="U66" s="32" t="n">
        <f>4</f>
        <v>4.0</v>
      </c>
      <c r="V66" s="32" t="n">
        <f>604563609</f>
        <v>6.04563609E8</v>
      </c>
      <c r="W66" s="32" t="n">
        <f>99004</f>
        <v>99004.0</v>
      </c>
      <c r="X66" s="36" t="n">
        <f>22</f>
        <v>22.0</v>
      </c>
    </row>
    <row r="67">
      <c r="A67" s="27" t="s">
        <v>42</v>
      </c>
      <c r="B67" s="27" t="s">
        <v>243</v>
      </c>
      <c r="C67" s="27" t="s">
        <v>244</v>
      </c>
      <c r="D67" s="27" t="s">
        <v>245</v>
      </c>
      <c r="E67" s="28" t="s">
        <v>46</v>
      </c>
      <c r="F67" s="29" t="s">
        <v>46</v>
      </c>
      <c r="G67" s="30" t="s">
        <v>46</v>
      </c>
      <c r="H67" s="31"/>
      <c r="I67" s="31" t="s">
        <v>47</v>
      </c>
      <c r="J67" s="32" t="n">
        <v>1.0</v>
      </c>
      <c r="K67" s="33" t="n">
        <f>43430</f>
        <v>43430.0</v>
      </c>
      <c r="L67" s="34" t="s">
        <v>48</v>
      </c>
      <c r="M67" s="33" t="n">
        <f>44840</f>
        <v>44840.0</v>
      </c>
      <c r="N67" s="34" t="s">
        <v>62</v>
      </c>
      <c r="O67" s="33" t="n">
        <f>42670</f>
        <v>42670.0</v>
      </c>
      <c r="P67" s="34" t="s">
        <v>50</v>
      </c>
      <c r="Q67" s="33" t="n">
        <f>43590</f>
        <v>43590.0</v>
      </c>
      <c r="R67" s="34" t="s">
        <v>51</v>
      </c>
      <c r="S67" s="35" t="n">
        <f>43844.09</f>
        <v>43844.09</v>
      </c>
      <c r="T67" s="32" t="n">
        <f>147472</f>
        <v>147472.0</v>
      </c>
      <c r="U67" s="32" t="n">
        <f>104203</f>
        <v>104203.0</v>
      </c>
      <c r="V67" s="32" t="n">
        <f>6440056095</f>
        <v>6.440056095E9</v>
      </c>
      <c r="W67" s="32" t="n">
        <f>4543506275</f>
        <v>4.543506275E9</v>
      </c>
      <c r="X67" s="36" t="n">
        <f>22</f>
        <v>22.0</v>
      </c>
    </row>
    <row r="68">
      <c r="A68" s="27" t="s">
        <v>42</v>
      </c>
      <c r="B68" s="27" t="s">
        <v>246</v>
      </c>
      <c r="C68" s="27" t="s">
        <v>247</v>
      </c>
      <c r="D68" s="27" t="s">
        <v>248</v>
      </c>
      <c r="E68" s="28" t="s">
        <v>46</v>
      </c>
      <c r="F68" s="29" t="s">
        <v>46</v>
      </c>
      <c r="G68" s="30" t="s">
        <v>46</v>
      </c>
      <c r="H68" s="31"/>
      <c r="I68" s="31" t="s">
        <v>47</v>
      </c>
      <c r="J68" s="32" t="n">
        <v>1.0</v>
      </c>
      <c r="K68" s="33" t="n">
        <f>11695</f>
        <v>11695.0</v>
      </c>
      <c r="L68" s="34" t="s">
        <v>48</v>
      </c>
      <c r="M68" s="33" t="n">
        <f>11800</f>
        <v>11800.0</v>
      </c>
      <c r="N68" s="34" t="s">
        <v>75</v>
      </c>
      <c r="O68" s="33" t="n">
        <f>11455</f>
        <v>11455.0</v>
      </c>
      <c r="P68" s="34" t="s">
        <v>249</v>
      </c>
      <c r="Q68" s="33" t="n">
        <f>11800</f>
        <v>11800.0</v>
      </c>
      <c r="R68" s="34" t="s">
        <v>51</v>
      </c>
      <c r="S68" s="35" t="n">
        <f>11673.18</f>
        <v>11673.18</v>
      </c>
      <c r="T68" s="32" t="n">
        <f>7519</f>
        <v>7519.0</v>
      </c>
      <c r="U68" s="32" t="n">
        <f>390</f>
        <v>390.0</v>
      </c>
      <c r="V68" s="32" t="n">
        <f>87422613</f>
        <v>8.7422613E7</v>
      </c>
      <c r="W68" s="32" t="n">
        <f>4542078</f>
        <v>4542078.0</v>
      </c>
      <c r="X68" s="36" t="n">
        <f>22</f>
        <v>22.0</v>
      </c>
    </row>
    <row r="69">
      <c r="A69" s="27" t="s">
        <v>42</v>
      </c>
      <c r="B69" s="27" t="s">
        <v>250</v>
      </c>
      <c r="C69" s="27" t="s">
        <v>251</v>
      </c>
      <c r="D69" s="27" t="s">
        <v>252</v>
      </c>
      <c r="E69" s="28" t="s">
        <v>46</v>
      </c>
      <c r="F69" s="29" t="s">
        <v>46</v>
      </c>
      <c r="G69" s="30" t="s">
        <v>46</v>
      </c>
      <c r="H69" s="31"/>
      <c r="I69" s="31" t="s">
        <v>47</v>
      </c>
      <c r="J69" s="32" t="n">
        <v>1.0</v>
      </c>
      <c r="K69" s="33" t="n">
        <f>1690</f>
        <v>1690.0</v>
      </c>
      <c r="L69" s="34" t="s">
        <v>48</v>
      </c>
      <c r="M69" s="33" t="n">
        <f>1693</f>
        <v>1693.0</v>
      </c>
      <c r="N69" s="34" t="s">
        <v>214</v>
      </c>
      <c r="O69" s="33" t="n">
        <f>1621</f>
        <v>1621.0</v>
      </c>
      <c r="P69" s="34" t="s">
        <v>197</v>
      </c>
      <c r="Q69" s="33" t="n">
        <f>1635</f>
        <v>1635.0</v>
      </c>
      <c r="R69" s="34" t="s">
        <v>51</v>
      </c>
      <c r="S69" s="35" t="n">
        <f>1652.82</f>
        <v>1652.82</v>
      </c>
      <c r="T69" s="32" t="n">
        <f>1318151</f>
        <v>1318151.0</v>
      </c>
      <c r="U69" s="32" t="n">
        <f>927418</f>
        <v>927418.0</v>
      </c>
      <c r="V69" s="32" t="n">
        <f>2166047316</f>
        <v>2.166047316E9</v>
      </c>
      <c r="W69" s="32" t="n">
        <f>1519535081</f>
        <v>1.519535081E9</v>
      </c>
      <c r="X69" s="36" t="n">
        <f>22</f>
        <v>22.0</v>
      </c>
    </row>
    <row r="70">
      <c r="A70" s="27" t="s">
        <v>42</v>
      </c>
      <c r="B70" s="27" t="s">
        <v>253</v>
      </c>
      <c r="C70" s="27" t="s">
        <v>254</v>
      </c>
      <c r="D70" s="27" t="s">
        <v>255</v>
      </c>
      <c r="E70" s="28" t="s">
        <v>46</v>
      </c>
      <c r="F70" s="29" t="s">
        <v>46</v>
      </c>
      <c r="G70" s="30" t="s">
        <v>46</v>
      </c>
      <c r="H70" s="31"/>
      <c r="I70" s="31" t="s">
        <v>47</v>
      </c>
      <c r="J70" s="32" t="n">
        <v>1.0</v>
      </c>
      <c r="K70" s="33" t="n">
        <f>1756</f>
        <v>1756.0</v>
      </c>
      <c r="L70" s="34" t="s">
        <v>48</v>
      </c>
      <c r="M70" s="33" t="n">
        <f>1766</f>
        <v>1766.0</v>
      </c>
      <c r="N70" s="34" t="s">
        <v>49</v>
      </c>
      <c r="O70" s="33" t="n">
        <f>1718</f>
        <v>1718.0</v>
      </c>
      <c r="P70" s="34" t="s">
        <v>51</v>
      </c>
      <c r="Q70" s="33" t="n">
        <f>1728</f>
        <v>1728.0</v>
      </c>
      <c r="R70" s="34" t="s">
        <v>51</v>
      </c>
      <c r="S70" s="35" t="n">
        <f>1738.09</f>
        <v>1738.09</v>
      </c>
      <c r="T70" s="32" t="n">
        <f>309548</f>
        <v>309548.0</v>
      </c>
      <c r="U70" s="32" t="n">
        <f>15</f>
        <v>15.0</v>
      </c>
      <c r="V70" s="32" t="n">
        <f>536850084</f>
        <v>5.36850084E8</v>
      </c>
      <c r="W70" s="32" t="n">
        <f>24060</f>
        <v>24060.0</v>
      </c>
      <c r="X70" s="36" t="n">
        <f>22</f>
        <v>22.0</v>
      </c>
    </row>
    <row r="71">
      <c r="A71" s="27" t="s">
        <v>42</v>
      </c>
      <c r="B71" s="27" t="s">
        <v>256</v>
      </c>
      <c r="C71" s="27" t="s">
        <v>257</v>
      </c>
      <c r="D71" s="27" t="s">
        <v>258</v>
      </c>
      <c r="E71" s="28" t="s">
        <v>46</v>
      </c>
      <c r="F71" s="29" t="s">
        <v>46</v>
      </c>
      <c r="G71" s="30" t="s">
        <v>46</v>
      </c>
      <c r="H71" s="31"/>
      <c r="I71" s="31" t="s">
        <v>47</v>
      </c>
      <c r="J71" s="32" t="n">
        <v>1.0</v>
      </c>
      <c r="K71" s="33" t="n">
        <f>32700</f>
        <v>32700.0</v>
      </c>
      <c r="L71" s="34" t="s">
        <v>48</v>
      </c>
      <c r="M71" s="33" t="n">
        <f>33370</f>
        <v>33370.0</v>
      </c>
      <c r="N71" s="34" t="s">
        <v>58</v>
      </c>
      <c r="O71" s="33" t="n">
        <f>31050</f>
        <v>31050.0</v>
      </c>
      <c r="P71" s="34" t="s">
        <v>50</v>
      </c>
      <c r="Q71" s="33" t="n">
        <f>32030</f>
        <v>32030.0</v>
      </c>
      <c r="R71" s="34" t="s">
        <v>51</v>
      </c>
      <c r="S71" s="35" t="n">
        <f>32321.36</f>
        <v>32321.36</v>
      </c>
      <c r="T71" s="32" t="n">
        <f>9292</f>
        <v>9292.0</v>
      </c>
      <c r="U71" s="32" t="n">
        <f>3002</f>
        <v>3002.0</v>
      </c>
      <c r="V71" s="32" t="n">
        <f>297293732</f>
        <v>2.97293732E8</v>
      </c>
      <c r="W71" s="32" t="n">
        <f>94578342</f>
        <v>9.4578342E7</v>
      </c>
      <c r="X71" s="36" t="n">
        <f>22</f>
        <v>22.0</v>
      </c>
    </row>
    <row r="72">
      <c r="A72" s="27" t="s">
        <v>42</v>
      </c>
      <c r="B72" s="27" t="s">
        <v>259</v>
      </c>
      <c r="C72" s="27" t="s">
        <v>260</v>
      </c>
      <c r="D72" s="27" t="s">
        <v>261</v>
      </c>
      <c r="E72" s="28" t="s">
        <v>46</v>
      </c>
      <c r="F72" s="29" t="s">
        <v>46</v>
      </c>
      <c r="G72" s="30" t="s">
        <v>46</v>
      </c>
      <c r="H72" s="31"/>
      <c r="I72" s="31" t="s">
        <v>47</v>
      </c>
      <c r="J72" s="32" t="n">
        <v>1.0</v>
      </c>
      <c r="K72" s="33" t="n">
        <f>8630</f>
        <v>8630.0</v>
      </c>
      <c r="L72" s="34" t="s">
        <v>48</v>
      </c>
      <c r="M72" s="33" t="n">
        <f>9279</f>
        <v>9279.0</v>
      </c>
      <c r="N72" s="34" t="s">
        <v>75</v>
      </c>
      <c r="O72" s="33" t="n">
        <f>8510</f>
        <v>8510.0</v>
      </c>
      <c r="P72" s="34" t="s">
        <v>69</v>
      </c>
      <c r="Q72" s="33" t="n">
        <f>9100</f>
        <v>9100.0</v>
      </c>
      <c r="R72" s="34" t="s">
        <v>51</v>
      </c>
      <c r="S72" s="35" t="n">
        <f>8867.29</f>
        <v>8867.29</v>
      </c>
      <c r="T72" s="32" t="n">
        <f>4328</f>
        <v>4328.0</v>
      </c>
      <c r="U72" s="32" t="str">
        <f>"－"</f>
        <v>－</v>
      </c>
      <c r="V72" s="32" t="n">
        <f>38520570</f>
        <v>3.852057E7</v>
      </c>
      <c r="W72" s="32" t="str">
        <f>"－"</f>
        <v>－</v>
      </c>
      <c r="X72" s="36" t="n">
        <f>21</f>
        <v>21.0</v>
      </c>
    </row>
    <row r="73">
      <c r="A73" s="27" t="s">
        <v>42</v>
      </c>
      <c r="B73" s="27" t="s">
        <v>262</v>
      </c>
      <c r="C73" s="27" t="s">
        <v>263</v>
      </c>
      <c r="D73" s="27" t="s">
        <v>264</v>
      </c>
      <c r="E73" s="28" t="s">
        <v>46</v>
      </c>
      <c r="F73" s="29" t="s">
        <v>46</v>
      </c>
      <c r="G73" s="30" t="s">
        <v>46</v>
      </c>
      <c r="H73" s="31"/>
      <c r="I73" s="31" t="s">
        <v>47</v>
      </c>
      <c r="J73" s="32" t="n">
        <v>1.0</v>
      </c>
      <c r="K73" s="33" t="n">
        <f>19520</f>
        <v>19520.0</v>
      </c>
      <c r="L73" s="34" t="s">
        <v>48</v>
      </c>
      <c r="M73" s="33" t="n">
        <f>20415</f>
        <v>20415.0</v>
      </c>
      <c r="N73" s="34" t="s">
        <v>58</v>
      </c>
      <c r="O73" s="33" t="n">
        <f>19350</f>
        <v>19350.0</v>
      </c>
      <c r="P73" s="34" t="s">
        <v>48</v>
      </c>
      <c r="Q73" s="33" t="n">
        <f>19720</f>
        <v>19720.0</v>
      </c>
      <c r="R73" s="34" t="s">
        <v>51</v>
      </c>
      <c r="S73" s="35" t="n">
        <f>19882.5</f>
        <v>19882.5</v>
      </c>
      <c r="T73" s="32" t="n">
        <f>4303950</f>
        <v>4303950.0</v>
      </c>
      <c r="U73" s="32" t="n">
        <f>144983</f>
        <v>144983.0</v>
      </c>
      <c r="V73" s="32" t="n">
        <f>85575701677</f>
        <v>8.5575701677E10</v>
      </c>
      <c r="W73" s="32" t="n">
        <f>2872591032</f>
        <v>2.872591032E9</v>
      </c>
      <c r="X73" s="36" t="n">
        <f>22</f>
        <v>22.0</v>
      </c>
    </row>
    <row r="74">
      <c r="A74" s="27" t="s">
        <v>42</v>
      </c>
      <c r="B74" s="27" t="s">
        <v>265</v>
      </c>
      <c r="C74" s="27" t="s">
        <v>266</v>
      </c>
      <c r="D74" s="27" t="s">
        <v>267</v>
      </c>
      <c r="E74" s="28" t="s">
        <v>46</v>
      </c>
      <c r="F74" s="29" t="s">
        <v>46</v>
      </c>
      <c r="G74" s="30" t="s">
        <v>46</v>
      </c>
      <c r="H74" s="31"/>
      <c r="I74" s="31" t="s">
        <v>47</v>
      </c>
      <c r="J74" s="32" t="n">
        <v>1.0</v>
      </c>
      <c r="K74" s="33" t="n">
        <f>7343</f>
        <v>7343.0</v>
      </c>
      <c r="L74" s="34" t="s">
        <v>48</v>
      </c>
      <c r="M74" s="33" t="n">
        <f>7952</f>
        <v>7952.0</v>
      </c>
      <c r="N74" s="34" t="s">
        <v>100</v>
      </c>
      <c r="O74" s="33" t="n">
        <f>7227</f>
        <v>7227.0</v>
      </c>
      <c r="P74" s="34" t="s">
        <v>48</v>
      </c>
      <c r="Q74" s="33" t="n">
        <f>7697</f>
        <v>7697.0</v>
      </c>
      <c r="R74" s="34" t="s">
        <v>51</v>
      </c>
      <c r="S74" s="35" t="n">
        <f>7662.68</f>
        <v>7662.68</v>
      </c>
      <c r="T74" s="32" t="n">
        <f>673031</f>
        <v>673031.0</v>
      </c>
      <c r="U74" s="32" t="n">
        <f>5755</f>
        <v>5755.0</v>
      </c>
      <c r="V74" s="32" t="n">
        <f>5145693884</f>
        <v>5.145693884E9</v>
      </c>
      <c r="W74" s="32" t="n">
        <f>42279274</f>
        <v>4.2279274E7</v>
      </c>
      <c r="X74" s="36" t="n">
        <f>22</f>
        <v>22.0</v>
      </c>
    </row>
    <row r="75">
      <c r="A75" s="27" t="s">
        <v>42</v>
      </c>
      <c r="B75" s="27" t="s">
        <v>268</v>
      </c>
      <c r="C75" s="27" t="s">
        <v>269</v>
      </c>
      <c r="D75" s="27" t="s">
        <v>270</v>
      </c>
      <c r="E75" s="28" t="s">
        <v>46</v>
      </c>
      <c r="F75" s="29" t="s">
        <v>46</v>
      </c>
      <c r="G75" s="30" t="s">
        <v>46</v>
      </c>
      <c r="H75" s="31"/>
      <c r="I75" s="31" t="s">
        <v>47</v>
      </c>
      <c r="J75" s="32" t="n">
        <v>1.0</v>
      </c>
      <c r="K75" s="33" t="n">
        <f>27650</f>
        <v>27650.0</v>
      </c>
      <c r="L75" s="34" t="s">
        <v>48</v>
      </c>
      <c r="M75" s="33" t="n">
        <f>30100</f>
        <v>30100.0</v>
      </c>
      <c r="N75" s="34" t="s">
        <v>58</v>
      </c>
      <c r="O75" s="33" t="n">
        <f>26000</f>
        <v>26000.0</v>
      </c>
      <c r="P75" s="34" t="s">
        <v>50</v>
      </c>
      <c r="Q75" s="33" t="n">
        <f>27105</f>
        <v>27105.0</v>
      </c>
      <c r="R75" s="34" t="s">
        <v>51</v>
      </c>
      <c r="S75" s="35" t="n">
        <f>27944.77</f>
        <v>27944.77</v>
      </c>
      <c r="T75" s="32" t="n">
        <f>1415247</f>
        <v>1415247.0</v>
      </c>
      <c r="U75" s="32" t="n">
        <f>15712</f>
        <v>15712.0</v>
      </c>
      <c r="V75" s="32" t="n">
        <f>39557487530</f>
        <v>3.955748753E10</v>
      </c>
      <c r="W75" s="32" t="n">
        <f>440257325</f>
        <v>4.40257325E8</v>
      </c>
      <c r="X75" s="36" t="n">
        <f>22</f>
        <v>22.0</v>
      </c>
    </row>
    <row r="76">
      <c r="A76" s="27" t="s">
        <v>42</v>
      </c>
      <c r="B76" s="27" t="s">
        <v>271</v>
      </c>
      <c r="C76" s="27" t="s">
        <v>272</v>
      </c>
      <c r="D76" s="27" t="s">
        <v>273</v>
      </c>
      <c r="E76" s="28" t="s">
        <v>46</v>
      </c>
      <c r="F76" s="29" t="s">
        <v>46</v>
      </c>
      <c r="G76" s="30" t="s">
        <v>46</v>
      </c>
      <c r="H76" s="31"/>
      <c r="I76" s="31" t="s">
        <v>47</v>
      </c>
      <c r="J76" s="32" t="n">
        <v>1.0</v>
      </c>
      <c r="K76" s="33" t="n">
        <f>56460</f>
        <v>56460.0</v>
      </c>
      <c r="L76" s="34" t="s">
        <v>48</v>
      </c>
      <c r="M76" s="33" t="n">
        <f>61800</f>
        <v>61800.0</v>
      </c>
      <c r="N76" s="34" t="s">
        <v>274</v>
      </c>
      <c r="O76" s="33" t="n">
        <f>55550</f>
        <v>55550.0</v>
      </c>
      <c r="P76" s="34" t="s">
        <v>48</v>
      </c>
      <c r="Q76" s="33" t="n">
        <f>60200</f>
        <v>60200.0</v>
      </c>
      <c r="R76" s="34" t="s">
        <v>51</v>
      </c>
      <c r="S76" s="35" t="n">
        <f>58921.36</f>
        <v>58921.36</v>
      </c>
      <c r="T76" s="32" t="n">
        <f>9119</f>
        <v>9119.0</v>
      </c>
      <c r="U76" s="32" t="n">
        <f>113</f>
        <v>113.0</v>
      </c>
      <c r="V76" s="32" t="n">
        <f>540190832</f>
        <v>5.40190832E8</v>
      </c>
      <c r="W76" s="32" t="n">
        <f>6634282</f>
        <v>6634282.0</v>
      </c>
      <c r="X76" s="36" t="n">
        <f>22</f>
        <v>22.0</v>
      </c>
    </row>
    <row r="77">
      <c r="A77" s="27" t="s">
        <v>42</v>
      </c>
      <c r="B77" s="27" t="s">
        <v>275</v>
      </c>
      <c r="C77" s="27" t="s">
        <v>276</v>
      </c>
      <c r="D77" s="27" t="s">
        <v>277</v>
      </c>
      <c r="E77" s="28" t="s">
        <v>46</v>
      </c>
      <c r="F77" s="29" t="s">
        <v>46</v>
      </c>
      <c r="G77" s="30" t="s">
        <v>46</v>
      </c>
      <c r="H77" s="31"/>
      <c r="I77" s="31" t="s">
        <v>47</v>
      </c>
      <c r="J77" s="32" t="n">
        <v>10.0</v>
      </c>
      <c r="K77" s="33" t="n">
        <f>248.3</f>
        <v>248.3</v>
      </c>
      <c r="L77" s="34" t="s">
        <v>48</v>
      </c>
      <c r="M77" s="33" t="n">
        <f>249.3</f>
        <v>249.3</v>
      </c>
      <c r="N77" s="34" t="s">
        <v>48</v>
      </c>
      <c r="O77" s="33" t="n">
        <f>225.5</f>
        <v>225.5</v>
      </c>
      <c r="P77" s="34" t="s">
        <v>197</v>
      </c>
      <c r="Q77" s="33" t="n">
        <f>231.3</f>
        <v>231.3</v>
      </c>
      <c r="R77" s="34" t="s">
        <v>51</v>
      </c>
      <c r="S77" s="35" t="n">
        <f>238.34</f>
        <v>238.34</v>
      </c>
      <c r="T77" s="32" t="n">
        <f>108163530</f>
        <v>1.0816353E8</v>
      </c>
      <c r="U77" s="32" t="n">
        <f>8769760</f>
        <v>8769760.0</v>
      </c>
      <c r="V77" s="32" t="n">
        <f>25685729507</f>
        <v>2.5685729507E10</v>
      </c>
      <c r="W77" s="32" t="n">
        <f>2047784855</f>
        <v>2.047784855E9</v>
      </c>
      <c r="X77" s="36" t="n">
        <f>22</f>
        <v>22.0</v>
      </c>
    </row>
    <row r="78">
      <c r="A78" s="27" t="s">
        <v>42</v>
      </c>
      <c r="B78" s="27" t="s">
        <v>278</v>
      </c>
      <c r="C78" s="27" t="s">
        <v>279</v>
      </c>
      <c r="D78" s="27" t="s">
        <v>280</v>
      </c>
      <c r="E78" s="28" t="s">
        <v>46</v>
      </c>
      <c r="F78" s="29" t="s">
        <v>46</v>
      </c>
      <c r="G78" s="30" t="s">
        <v>46</v>
      </c>
      <c r="H78" s="31"/>
      <c r="I78" s="31" t="s">
        <v>47</v>
      </c>
      <c r="J78" s="32" t="n">
        <v>1.0</v>
      </c>
      <c r="K78" s="33" t="n">
        <f>83300</f>
        <v>83300.0</v>
      </c>
      <c r="L78" s="34" t="s">
        <v>48</v>
      </c>
      <c r="M78" s="33" t="n">
        <f>84790</f>
        <v>84790.0</v>
      </c>
      <c r="N78" s="34" t="s">
        <v>75</v>
      </c>
      <c r="O78" s="33" t="n">
        <f>82170</f>
        <v>82170.0</v>
      </c>
      <c r="P78" s="34" t="s">
        <v>51</v>
      </c>
      <c r="Q78" s="33" t="n">
        <f>82580</f>
        <v>82580.0</v>
      </c>
      <c r="R78" s="34" t="s">
        <v>51</v>
      </c>
      <c r="S78" s="35" t="n">
        <f>83441.82</f>
        <v>83441.82</v>
      </c>
      <c r="T78" s="32" t="n">
        <f>35869</f>
        <v>35869.0</v>
      </c>
      <c r="U78" s="32" t="n">
        <f>4587</f>
        <v>4587.0</v>
      </c>
      <c r="V78" s="32" t="n">
        <f>2988485709</f>
        <v>2.988485709E9</v>
      </c>
      <c r="W78" s="32" t="n">
        <f>378446239</f>
        <v>3.78446239E8</v>
      </c>
      <c r="X78" s="36" t="n">
        <f>22</f>
        <v>22.0</v>
      </c>
    </row>
    <row r="79">
      <c r="A79" s="27" t="s">
        <v>42</v>
      </c>
      <c r="B79" s="27" t="s">
        <v>281</v>
      </c>
      <c r="C79" s="27" t="s">
        <v>282</v>
      </c>
      <c r="D79" s="27" t="s">
        <v>283</v>
      </c>
      <c r="E79" s="28" t="s">
        <v>46</v>
      </c>
      <c r="F79" s="29" t="s">
        <v>46</v>
      </c>
      <c r="G79" s="30" t="s">
        <v>46</v>
      </c>
      <c r="H79" s="31"/>
      <c r="I79" s="31" t="s">
        <v>47</v>
      </c>
      <c r="J79" s="32" t="n">
        <v>1.0</v>
      </c>
      <c r="K79" s="33" t="n">
        <f>13230</f>
        <v>13230.0</v>
      </c>
      <c r="L79" s="34" t="s">
        <v>48</v>
      </c>
      <c r="M79" s="33" t="n">
        <f>13415</f>
        <v>13415.0</v>
      </c>
      <c r="N79" s="34" t="s">
        <v>207</v>
      </c>
      <c r="O79" s="33" t="n">
        <f>12985</f>
        <v>12985.0</v>
      </c>
      <c r="P79" s="34" t="s">
        <v>51</v>
      </c>
      <c r="Q79" s="33" t="n">
        <f>13030</f>
        <v>13030.0</v>
      </c>
      <c r="R79" s="34" t="s">
        <v>51</v>
      </c>
      <c r="S79" s="35" t="n">
        <f>13211.14</f>
        <v>13211.14</v>
      </c>
      <c r="T79" s="32" t="n">
        <f>591495</f>
        <v>591495.0</v>
      </c>
      <c r="U79" s="32" t="n">
        <f>75588</f>
        <v>75588.0</v>
      </c>
      <c r="V79" s="32" t="n">
        <f>7806160821</f>
        <v>7.806160821E9</v>
      </c>
      <c r="W79" s="32" t="n">
        <f>991982221</f>
        <v>9.91982221E8</v>
      </c>
      <c r="X79" s="36" t="n">
        <f>22</f>
        <v>22.0</v>
      </c>
    </row>
    <row r="80">
      <c r="A80" s="27" t="s">
        <v>42</v>
      </c>
      <c r="B80" s="27" t="s">
        <v>284</v>
      </c>
      <c r="C80" s="27" t="s">
        <v>285</v>
      </c>
      <c r="D80" s="27" t="s">
        <v>286</v>
      </c>
      <c r="E80" s="28" t="s">
        <v>46</v>
      </c>
      <c r="F80" s="29" t="s">
        <v>46</v>
      </c>
      <c r="G80" s="30" t="s">
        <v>46</v>
      </c>
      <c r="H80" s="31"/>
      <c r="I80" s="31" t="s">
        <v>47</v>
      </c>
      <c r="J80" s="32" t="n">
        <v>1.0</v>
      </c>
      <c r="K80" s="33" t="n">
        <f>8085</f>
        <v>8085.0</v>
      </c>
      <c r="L80" s="34" t="s">
        <v>48</v>
      </c>
      <c r="M80" s="33" t="n">
        <f>8200</f>
        <v>8200.0</v>
      </c>
      <c r="N80" s="34" t="s">
        <v>62</v>
      </c>
      <c r="O80" s="33" t="n">
        <f>8040</f>
        <v>8040.0</v>
      </c>
      <c r="P80" s="34" t="s">
        <v>51</v>
      </c>
      <c r="Q80" s="33" t="n">
        <f>8048</f>
        <v>8048.0</v>
      </c>
      <c r="R80" s="34" t="s">
        <v>51</v>
      </c>
      <c r="S80" s="35" t="n">
        <f>8117.36</f>
        <v>8117.36</v>
      </c>
      <c r="T80" s="32" t="n">
        <f>138703</f>
        <v>138703.0</v>
      </c>
      <c r="U80" s="32" t="n">
        <f>63338</f>
        <v>63338.0</v>
      </c>
      <c r="V80" s="32" t="n">
        <f>1127305169</f>
        <v>1.127305169E9</v>
      </c>
      <c r="W80" s="32" t="n">
        <f>516096347</f>
        <v>5.16096347E8</v>
      </c>
      <c r="X80" s="36" t="n">
        <f>22</f>
        <v>22.0</v>
      </c>
    </row>
    <row r="81">
      <c r="A81" s="27" t="s">
        <v>42</v>
      </c>
      <c r="B81" s="27" t="s">
        <v>287</v>
      </c>
      <c r="C81" s="27" t="s">
        <v>288</v>
      </c>
      <c r="D81" s="27" t="s">
        <v>289</v>
      </c>
      <c r="E81" s="28" t="s">
        <v>46</v>
      </c>
      <c r="F81" s="29" t="s">
        <v>46</v>
      </c>
      <c r="G81" s="30" t="s">
        <v>46</v>
      </c>
      <c r="H81" s="31"/>
      <c r="I81" s="31" t="s">
        <v>47</v>
      </c>
      <c r="J81" s="32" t="n">
        <v>10.0</v>
      </c>
      <c r="K81" s="33" t="n">
        <f>7010</f>
        <v>7010.0</v>
      </c>
      <c r="L81" s="34" t="s">
        <v>69</v>
      </c>
      <c r="M81" s="33" t="n">
        <f>7391</f>
        <v>7391.0</v>
      </c>
      <c r="N81" s="34" t="s">
        <v>58</v>
      </c>
      <c r="O81" s="33" t="n">
        <f>6810</f>
        <v>6810.0</v>
      </c>
      <c r="P81" s="34" t="s">
        <v>116</v>
      </c>
      <c r="Q81" s="33" t="n">
        <f>6900</f>
        <v>6900.0</v>
      </c>
      <c r="R81" s="34" t="s">
        <v>51</v>
      </c>
      <c r="S81" s="35" t="n">
        <f>7035.6</f>
        <v>7035.6</v>
      </c>
      <c r="T81" s="32" t="n">
        <f>4620</f>
        <v>4620.0</v>
      </c>
      <c r="U81" s="32" t="str">
        <f>"－"</f>
        <v>－</v>
      </c>
      <c r="V81" s="32" t="n">
        <f>32308780</f>
        <v>3.230878E7</v>
      </c>
      <c r="W81" s="32" t="str">
        <f>"－"</f>
        <v>－</v>
      </c>
      <c r="X81" s="36" t="n">
        <f>20</f>
        <v>20.0</v>
      </c>
    </row>
    <row r="82">
      <c r="A82" s="27" t="s">
        <v>42</v>
      </c>
      <c r="B82" s="27" t="s">
        <v>290</v>
      </c>
      <c r="C82" s="27" t="s">
        <v>291</v>
      </c>
      <c r="D82" s="27" t="s">
        <v>292</v>
      </c>
      <c r="E82" s="28" t="s">
        <v>46</v>
      </c>
      <c r="F82" s="29" t="s">
        <v>46</v>
      </c>
      <c r="G82" s="30" t="s">
        <v>46</v>
      </c>
      <c r="H82" s="31"/>
      <c r="I82" s="31" t="s">
        <v>47</v>
      </c>
      <c r="J82" s="32" t="n">
        <v>1.0</v>
      </c>
      <c r="K82" s="33" t="n">
        <f>6850</f>
        <v>6850.0</v>
      </c>
      <c r="L82" s="34" t="s">
        <v>48</v>
      </c>
      <c r="M82" s="33" t="n">
        <f>6890</f>
        <v>6890.0</v>
      </c>
      <c r="N82" s="34" t="s">
        <v>249</v>
      </c>
      <c r="O82" s="33" t="n">
        <f>6723</f>
        <v>6723.0</v>
      </c>
      <c r="P82" s="34" t="s">
        <v>197</v>
      </c>
      <c r="Q82" s="33" t="n">
        <f>6745</f>
        <v>6745.0</v>
      </c>
      <c r="R82" s="34" t="s">
        <v>51</v>
      </c>
      <c r="S82" s="35" t="n">
        <f>6825.41</f>
        <v>6825.41</v>
      </c>
      <c r="T82" s="32" t="n">
        <f>36121</f>
        <v>36121.0</v>
      </c>
      <c r="U82" s="32" t="n">
        <f>328</f>
        <v>328.0</v>
      </c>
      <c r="V82" s="32" t="n">
        <f>246242600</f>
        <v>2.462426E8</v>
      </c>
      <c r="W82" s="32" t="n">
        <f>2243421</f>
        <v>2243421.0</v>
      </c>
      <c r="X82" s="36" t="n">
        <f>22</f>
        <v>22.0</v>
      </c>
    </row>
    <row r="83">
      <c r="A83" s="27" t="s">
        <v>42</v>
      </c>
      <c r="B83" s="27" t="s">
        <v>293</v>
      </c>
      <c r="C83" s="27" t="s">
        <v>294</v>
      </c>
      <c r="D83" s="27" t="s">
        <v>295</v>
      </c>
      <c r="E83" s="28" t="s">
        <v>46</v>
      </c>
      <c r="F83" s="29" t="s">
        <v>46</v>
      </c>
      <c r="G83" s="30" t="s">
        <v>46</v>
      </c>
      <c r="H83" s="31"/>
      <c r="I83" s="31" t="s">
        <v>47</v>
      </c>
      <c r="J83" s="32" t="n">
        <v>1.0</v>
      </c>
      <c r="K83" s="33" t="n">
        <f>2535</f>
        <v>2535.0</v>
      </c>
      <c r="L83" s="34" t="s">
        <v>48</v>
      </c>
      <c r="M83" s="33" t="n">
        <f>2571</f>
        <v>2571.0</v>
      </c>
      <c r="N83" s="34" t="s">
        <v>75</v>
      </c>
      <c r="O83" s="33" t="n">
        <f>2456</f>
        <v>2456.0</v>
      </c>
      <c r="P83" s="34" t="s">
        <v>160</v>
      </c>
      <c r="Q83" s="33" t="n">
        <f>2540</f>
        <v>2540.0</v>
      </c>
      <c r="R83" s="34" t="s">
        <v>51</v>
      </c>
      <c r="S83" s="35" t="n">
        <f>2509.27</f>
        <v>2509.27</v>
      </c>
      <c r="T83" s="32" t="n">
        <f>55637</f>
        <v>55637.0</v>
      </c>
      <c r="U83" s="32" t="n">
        <f>950</f>
        <v>950.0</v>
      </c>
      <c r="V83" s="32" t="n">
        <f>139900634</f>
        <v>1.39900634E8</v>
      </c>
      <c r="W83" s="32" t="n">
        <f>2397358</f>
        <v>2397358.0</v>
      </c>
      <c r="X83" s="36" t="n">
        <f>22</f>
        <v>22.0</v>
      </c>
    </row>
    <row r="84">
      <c r="A84" s="27" t="s">
        <v>42</v>
      </c>
      <c r="B84" s="27" t="s">
        <v>296</v>
      </c>
      <c r="C84" s="27" t="s">
        <v>297</v>
      </c>
      <c r="D84" s="27" t="s">
        <v>298</v>
      </c>
      <c r="E84" s="28" t="s">
        <v>46</v>
      </c>
      <c r="F84" s="29" t="s">
        <v>46</v>
      </c>
      <c r="G84" s="30" t="s">
        <v>46</v>
      </c>
      <c r="H84" s="31"/>
      <c r="I84" s="31" t="s">
        <v>47</v>
      </c>
      <c r="J84" s="32" t="n">
        <v>1.0</v>
      </c>
      <c r="K84" s="33" t="n">
        <f>120550</f>
        <v>120550.0</v>
      </c>
      <c r="L84" s="34" t="s">
        <v>48</v>
      </c>
      <c r="M84" s="33" t="n">
        <f>122650</f>
        <v>122650.0</v>
      </c>
      <c r="N84" s="34" t="s">
        <v>249</v>
      </c>
      <c r="O84" s="33" t="n">
        <f>119400</f>
        <v>119400.0</v>
      </c>
      <c r="P84" s="34" t="s">
        <v>51</v>
      </c>
      <c r="Q84" s="33" t="n">
        <f>119650</f>
        <v>119650.0</v>
      </c>
      <c r="R84" s="34" t="s">
        <v>51</v>
      </c>
      <c r="S84" s="35" t="n">
        <f>121240.91</f>
        <v>121240.91</v>
      </c>
      <c r="T84" s="32" t="n">
        <f>42532</f>
        <v>42532.0</v>
      </c>
      <c r="U84" s="32" t="n">
        <f>1329</f>
        <v>1329.0</v>
      </c>
      <c r="V84" s="32" t="n">
        <f>5155017854</f>
        <v>5.155017854E9</v>
      </c>
      <c r="W84" s="32" t="n">
        <f>160368004</f>
        <v>1.60368004E8</v>
      </c>
      <c r="X84" s="36" t="n">
        <f>22</f>
        <v>22.0</v>
      </c>
    </row>
    <row r="85">
      <c r="A85" s="27" t="s">
        <v>42</v>
      </c>
      <c r="B85" s="27" t="s">
        <v>299</v>
      </c>
      <c r="C85" s="27" t="s">
        <v>300</v>
      </c>
      <c r="D85" s="27" t="s">
        <v>301</v>
      </c>
      <c r="E85" s="28" t="s">
        <v>46</v>
      </c>
      <c r="F85" s="29" t="s">
        <v>46</v>
      </c>
      <c r="G85" s="30" t="s">
        <v>46</v>
      </c>
      <c r="H85" s="31"/>
      <c r="I85" s="31" t="s">
        <v>47</v>
      </c>
      <c r="J85" s="32" t="n">
        <v>1.0</v>
      </c>
      <c r="K85" s="33" t="n">
        <f>4748</f>
        <v>4748.0</v>
      </c>
      <c r="L85" s="34" t="s">
        <v>48</v>
      </c>
      <c r="M85" s="33" t="n">
        <f>5100</f>
        <v>5100.0</v>
      </c>
      <c r="N85" s="34" t="s">
        <v>62</v>
      </c>
      <c r="O85" s="33" t="n">
        <f>4675</f>
        <v>4675.0</v>
      </c>
      <c r="P85" s="34" t="s">
        <v>214</v>
      </c>
      <c r="Q85" s="33" t="n">
        <f>4920</f>
        <v>4920.0</v>
      </c>
      <c r="R85" s="34" t="s">
        <v>51</v>
      </c>
      <c r="S85" s="35" t="n">
        <f>4930.59</f>
        <v>4930.59</v>
      </c>
      <c r="T85" s="32" t="n">
        <f>17329</f>
        <v>17329.0</v>
      </c>
      <c r="U85" s="32" t="str">
        <f>"－"</f>
        <v>－</v>
      </c>
      <c r="V85" s="32" t="n">
        <f>85538920</f>
        <v>8.553892E7</v>
      </c>
      <c r="W85" s="32" t="str">
        <f>"－"</f>
        <v>－</v>
      </c>
      <c r="X85" s="36" t="n">
        <f>22</f>
        <v>22.0</v>
      </c>
    </row>
    <row r="86">
      <c r="A86" s="27" t="s">
        <v>42</v>
      </c>
      <c r="B86" s="27" t="s">
        <v>302</v>
      </c>
      <c r="C86" s="27" t="s">
        <v>303</v>
      </c>
      <c r="D86" s="27" t="s">
        <v>304</v>
      </c>
      <c r="E86" s="28" t="s">
        <v>46</v>
      </c>
      <c r="F86" s="29" t="s">
        <v>46</v>
      </c>
      <c r="G86" s="30" t="s">
        <v>46</v>
      </c>
      <c r="H86" s="31"/>
      <c r="I86" s="31" t="s">
        <v>47</v>
      </c>
      <c r="J86" s="32" t="n">
        <v>1.0</v>
      </c>
      <c r="K86" s="33" t="n">
        <f>6587</f>
        <v>6587.0</v>
      </c>
      <c r="L86" s="34" t="s">
        <v>48</v>
      </c>
      <c r="M86" s="33" t="n">
        <f>6820</f>
        <v>6820.0</v>
      </c>
      <c r="N86" s="34" t="s">
        <v>116</v>
      </c>
      <c r="O86" s="33" t="n">
        <f>6417</f>
        <v>6417.0</v>
      </c>
      <c r="P86" s="34" t="s">
        <v>224</v>
      </c>
      <c r="Q86" s="33" t="n">
        <f>6768</f>
        <v>6768.0</v>
      </c>
      <c r="R86" s="34" t="s">
        <v>51</v>
      </c>
      <c r="S86" s="35" t="n">
        <f>6705.14</f>
        <v>6705.14</v>
      </c>
      <c r="T86" s="32" t="n">
        <f>3617</f>
        <v>3617.0</v>
      </c>
      <c r="U86" s="32" t="str">
        <f>"－"</f>
        <v>－</v>
      </c>
      <c r="V86" s="32" t="n">
        <f>24240850</f>
        <v>2.424085E7</v>
      </c>
      <c r="W86" s="32" t="str">
        <f>"－"</f>
        <v>－</v>
      </c>
      <c r="X86" s="36" t="n">
        <f>22</f>
        <v>22.0</v>
      </c>
    </row>
    <row r="87">
      <c r="A87" s="27" t="s">
        <v>42</v>
      </c>
      <c r="B87" s="27" t="s">
        <v>305</v>
      </c>
      <c r="C87" s="27" t="s">
        <v>306</v>
      </c>
      <c r="D87" s="27" t="s">
        <v>307</v>
      </c>
      <c r="E87" s="28" t="s">
        <v>46</v>
      </c>
      <c r="F87" s="29" t="s">
        <v>46</v>
      </c>
      <c r="G87" s="30" t="s">
        <v>46</v>
      </c>
      <c r="H87" s="31"/>
      <c r="I87" s="31" t="s">
        <v>47</v>
      </c>
      <c r="J87" s="32" t="n">
        <v>1.0</v>
      </c>
      <c r="K87" s="33" t="n">
        <f>2225</f>
        <v>2225.0</v>
      </c>
      <c r="L87" s="34" t="s">
        <v>48</v>
      </c>
      <c r="M87" s="33" t="n">
        <f>2350</f>
        <v>2350.0</v>
      </c>
      <c r="N87" s="34" t="s">
        <v>58</v>
      </c>
      <c r="O87" s="33" t="n">
        <f>2050</f>
        <v>2050.0</v>
      </c>
      <c r="P87" s="34" t="s">
        <v>75</v>
      </c>
      <c r="Q87" s="33" t="n">
        <f>2133</f>
        <v>2133.0</v>
      </c>
      <c r="R87" s="34" t="s">
        <v>51</v>
      </c>
      <c r="S87" s="35" t="n">
        <f>2195.45</f>
        <v>2195.45</v>
      </c>
      <c r="T87" s="32" t="n">
        <f>316250</f>
        <v>316250.0</v>
      </c>
      <c r="U87" s="32" t="str">
        <f>"－"</f>
        <v>－</v>
      </c>
      <c r="V87" s="32" t="n">
        <f>689570389</f>
        <v>6.89570389E8</v>
      </c>
      <c r="W87" s="32" t="str">
        <f>"－"</f>
        <v>－</v>
      </c>
      <c r="X87" s="36" t="n">
        <f>22</f>
        <v>22.0</v>
      </c>
    </row>
    <row r="88">
      <c r="A88" s="27" t="s">
        <v>42</v>
      </c>
      <c r="B88" s="27" t="s">
        <v>308</v>
      </c>
      <c r="C88" s="27" t="s">
        <v>309</v>
      </c>
      <c r="D88" s="27" t="s">
        <v>310</v>
      </c>
      <c r="E88" s="28" t="s">
        <v>46</v>
      </c>
      <c r="F88" s="29" t="s">
        <v>46</v>
      </c>
      <c r="G88" s="30" t="s">
        <v>46</v>
      </c>
      <c r="H88" s="31"/>
      <c r="I88" s="31" t="s">
        <v>47</v>
      </c>
      <c r="J88" s="32" t="n">
        <v>1.0</v>
      </c>
      <c r="K88" s="33" t="n">
        <f>54870</f>
        <v>54870.0</v>
      </c>
      <c r="L88" s="34" t="s">
        <v>48</v>
      </c>
      <c r="M88" s="33" t="n">
        <f>55000</f>
        <v>55000.0</v>
      </c>
      <c r="N88" s="34" t="s">
        <v>214</v>
      </c>
      <c r="O88" s="33" t="n">
        <f>53820</f>
        <v>53820.0</v>
      </c>
      <c r="P88" s="34" t="s">
        <v>116</v>
      </c>
      <c r="Q88" s="33" t="n">
        <f>54000</f>
        <v>54000.0</v>
      </c>
      <c r="R88" s="34" t="s">
        <v>51</v>
      </c>
      <c r="S88" s="35" t="n">
        <f>54307.73</f>
        <v>54307.73</v>
      </c>
      <c r="T88" s="32" t="n">
        <f>15138</f>
        <v>15138.0</v>
      </c>
      <c r="U88" s="32" t="n">
        <f>5234</f>
        <v>5234.0</v>
      </c>
      <c r="V88" s="32" t="n">
        <f>822415790</f>
        <v>8.2241579E8</v>
      </c>
      <c r="W88" s="32" t="n">
        <f>283692160</f>
        <v>2.8369216E8</v>
      </c>
      <c r="X88" s="36" t="n">
        <f>22</f>
        <v>22.0</v>
      </c>
    </row>
    <row r="89">
      <c r="A89" s="27" t="s">
        <v>42</v>
      </c>
      <c r="B89" s="27" t="s">
        <v>311</v>
      </c>
      <c r="C89" s="27" t="s">
        <v>312</v>
      </c>
      <c r="D89" s="27" t="s">
        <v>313</v>
      </c>
      <c r="E89" s="28" t="s">
        <v>46</v>
      </c>
      <c r="F89" s="29" t="s">
        <v>46</v>
      </c>
      <c r="G89" s="30" t="s">
        <v>46</v>
      </c>
      <c r="H89" s="31"/>
      <c r="I89" s="31" t="s">
        <v>47</v>
      </c>
      <c r="J89" s="32" t="n">
        <v>10.0</v>
      </c>
      <c r="K89" s="33" t="n">
        <f>977.7</f>
        <v>977.7</v>
      </c>
      <c r="L89" s="34" t="s">
        <v>48</v>
      </c>
      <c r="M89" s="33" t="n">
        <f>1032</f>
        <v>1032.0</v>
      </c>
      <c r="N89" s="34" t="s">
        <v>49</v>
      </c>
      <c r="O89" s="33" t="n">
        <f>893.4</f>
        <v>893.4</v>
      </c>
      <c r="P89" s="34" t="s">
        <v>50</v>
      </c>
      <c r="Q89" s="33" t="n">
        <f>959.8</f>
        <v>959.8</v>
      </c>
      <c r="R89" s="34" t="s">
        <v>51</v>
      </c>
      <c r="S89" s="35" t="n">
        <f>972.6</f>
        <v>972.6</v>
      </c>
      <c r="T89" s="32" t="n">
        <f>72697030</f>
        <v>7.269703E7</v>
      </c>
      <c r="U89" s="32" t="n">
        <f>682770</f>
        <v>682770.0</v>
      </c>
      <c r="V89" s="32" t="n">
        <f>70546829756</f>
        <v>7.0546829756E10</v>
      </c>
      <c r="W89" s="32" t="n">
        <f>662677344</f>
        <v>6.62677344E8</v>
      </c>
      <c r="X89" s="36" t="n">
        <f>22</f>
        <v>22.0</v>
      </c>
    </row>
    <row r="90">
      <c r="A90" s="27" t="s">
        <v>42</v>
      </c>
      <c r="B90" s="27" t="s">
        <v>314</v>
      </c>
      <c r="C90" s="27" t="s">
        <v>315</v>
      </c>
      <c r="D90" s="27" t="s">
        <v>316</v>
      </c>
      <c r="E90" s="28" t="s">
        <v>46</v>
      </c>
      <c r="F90" s="29" t="s">
        <v>46</v>
      </c>
      <c r="G90" s="30" t="s">
        <v>46</v>
      </c>
      <c r="H90" s="31"/>
      <c r="I90" s="31" t="s">
        <v>47</v>
      </c>
      <c r="J90" s="32" t="n">
        <v>10.0</v>
      </c>
      <c r="K90" s="33" t="n">
        <f>753</f>
        <v>753.0</v>
      </c>
      <c r="L90" s="34" t="s">
        <v>48</v>
      </c>
      <c r="M90" s="33" t="n">
        <f>783.3</f>
        <v>783.3</v>
      </c>
      <c r="N90" s="34" t="s">
        <v>50</v>
      </c>
      <c r="O90" s="33" t="n">
        <f>733</f>
        <v>733.0</v>
      </c>
      <c r="P90" s="34" t="s">
        <v>49</v>
      </c>
      <c r="Q90" s="33" t="n">
        <f>753.5</f>
        <v>753.5</v>
      </c>
      <c r="R90" s="34" t="s">
        <v>51</v>
      </c>
      <c r="S90" s="35" t="n">
        <f>752.54</f>
        <v>752.54</v>
      </c>
      <c r="T90" s="32" t="n">
        <f>3229330</f>
        <v>3229330.0</v>
      </c>
      <c r="U90" s="32" t="n">
        <f>4910</f>
        <v>4910.0</v>
      </c>
      <c r="V90" s="32" t="n">
        <f>2427874818</f>
        <v>2.427874818E9</v>
      </c>
      <c r="W90" s="32" t="n">
        <f>3723867</f>
        <v>3723867.0</v>
      </c>
      <c r="X90" s="36" t="n">
        <f>22</f>
        <v>22.0</v>
      </c>
    </row>
    <row r="91">
      <c r="A91" s="27" t="s">
        <v>42</v>
      </c>
      <c r="B91" s="27" t="s">
        <v>317</v>
      </c>
      <c r="C91" s="27" t="s">
        <v>318</v>
      </c>
      <c r="D91" s="27" t="s">
        <v>319</v>
      </c>
      <c r="E91" s="28" t="s">
        <v>46</v>
      </c>
      <c r="F91" s="29" t="s">
        <v>46</v>
      </c>
      <c r="G91" s="30" t="s">
        <v>46</v>
      </c>
      <c r="H91" s="31"/>
      <c r="I91" s="31" t="s">
        <v>47</v>
      </c>
      <c r="J91" s="32" t="n">
        <v>1.0</v>
      </c>
      <c r="K91" s="33" t="n">
        <f>82300</f>
        <v>82300.0</v>
      </c>
      <c r="L91" s="34" t="s">
        <v>48</v>
      </c>
      <c r="M91" s="33" t="n">
        <f>83580</f>
        <v>83580.0</v>
      </c>
      <c r="N91" s="34" t="s">
        <v>48</v>
      </c>
      <c r="O91" s="33" t="n">
        <f>58280</f>
        <v>58280.0</v>
      </c>
      <c r="P91" s="34" t="s">
        <v>75</v>
      </c>
      <c r="Q91" s="33" t="n">
        <f>66020</f>
        <v>66020.0</v>
      </c>
      <c r="R91" s="34" t="s">
        <v>51</v>
      </c>
      <c r="S91" s="35" t="n">
        <f>71205.91</f>
        <v>71205.91</v>
      </c>
      <c r="T91" s="32" t="n">
        <f>76582053</f>
        <v>7.6582053E7</v>
      </c>
      <c r="U91" s="32" t="n">
        <f>663804</f>
        <v>663804.0</v>
      </c>
      <c r="V91" s="32" t="n">
        <f>5449321499857</f>
        <v>5.449321499857E12</v>
      </c>
      <c r="W91" s="32" t="n">
        <f>47024819347</f>
        <v>4.7024819347E10</v>
      </c>
      <c r="X91" s="36" t="n">
        <f>22</f>
        <v>22.0</v>
      </c>
    </row>
    <row r="92">
      <c r="A92" s="27" t="s">
        <v>42</v>
      </c>
      <c r="B92" s="27" t="s">
        <v>320</v>
      </c>
      <c r="C92" s="27" t="s">
        <v>321</v>
      </c>
      <c r="D92" s="27" t="s">
        <v>322</v>
      </c>
      <c r="E92" s="28" t="s">
        <v>46</v>
      </c>
      <c r="F92" s="29" t="s">
        <v>46</v>
      </c>
      <c r="G92" s="30" t="s">
        <v>46</v>
      </c>
      <c r="H92" s="31"/>
      <c r="I92" s="31" t="s">
        <v>47</v>
      </c>
      <c r="J92" s="32" t="n">
        <v>1.0</v>
      </c>
      <c r="K92" s="33" t="n">
        <f>279</f>
        <v>279.0</v>
      </c>
      <c r="L92" s="34" t="s">
        <v>48</v>
      </c>
      <c r="M92" s="33" t="n">
        <f>325</f>
        <v>325.0</v>
      </c>
      <c r="N92" s="34" t="s">
        <v>75</v>
      </c>
      <c r="O92" s="33" t="n">
        <f>275</f>
        <v>275.0</v>
      </c>
      <c r="P92" s="34" t="s">
        <v>48</v>
      </c>
      <c r="Q92" s="33" t="n">
        <f>304</f>
        <v>304.0</v>
      </c>
      <c r="R92" s="34" t="s">
        <v>51</v>
      </c>
      <c r="S92" s="35" t="n">
        <f>297</f>
        <v>297.0</v>
      </c>
      <c r="T92" s="32" t="n">
        <f>47134963</f>
        <v>4.7134963E7</v>
      </c>
      <c r="U92" s="32" t="n">
        <f>5478565</f>
        <v>5478565.0</v>
      </c>
      <c r="V92" s="32" t="n">
        <f>14060989127</f>
        <v>1.4060989127E10</v>
      </c>
      <c r="W92" s="32" t="n">
        <f>1693004355</f>
        <v>1.693004355E9</v>
      </c>
      <c r="X92" s="36" t="n">
        <f>22</f>
        <v>22.0</v>
      </c>
    </row>
    <row r="93">
      <c r="A93" s="27" t="s">
        <v>42</v>
      </c>
      <c r="B93" s="27" t="s">
        <v>323</v>
      </c>
      <c r="C93" s="27" t="s">
        <v>324</v>
      </c>
      <c r="D93" s="27" t="s">
        <v>325</v>
      </c>
      <c r="E93" s="28" t="s">
        <v>46</v>
      </c>
      <c r="F93" s="29" t="s">
        <v>46</v>
      </c>
      <c r="G93" s="30" t="s">
        <v>46</v>
      </c>
      <c r="H93" s="31"/>
      <c r="I93" s="31" t="s">
        <v>47</v>
      </c>
      <c r="J93" s="32" t="n">
        <v>10.0</v>
      </c>
      <c r="K93" s="33" t="n">
        <f>5741</f>
        <v>5741.0</v>
      </c>
      <c r="L93" s="34" t="s">
        <v>48</v>
      </c>
      <c r="M93" s="33" t="n">
        <f>7750</f>
        <v>7750.0</v>
      </c>
      <c r="N93" s="34" t="s">
        <v>51</v>
      </c>
      <c r="O93" s="33" t="n">
        <f>5730</f>
        <v>5730.0</v>
      </c>
      <c r="P93" s="34" t="s">
        <v>48</v>
      </c>
      <c r="Q93" s="33" t="n">
        <f>7380</f>
        <v>7380.0</v>
      </c>
      <c r="R93" s="34" t="s">
        <v>51</v>
      </c>
      <c r="S93" s="35" t="n">
        <f>6747.32</f>
        <v>6747.32</v>
      </c>
      <c r="T93" s="32" t="n">
        <f>148710</f>
        <v>148710.0</v>
      </c>
      <c r="U93" s="32" t="str">
        <f>"－"</f>
        <v>－</v>
      </c>
      <c r="V93" s="32" t="n">
        <f>981103990</f>
        <v>9.8110399E8</v>
      </c>
      <c r="W93" s="32" t="str">
        <f>"－"</f>
        <v>－</v>
      </c>
      <c r="X93" s="36" t="n">
        <f>22</f>
        <v>22.0</v>
      </c>
    </row>
    <row r="94">
      <c r="A94" s="27" t="s">
        <v>42</v>
      </c>
      <c r="B94" s="27" t="s">
        <v>326</v>
      </c>
      <c r="C94" s="27" t="s">
        <v>327</v>
      </c>
      <c r="D94" s="27" t="s">
        <v>328</v>
      </c>
      <c r="E94" s="28" t="s">
        <v>46</v>
      </c>
      <c r="F94" s="29" t="s">
        <v>46</v>
      </c>
      <c r="G94" s="30" t="s">
        <v>46</v>
      </c>
      <c r="H94" s="31"/>
      <c r="I94" s="31" t="s">
        <v>47</v>
      </c>
      <c r="J94" s="32" t="n">
        <v>10.0</v>
      </c>
      <c r="K94" s="33" t="n">
        <f>9585</f>
        <v>9585.0</v>
      </c>
      <c r="L94" s="34" t="s">
        <v>48</v>
      </c>
      <c r="M94" s="33" t="n">
        <f>9585</f>
        <v>9585.0</v>
      </c>
      <c r="N94" s="34" t="s">
        <v>48</v>
      </c>
      <c r="O94" s="33" t="n">
        <f>8039</f>
        <v>8039.0</v>
      </c>
      <c r="P94" s="34" t="s">
        <v>51</v>
      </c>
      <c r="Q94" s="33" t="n">
        <f>8225</f>
        <v>8225.0</v>
      </c>
      <c r="R94" s="34" t="s">
        <v>51</v>
      </c>
      <c r="S94" s="35" t="n">
        <f>8788.41</f>
        <v>8788.41</v>
      </c>
      <c r="T94" s="32" t="n">
        <f>7450</f>
        <v>7450.0</v>
      </c>
      <c r="U94" s="32" t="str">
        <f>"－"</f>
        <v>－</v>
      </c>
      <c r="V94" s="32" t="n">
        <f>65789620</f>
        <v>6.578962E7</v>
      </c>
      <c r="W94" s="32" t="str">
        <f>"－"</f>
        <v>－</v>
      </c>
      <c r="X94" s="36" t="n">
        <f>22</f>
        <v>22.0</v>
      </c>
    </row>
    <row r="95">
      <c r="A95" s="27" t="s">
        <v>42</v>
      </c>
      <c r="B95" s="27" t="s">
        <v>329</v>
      </c>
      <c r="C95" s="27" t="s">
        <v>330</v>
      </c>
      <c r="D95" s="27" t="s">
        <v>331</v>
      </c>
      <c r="E95" s="28" t="s">
        <v>46</v>
      </c>
      <c r="F95" s="29" t="s">
        <v>46</v>
      </c>
      <c r="G95" s="30" t="s">
        <v>46</v>
      </c>
      <c r="H95" s="31"/>
      <c r="I95" s="31" t="s">
        <v>47</v>
      </c>
      <c r="J95" s="32" t="n">
        <v>1.0</v>
      </c>
      <c r="K95" s="33" t="n">
        <f>54830</f>
        <v>54830.0</v>
      </c>
      <c r="L95" s="34" t="s">
        <v>48</v>
      </c>
      <c r="M95" s="33" t="n">
        <f>59630</f>
        <v>59630.0</v>
      </c>
      <c r="N95" s="34" t="s">
        <v>75</v>
      </c>
      <c r="O95" s="33" t="n">
        <f>54220</f>
        <v>54220.0</v>
      </c>
      <c r="P95" s="34" t="s">
        <v>48</v>
      </c>
      <c r="Q95" s="33" t="n">
        <f>58200</f>
        <v>58200.0</v>
      </c>
      <c r="R95" s="34" t="s">
        <v>51</v>
      </c>
      <c r="S95" s="35" t="n">
        <f>57261.82</f>
        <v>57261.82</v>
      </c>
      <c r="T95" s="32" t="n">
        <f>99957</f>
        <v>99957.0</v>
      </c>
      <c r="U95" s="32" t="n">
        <f>13849</f>
        <v>13849.0</v>
      </c>
      <c r="V95" s="32" t="n">
        <f>5740748717</f>
        <v>5.740748717E9</v>
      </c>
      <c r="W95" s="32" t="n">
        <f>804374147</f>
        <v>8.04374147E8</v>
      </c>
      <c r="X95" s="36" t="n">
        <f>22</f>
        <v>22.0</v>
      </c>
    </row>
    <row r="96">
      <c r="A96" s="27" t="s">
        <v>42</v>
      </c>
      <c r="B96" s="27" t="s">
        <v>332</v>
      </c>
      <c r="C96" s="27" t="s">
        <v>333</v>
      </c>
      <c r="D96" s="27" t="s">
        <v>334</v>
      </c>
      <c r="E96" s="28" t="s">
        <v>46</v>
      </c>
      <c r="F96" s="29" t="s">
        <v>46</v>
      </c>
      <c r="G96" s="30" t="s">
        <v>46</v>
      </c>
      <c r="H96" s="31"/>
      <c r="I96" s="31" t="s">
        <v>47</v>
      </c>
      <c r="J96" s="32" t="n">
        <v>1.0</v>
      </c>
      <c r="K96" s="33" t="n">
        <f>5714</f>
        <v>5714.0</v>
      </c>
      <c r="L96" s="34" t="s">
        <v>48</v>
      </c>
      <c r="M96" s="33" t="n">
        <f>5776</f>
        <v>5776.0</v>
      </c>
      <c r="N96" s="34" t="s">
        <v>48</v>
      </c>
      <c r="O96" s="33" t="n">
        <f>4828</f>
        <v>4828.0</v>
      </c>
      <c r="P96" s="34" t="s">
        <v>75</v>
      </c>
      <c r="Q96" s="33" t="n">
        <f>5135</f>
        <v>5135.0</v>
      </c>
      <c r="R96" s="34" t="s">
        <v>51</v>
      </c>
      <c r="S96" s="35" t="n">
        <f>5319.68</f>
        <v>5319.68</v>
      </c>
      <c r="T96" s="32" t="n">
        <f>629093</f>
        <v>629093.0</v>
      </c>
      <c r="U96" s="32" t="n">
        <f>405913</f>
        <v>405913.0</v>
      </c>
      <c r="V96" s="32" t="n">
        <f>3305988709</f>
        <v>3.305988709E9</v>
      </c>
      <c r="W96" s="32" t="n">
        <f>2122673108</f>
        <v>2.122673108E9</v>
      </c>
      <c r="X96" s="36" t="n">
        <f>22</f>
        <v>22.0</v>
      </c>
    </row>
    <row r="97">
      <c r="A97" s="27" t="s">
        <v>42</v>
      </c>
      <c r="B97" s="27" t="s">
        <v>335</v>
      </c>
      <c r="C97" s="27" t="s">
        <v>336</v>
      </c>
      <c r="D97" s="27" t="s">
        <v>337</v>
      </c>
      <c r="E97" s="28" t="s">
        <v>46</v>
      </c>
      <c r="F97" s="29" t="s">
        <v>46</v>
      </c>
      <c r="G97" s="30" t="s">
        <v>46</v>
      </c>
      <c r="H97" s="31"/>
      <c r="I97" s="31" t="s">
        <v>47</v>
      </c>
      <c r="J97" s="32" t="n">
        <v>10.0</v>
      </c>
      <c r="K97" s="33" t="n">
        <f>888.8</f>
        <v>888.8</v>
      </c>
      <c r="L97" s="34" t="s">
        <v>48</v>
      </c>
      <c r="M97" s="33" t="n">
        <f>903.5</f>
        <v>903.5</v>
      </c>
      <c r="N97" s="34" t="s">
        <v>48</v>
      </c>
      <c r="O97" s="33" t="n">
        <f>629.7</f>
        <v>629.7</v>
      </c>
      <c r="P97" s="34" t="s">
        <v>75</v>
      </c>
      <c r="Q97" s="33" t="n">
        <f>712.9</f>
        <v>712.9</v>
      </c>
      <c r="R97" s="34" t="s">
        <v>51</v>
      </c>
      <c r="S97" s="35" t="n">
        <f>769.22</f>
        <v>769.22</v>
      </c>
      <c r="T97" s="32" t="n">
        <f>468719280</f>
        <v>4.6871928E8</v>
      </c>
      <c r="U97" s="32" t="n">
        <f>9192700</f>
        <v>9192700.0</v>
      </c>
      <c r="V97" s="32" t="n">
        <f>361291680468</f>
        <v>3.61291680468E11</v>
      </c>
      <c r="W97" s="32" t="n">
        <f>6853048501</f>
        <v>6.853048501E9</v>
      </c>
      <c r="X97" s="36" t="n">
        <f>22</f>
        <v>22.0</v>
      </c>
    </row>
    <row r="98">
      <c r="A98" s="27" t="s">
        <v>42</v>
      </c>
      <c r="B98" s="27" t="s">
        <v>338</v>
      </c>
      <c r="C98" s="27" t="s">
        <v>339</v>
      </c>
      <c r="D98" s="27" t="s">
        <v>340</v>
      </c>
      <c r="E98" s="28" t="s">
        <v>46</v>
      </c>
      <c r="F98" s="29" t="s">
        <v>46</v>
      </c>
      <c r="G98" s="30" t="s">
        <v>46</v>
      </c>
      <c r="H98" s="31"/>
      <c r="I98" s="31" t="s">
        <v>47</v>
      </c>
      <c r="J98" s="32" t="n">
        <v>10.0</v>
      </c>
      <c r="K98" s="33" t="n">
        <f>739.2</f>
        <v>739.2</v>
      </c>
      <c r="L98" s="34" t="s">
        <v>48</v>
      </c>
      <c r="M98" s="33" t="n">
        <f>862</f>
        <v>862.0</v>
      </c>
      <c r="N98" s="34" t="s">
        <v>75</v>
      </c>
      <c r="O98" s="33" t="n">
        <f>731</f>
        <v>731.0</v>
      </c>
      <c r="P98" s="34" t="s">
        <v>48</v>
      </c>
      <c r="Q98" s="33" t="n">
        <f>809</f>
        <v>809.0</v>
      </c>
      <c r="R98" s="34" t="s">
        <v>51</v>
      </c>
      <c r="S98" s="35" t="n">
        <f>789</f>
        <v>789.0</v>
      </c>
      <c r="T98" s="32" t="n">
        <f>19454180</f>
        <v>1.945418E7</v>
      </c>
      <c r="U98" s="32" t="n">
        <f>81590</f>
        <v>81590.0</v>
      </c>
      <c r="V98" s="32" t="n">
        <f>15428344787</f>
        <v>1.5428344787E10</v>
      </c>
      <c r="W98" s="32" t="n">
        <f>64203697</f>
        <v>6.4203697E7</v>
      </c>
      <c r="X98" s="36" t="n">
        <f>22</f>
        <v>22.0</v>
      </c>
    </row>
    <row r="99">
      <c r="A99" s="27" t="s">
        <v>42</v>
      </c>
      <c r="B99" s="27" t="s">
        <v>341</v>
      </c>
      <c r="C99" s="27" t="s">
        <v>342</v>
      </c>
      <c r="D99" s="27" t="s">
        <v>343</v>
      </c>
      <c r="E99" s="28" t="s">
        <v>46</v>
      </c>
      <c r="F99" s="29" t="s">
        <v>46</v>
      </c>
      <c r="G99" s="30" t="s">
        <v>46</v>
      </c>
      <c r="H99" s="31"/>
      <c r="I99" s="31" t="s">
        <v>47</v>
      </c>
      <c r="J99" s="32" t="n">
        <v>10.0</v>
      </c>
      <c r="K99" s="33" t="n">
        <f>2719</f>
        <v>2719.0</v>
      </c>
      <c r="L99" s="34" t="s">
        <v>48</v>
      </c>
      <c r="M99" s="33" t="n">
        <f>2776</f>
        <v>2776.0</v>
      </c>
      <c r="N99" s="34" t="s">
        <v>58</v>
      </c>
      <c r="O99" s="33" t="n">
        <f>2541</f>
        <v>2541.0</v>
      </c>
      <c r="P99" s="34" t="s">
        <v>116</v>
      </c>
      <c r="Q99" s="33" t="n">
        <f>2586.5</f>
        <v>2586.5</v>
      </c>
      <c r="R99" s="34" t="s">
        <v>51</v>
      </c>
      <c r="S99" s="35" t="n">
        <f>2639.75</f>
        <v>2639.75</v>
      </c>
      <c r="T99" s="32" t="n">
        <f>620</f>
        <v>620.0</v>
      </c>
      <c r="U99" s="32" t="str">
        <f>"－"</f>
        <v>－</v>
      </c>
      <c r="V99" s="32" t="n">
        <f>1627055</f>
        <v>1627055.0</v>
      </c>
      <c r="W99" s="32" t="str">
        <f>"－"</f>
        <v>－</v>
      </c>
      <c r="X99" s="36" t="n">
        <f>12</f>
        <v>12.0</v>
      </c>
    </row>
    <row r="100">
      <c r="A100" s="27" t="s">
        <v>42</v>
      </c>
      <c r="B100" s="27" t="s">
        <v>344</v>
      </c>
      <c r="C100" s="27" t="s">
        <v>345</v>
      </c>
      <c r="D100" s="27" t="s">
        <v>346</v>
      </c>
      <c r="E100" s="28" t="s">
        <v>46</v>
      </c>
      <c r="F100" s="29" t="s">
        <v>46</v>
      </c>
      <c r="G100" s="30" t="s">
        <v>46</v>
      </c>
      <c r="H100" s="31"/>
      <c r="I100" s="31" t="s">
        <v>47</v>
      </c>
      <c r="J100" s="32" t="n">
        <v>1.0</v>
      </c>
      <c r="K100" s="33" t="n">
        <f>3109</f>
        <v>3109.0</v>
      </c>
      <c r="L100" s="34" t="s">
        <v>48</v>
      </c>
      <c r="M100" s="33" t="n">
        <f>3170</f>
        <v>3170.0</v>
      </c>
      <c r="N100" s="34" t="s">
        <v>58</v>
      </c>
      <c r="O100" s="33" t="n">
        <f>2927</f>
        <v>2927.0</v>
      </c>
      <c r="P100" s="34" t="s">
        <v>50</v>
      </c>
      <c r="Q100" s="33" t="n">
        <f>3040</f>
        <v>3040.0</v>
      </c>
      <c r="R100" s="34" t="s">
        <v>51</v>
      </c>
      <c r="S100" s="35" t="n">
        <f>3040.64</f>
        <v>3040.64</v>
      </c>
      <c r="T100" s="32" t="n">
        <f>3209</f>
        <v>3209.0</v>
      </c>
      <c r="U100" s="32" t="str">
        <f>"－"</f>
        <v>－</v>
      </c>
      <c r="V100" s="32" t="n">
        <f>9710051</f>
        <v>9710051.0</v>
      </c>
      <c r="W100" s="32" t="str">
        <f>"－"</f>
        <v>－</v>
      </c>
      <c r="X100" s="36" t="n">
        <f>22</f>
        <v>22.0</v>
      </c>
    </row>
    <row r="101">
      <c r="A101" s="27" t="s">
        <v>42</v>
      </c>
      <c r="B101" s="27" t="s">
        <v>347</v>
      </c>
      <c r="C101" s="27" t="s">
        <v>348</v>
      </c>
      <c r="D101" s="27" t="s">
        <v>349</v>
      </c>
      <c r="E101" s="28" t="s">
        <v>46</v>
      </c>
      <c r="F101" s="29" t="s">
        <v>46</v>
      </c>
      <c r="G101" s="30" t="s">
        <v>46</v>
      </c>
      <c r="H101" s="31"/>
      <c r="I101" s="31" t="s">
        <v>47</v>
      </c>
      <c r="J101" s="32" t="n">
        <v>1.0</v>
      </c>
      <c r="K101" s="33" t="n">
        <f>36590</f>
        <v>36590.0</v>
      </c>
      <c r="L101" s="34" t="s">
        <v>48</v>
      </c>
      <c r="M101" s="33" t="n">
        <f>37600</f>
        <v>37600.0</v>
      </c>
      <c r="N101" s="34" t="s">
        <v>49</v>
      </c>
      <c r="O101" s="33" t="n">
        <f>34980</f>
        <v>34980.0</v>
      </c>
      <c r="P101" s="34" t="s">
        <v>50</v>
      </c>
      <c r="Q101" s="33" t="n">
        <f>36330</f>
        <v>36330.0</v>
      </c>
      <c r="R101" s="34" t="s">
        <v>51</v>
      </c>
      <c r="S101" s="35" t="n">
        <f>36524.09</f>
        <v>36524.09</v>
      </c>
      <c r="T101" s="32" t="n">
        <f>115555</f>
        <v>115555.0</v>
      </c>
      <c r="U101" s="32" t="n">
        <f>50812</f>
        <v>50812.0</v>
      </c>
      <c r="V101" s="32" t="n">
        <f>4228644643</f>
        <v>4.228644643E9</v>
      </c>
      <c r="W101" s="32" t="n">
        <f>1863232263</f>
        <v>1.863232263E9</v>
      </c>
      <c r="X101" s="36" t="n">
        <f>22</f>
        <v>22.0</v>
      </c>
    </row>
    <row r="102">
      <c r="A102" s="27" t="s">
        <v>42</v>
      </c>
      <c r="B102" s="27" t="s">
        <v>350</v>
      </c>
      <c r="C102" s="27" t="s">
        <v>351</v>
      </c>
      <c r="D102" s="27" t="s">
        <v>352</v>
      </c>
      <c r="E102" s="28" t="s">
        <v>46</v>
      </c>
      <c r="F102" s="29" t="s">
        <v>46</v>
      </c>
      <c r="G102" s="30" t="s">
        <v>46</v>
      </c>
      <c r="H102" s="31"/>
      <c r="I102" s="31" t="s">
        <v>47</v>
      </c>
      <c r="J102" s="32" t="n">
        <v>1.0</v>
      </c>
      <c r="K102" s="33" t="n">
        <f>3389</f>
        <v>3389.0</v>
      </c>
      <c r="L102" s="34" t="s">
        <v>48</v>
      </c>
      <c r="M102" s="33" t="n">
        <f>3455</f>
        <v>3455.0</v>
      </c>
      <c r="N102" s="34" t="s">
        <v>58</v>
      </c>
      <c r="O102" s="33" t="n">
        <f>3209</f>
        <v>3209.0</v>
      </c>
      <c r="P102" s="34" t="s">
        <v>50</v>
      </c>
      <c r="Q102" s="33" t="n">
        <f>3332</f>
        <v>3332.0</v>
      </c>
      <c r="R102" s="34" t="s">
        <v>51</v>
      </c>
      <c r="S102" s="35" t="n">
        <f>3348.32</f>
        <v>3348.32</v>
      </c>
      <c r="T102" s="32" t="n">
        <f>485767</f>
        <v>485767.0</v>
      </c>
      <c r="U102" s="32" t="n">
        <f>230113</f>
        <v>230113.0</v>
      </c>
      <c r="V102" s="32" t="n">
        <f>1625349111</f>
        <v>1.625349111E9</v>
      </c>
      <c r="W102" s="32" t="n">
        <f>768526053</f>
        <v>7.68526053E8</v>
      </c>
      <c r="X102" s="36" t="n">
        <f>22</f>
        <v>22.0</v>
      </c>
    </row>
    <row r="103">
      <c r="A103" s="27" t="s">
        <v>42</v>
      </c>
      <c r="B103" s="27" t="s">
        <v>353</v>
      </c>
      <c r="C103" s="27" t="s">
        <v>354</v>
      </c>
      <c r="D103" s="27" t="s">
        <v>355</v>
      </c>
      <c r="E103" s="28" t="s">
        <v>46</v>
      </c>
      <c r="F103" s="29" t="s">
        <v>46</v>
      </c>
      <c r="G103" s="30" t="s">
        <v>46</v>
      </c>
      <c r="H103" s="31"/>
      <c r="I103" s="31" t="s">
        <v>47</v>
      </c>
      <c r="J103" s="32" t="n">
        <v>1.0</v>
      </c>
      <c r="K103" s="33" t="n">
        <f>38050</f>
        <v>38050.0</v>
      </c>
      <c r="L103" s="34" t="s">
        <v>48</v>
      </c>
      <c r="M103" s="33" t="n">
        <f>38850</f>
        <v>38850.0</v>
      </c>
      <c r="N103" s="34" t="s">
        <v>49</v>
      </c>
      <c r="O103" s="33" t="n">
        <f>35890</f>
        <v>35890.0</v>
      </c>
      <c r="P103" s="34" t="s">
        <v>50</v>
      </c>
      <c r="Q103" s="33" t="n">
        <f>37220</f>
        <v>37220.0</v>
      </c>
      <c r="R103" s="34" t="s">
        <v>51</v>
      </c>
      <c r="S103" s="35" t="n">
        <f>37563.64</f>
        <v>37563.64</v>
      </c>
      <c r="T103" s="32" t="n">
        <f>125525</f>
        <v>125525.0</v>
      </c>
      <c r="U103" s="32" t="n">
        <f>66510</f>
        <v>66510.0</v>
      </c>
      <c r="V103" s="32" t="n">
        <f>4696288055</f>
        <v>4.696288055E9</v>
      </c>
      <c r="W103" s="32" t="n">
        <f>2485967415</f>
        <v>2.485967415E9</v>
      </c>
      <c r="X103" s="36" t="n">
        <f>22</f>
        <v>22.0</v>
      </c>
    </row>
    <row r="104">
      <c r="A104" s="27" t="s">
        <v>42</v>
      </c>
      <c r="B104" s="27" t="s">
        <v>356</v>
      </c>
      <c r="C104" s="27" t="s">
        <v>357</v>
      </c>
      <c r="D104" s="27" t="s">
        <v>358</v>
      </c>
      <c r="E104" s="28" t="s">
        <v>46</v>
      </c>
      <c r="F104" s="29" t="s">
        <v>46</v>
      </c>
      <c r="G104" s="30" t="s">
        <v>46</v>
      </c>
      <c r="H104" s="31"/>
      <c r="I104" s="31" t="s">
        <v>47</v>
      </c>
      <c r="J104" s="32" t="n">
        <v>1.0</v>
      </c>
      <c r="K104" s="33" t="n">
        <f>1866</f>
        <v>1866.0</v>
      </c>
      <c r="L104" s="34" t="s">
        <v>48</v>
      </c>
      <c r="M104" s="33" t="n">
        <f>1941</f>
        <v>1941.0</v>
      </c>
      <c r="N104" s="34" t="s">
        <v>75</v>
      </c>
      <c r="O104" s="33" t="n">
        <f>1838</f>
        <v>1838.0</v>
      </c>
      <c r="P104" s="34" t="s">
        <v>48</v>
      </c>
      <c r="Q104" s="33" t="n">
        <f>1902</f>
        <v>1902.0</v>
      </c>
      <c r="R104" s="34" t="s">
        <v>51</v>
      </c>
      <c r="S104" s="35" t="n">
        <f>1888.73</f>
        <v>1888.73</v>
      </c>
      <c r="T104" s="32" t="n">
        <f>4441364</f>
        <v>4441364.0</v>
      </c>
      <c r="U104" s="32" t="n">
        <f>353360</f>
        <v>353360.0</v>
      </c>
      <c r="V104" s="32" t="n">
        <f>8406312763</f>
        <v>8.406312763E9</v>
      </c>
      <c r="W104" s="32" t="n">
        <f>661847137</f>
        <v>6.61847137E8</v>
      </c>
      <c r="X104" s="36" t="n">
        <f>22</f>
        <v>22.0</v>
      </c>
    </row>
    <row r="105">
      <c r="A105" s="27" t="s">
        <v>42</v>
      </c>
      <c r="B105" s="27" t="s">
        <v>359</v>
      </c>
      <c r="C105" s="27" t="s">
        <v>360</v>
      </c>
      <c r="D105" s="27" t="s">
        <v>361</v>
      </c>
      <c r="E105" s="28" t="s">
        <v>46</v>
      </c>
      <c r="F105" s="29" t="s">
        <v>46</v>
      </c>
      <c r="G105" s="30" t="s">
        <v>46</v>
      </c>
      <c r="H105" s="31"/>
      <c r="I105" s="31" t="s">
        <v>47</v>
      </c>
      <c r="J105" s="32" t="n">
        <v>1.0</v>
      </c>
      <c r="K105" s="33" t="n">
        <f>3035</f>
        <v>3035.0</v>
      </c>
      <c r="L105" s="34" t="s">
        <v>214</v>
      </c>
      <c r="M105" s="33" t="n">
        <f>3089</f>
        <v>3089.0</v>
      </c>
      <c r="N105" s="34" t="s">
        <v>274</v>
      </c>
      <c r="O105" s="33" t="n">
        <f>2801</f>
        <v>2801.0</v>
      </c>
      <c r="P105" s="34" t="s">
        <v>197</v>
      </c>
      <c r="Q105" s="33" t="n">
        <f>2890</f>
        <v>2890.0</v>
      </c>
      <c r="R105" s="34" t="s">
        <v>51</v>
      </c>
      <c r="S105" s="35" t="n">
        <f>2938.5</f>
        <v>2938.5</v>
      </c>
      <c r="T105" s="32" t="n">
        <f>604</f>
        <v>604.0</v>
      </c>
      <c r="U105" s="32" t="str">
        <f>"－"</f>
        <v>－</v>
      </c>
      <c r="V105" s="32" t="n">
        <f>1770012</f>
        <v>1770012.0</v>
      </c>
      <c r="W105" s="32" t="str">
        <f>"－"</f>
        <v>－</v>
      </c>
      <c r="X105" s="36" t="n">
        <f>10</f>
        <v>10.0</v>
      </c>
    </row>
    <row r="106">
      <c r="A106" s="27" t="s">
        <v>42</v>
      </c>
      <c r="B106" s="27" t="s">
        <v>362</v>
      </c>
      <c r="C106" s="27" t="s">
        <v>363</v>
      </c>
      <c r="D106" s="27" t="s">
        <v>364</v>
      </c>
      <c r="E106" s="28" t="s">
        <v>46</v>
      </c>
      <c r="F106" s="29" t="s">
        <v>46</v>
      </c>
      <c r="G106" s="30" t="s">
        <v>46</v>
      </c>
      <c r="H106" s="31"/>
      <c r="I106" s="31" t="s">
        <v>47</v>
      </c>
      <c r="J106" s="32" t="n">
        <v>1.0</v>
      </c>
      <c r="K106" s="33" t="n">
        <f>1868</f>
        <v>1868.0</v>
      </c>
      <c r="L106" s="34" t="s">
        <v>48</v>
      </c>
      <c r="M106" s="33" t="n">
        <f>1968</f>
        <v>1968.0</v>
      </c>
      <c r="N106" s="34" t="s">
        <v>75</v>
      </c>
      <c r="O106" s="33" t="n">
        <f>1839</f>
        <v>1839.0</v>
      </c>
      <c r="P106" s="34" t="s">
        <v>48</v>
      </c>
      <c r="Q106" s="33" t="n">
        <f>1942</f>
        <v>1942.0</v>
      </c>
      <c r="R106" s="34" t="s">
        <v>51</v>
      </c>
      <c r="S106" s="35" t="n">
        <f>1904.59</f>
        <v>1904.59</v>
      </c>
      <c r="T106" s="32" t="n">
        <f>4706889</f>
        <v>4706889.0</v>
      </c>
      <c r="U106" s="32" t="n">
        <f>1540946</f>
        <v>1540946.0</v>
      </c>
      <c r="V106" s="32" t="n">
        <f>8940185859</f>
        <v>8.940185859E9</v>
      </c>
      <c r="W106" s="32" t="n">
        <f>2934307033</f>
        <v>2.934307033E9</v>
      </c>
      <c r="X106" s="36" t="n">
        <f>22</f>
        <v>22.0</v>
      </c>
    </row>
    <row r="107">
      <c r="A107" s="27" t="s">
        <v>42</v>
      </c>
      <c r="B107" s="27" t="s">
        <v>365</v>
      </c>
      <c r="C107" s="27" t="s">
        <v>366</v>
      </c>
      <c r="D107" s="27" t="s">
        <v>367</v>
      </c>
      <c r="E107" s="28" t="s">
        <v>46</v>
      </c>
      <c r="F107" s="29" t="s">
        <v>46</v>
      </c>
      <c r="G107" s="30" t="s">
        <v>46</v>
      </c>
      <c r="H107" s="31"/>
      <c r="I107" s="31" t="s">
        <v>47</v>
      </c>
      <c r="J107" s="32" t="n">
        <v>1.0</v>
      </c>
      <c r="K107" s="33" t="n">
        <f>37630</f>
        <v>37630.0</v>
      </c>
      <c r="L107" s="34" t="s">
        <v>48</v>
      </c>
      <c r="M107" s="33" t="n">
        <f>38860</f>
        <v>38860.0</v>
      </c>
      <c r="N107" s="34" t="s">
        <v>49</v>
      </c>
      <c r="O107" s="33" t="n">
        <f>35700</f>
        <v>35700.0</v>
      </c>
      <c r="P107" s="34" t="s">
        <v>50</v>
      </c>
      <c r="Q107" s="33" t="n">
        <f>36830</f>
        <v>36830.0</v>
      </c>
      <c r="R107" s="34" t="s">
        <v>51</v>
      </c>
      <c r="S107" s="35" t="n">
        <f>37234.55</f>
        <v>37234.55</v>
      </c>
      <c r="T107" s="32" t="n">
        <f>22826</f>
        <v>22826.0</v>
      </c>
      <c r="U107" s="32" t="n">
        <f>20429</f>
        <v>20429.0</v>
      </c>
      <c r="V107" s="32" t="n">
        <f>851479487</f>
        <v>8.51479487E8</v>
      </c>
      <c r="W107" s="32" t="n">
        <f>762289967</f>
        <v>7.62289967E8</v>
      </c>
      <c r="X107" s="36" t="n">
        <f>22</f>
        <v>22.0</v>
      </c>
    </row>
    <row r="108">
      <c r="A108" s="27" t="s">
        <v>42</v>
      </c>
      <c r="B108" s="27" t="s">
        <v>368</v>
      </c>
      <c r="C108" s="27" t="s">
        <v>369</v>
      </c>
      <c r="D108" s="27" t="s">
        <v>370</v>
      </c>
      <c r="E108" s="28" t="s">
        <v>46</v>
      </c>
      <c r="F108" s="29" t="s">
        <v>46</v>
      </c>
      <c r="G108" s="30" t="s">
        <v>46</v>
      </c>
      <c r="H108" s="31"/>
      <c r="I108" s="31" t="s">
        <v>47</v>
      </c>
      <c r="J108" s="32" t="n">
        <v>10.0</v>
      </c>
      <c r="K108" s="33" t="n">
        <f>722.9</f>
        <v>722.9</v>
      </c>
      <c r="L108" s="34" t="s">
        <v>48</v>
      </c>
      <c r="M108" s="33" t="n">
        <f>742</f>
        <v>742.0</v>
      </c>
      <c r="N108" s="34" t="s">
        <v>49</v>
      </c>
      <c r="O108" s="33" t="n">
        <f>697</f>
        <v>697.0</v>
      </c>
      <c r="P108" s="34" t="s">
        <v>50</v>
      </c>
      <c r="Q108" s="33" t="n">
        <f>715</f>
        <v>715.0</v>
      </c>
      <c r="R108" s="34" t="s">
        <v>51</v>
      </c>
      <c r="S108" s="35" t="n">
        <f>720.78</f>
        <v>720.78</v>
      </c>
      <c r="T108" s="32" t="n">
        <f>512780</f>
        <v>512780.0</v>
      </c>
      <c r="U108" s="32" t="n">
        <f>30</f>
        <v>30.0</v>
      </c>
      <c r="V108" s="32" t="n">
        <f>369195786</f>
        <v>3.69195786E8</v>
      </c>
      <c r="W108" s="32" t="n">
        <f>21186</f>
        <v>21186.0</v>
      </c>
      <c r="X108" s="36" t="n">
        <f>22</f>
        <v>22.0</v>
      </c>
    </row>
    <row r="109">
      <c r="A109" s="27" t="s">
        <v>42</v>
      </c>
      <c r="B109" s="27" t="s">
        <v>371</v>
      </c>
      <c r="C109" s="27" t="s">
        <v>372</v>
      </c>
      <c r="D109" s="27" t="s">
        <v>373</v>
      </c>
      <c r="E109" s="28" t="s">
        <v>46</v>
      </c>
      <c r="F109" s="29" t="s">
        <v>46</v>
      </c>
      <c r="G109" s="30" t="s">
        <v>46</v>
      </c>
      <c r="H109" s="31"/>
      <c r="I109" s="31" t="s">
        <v>47</v>
      </c>
      <c r="J109" s="32" t="n">
        <v>10.0</v>
      </c>
      <c r="K109" s="33" t="n">
        <f>700.3</f>
        <v>700.3</v>
      </c>
      <c r="L109" s="34" t="s">
        <v>48</v>
      </c>
      <c r="M109" s="33" t="n">
        <f>784.2</f>
        <v>784.2</v>
      </c>
      <c r="N109" s="34" t="s">
        <v>62</v>
      </c>
      <c r="O109" s="33" t="n">
        <f>700.3</f>
        <v>700.3</v>
      </c>
      <c r="P109" s="34" t="s">
        <v>48</v>
      </c>
      <c r="Q109" s="33" t="n">
        <f>730</f>
        <v>730.0</v>
      </c>
      <c r="R109" s="34" t="s">
        <v>51</v>
      </c>
      <c r="S109" s="35" t="n">
        <f>748.05</f>
        <v>748.05</v>
      </c>
      <c r="T109" s="32" t="n">
        <f>195137680</f>
        <v>1.9513768E8</v>
      </c>
      <c r="U109" s="32" t="n">
        <f>18533470</f>
        <v>1.853347E7</v>
      </c>
      <c r="V109" s="32" t="n">
        <f>146139512030</f>
        <v>1.4613951203E11</v>
      </c>
      <c r="W109" s="32" t="n">
        <f>13924081899</f>
        <v>1.3924081899E10</v>
      </c>
      <c r="X109" s="36" t="n">
        <f>22</f>
        <v>22.0</v>
      </c>
    </row>
    <row r="110">
      <c r="A110" s="27" t="s">
        <v>42</v>
      </c>
      <c r="B110" s="27" t="s">
        <v>374</v>
      </c>
      <c r="C110" s="27" t="s">
        <v>375</v>
      </c>
      <c r="D110" s="27" t="s">
        <v>376</v>
      </c>
      <c r="E110" s="28" t="s">
        <v>46</v>
      </c>
      <c r="F110" s="29" t="s">
        <v>46</v>
      </c>
      <c r="G110" s="30" t="s">
        <v>46</v>
      </c>
      <c r="H110" s="31"/>
      <c r="I110" s="31" t="s">
        <v>47</v>
      </c>
      <c r="J110" s="32" t="n">
        <v>1.0</v>
      </c>
      <c r="K110" s="33" t="n">
        <f>47520</f>
        <v>47520.0</v>
      </c>
      <c r="L110" s="34" t="s">
        <v>48</v>
      </c>
      <c r="M110" s="33" t="n">
        <f>49530</f>
        <v>49530.0</v>
      </c>
      <c r="N110" s="34" t="s">
        <v>224</v>
      </c>
      <c r="O110" s="33" t="n">
        <f>46010</f>
        <v>46010.0</v>
      </c>
      <c r="P110" s="34" t="s">
        <v>160</v>
      </c>
      <c r="Q110" s="33" t="n">
        <f>47860</f>
        <v>47860.0</v>
      </c>
      <c r="R110" s="34" t="s">
        <v>51</v>
      </c>
      <c r="S110" s="35" t="n">
        <f>47769.55</f>
        <v>47769.55</v>
      </c>
      <c r="T110" s="32" t="n">
        <f>20412</f>
        <v>20412.0</v>
      </c>
      <c r="U110" s="32" t="n">
        <f>4281</f>
        <v>4281.0</v>
      </c>
      <c r="V110" s="32" t="n">
        <f>975994035</f>
        <v>9.75994035E8</v>
      </c>
      <c r="W110" s="32" t="n">
        <f>207117255</f>
        <v>2.07117255E8</v>
      </c>
      <c r="X110" s="36" t="n">
        <f>22</f>
        <v>22.0</v>
      </c>
    </row>
    <row r="111">
      <c r="A111" s="27" t="s">
        <v>42</v>
      </c>
      <c r="B111" s="27" t="s">
        <v>377</v>
      </c>
      <c r="C111" s="27" t="s">
        <v>378</v>
      </c>
      <c r="D111" s="27" t="s">
        <v>379</v>
      </c>
      <c r="E111" s="28" t="s">
        <v>46</v>
      </c>
      <c r="F111" s="29" t="s">
        <v>46</v>
      </c>
      <c r="G111" s="30" t="s">
        <v>46</v>
      </c>
      <c r="H111" s="31"/>
      <c r="I111" s="31" t="s">
        <v>47</v>
      </c>
      <c r="J111" s="32" t="n">
        <v>1.0</v>
      </c>
      <c r="K111" s="33" t="n">
        <f>31300</f>
        <v>31300.0</v>
      </c>
      <c r="L111" s="34" t="s">
        <v>48</v>
      </c>
      <c r="M111" s="33" t="n">
        <f>34680</f>
        <v>34680.0</v>
      </c>
      <c r="N111" s="34" t="s">
        <v>71</v>
      </c>
      <c r="O111" s="33" t="n">
        <f>30820</f>
        <v>30820.0</v>
      </c>
      <c r="P111" s="34" t="s">
        <v>69</v>
      </c>
      <c r="Q111" s="33" t="n">
        <f>33640</f>
        <v>33640.0</v>
      </c>
      <c r="R111" s="34" t="s">
        <v>51</v>
      </c>
      <c r="S111" s="35" t="n">
        <f>32771.82</f>
        <v>32771.82</v>
      </c>
      <c r="T111" s="32" t="n">
        <f>33034</f>
        <v>33034.0</v>
      </c>
      <c r="U111" s="32" t="n">
        <f>3631</f>
        <v>3631.0</v>
      </c>
      <c r="V111" s="32" t="n">
        <f>1078873854</f>
        <v>1.078873854E9</v>
      </c>
      <c r="W111" s="32" t="n">
        <f>117127504</f>
        <v>1.17127504E8</v>
      </c>
      <c r="X111" s="36" t="n">
        <f>22</f>
        <v>22.0</v>
      </c>
    </row>
    <row r="112">
      <c r="A112" s="27" t="s">
        <v>42</v>
      </c>
      <c r="B112" s="27" t="s">
        <v>380</v>
      </c>
      <c r="C112" s="27" t="s">
        <v>381</v>
      </c>
      <c r="D112" s="27" t="s">
        <v>382</v>
      </c>
      <c r="E112" s="28" t="s">
        <v>46</v>
      </c>
      <c r="F112" s="29" t="s">
        <v>46</v>
      </c>
      <c r="G112" s="30" t="s">
        <v>46</v>
      </c>
      <c r="H112" s="31"/>
      <c r="I112" s="31" t="s">
        <v>47</v>
      </c>
      <c r="J112" s="32" t="n">
        <v>1.0</v>
      </c>
      <c r="K112" s="33" t="n">
        <f>50850</f>
        <v>50850.0</v>
      </c>
      <c r="L112" s="34" t="s">
        <v>48</v>
      </c>
      <c r="M112" s="33" t="n">
        <f>52390</f>
        <v>52390.0</v>
      </c>
      <c r="N112" s="34" t="s">
        <v>49</v>
      </c>
      <c r="O112" s="33" t="n">
        <f>45110</f>
        <v>45110.0</v>
      </c>
      <c r="P112" s="34" t="s">
        <v>197</v>
      </c>
      <c r="Q112" s="33" t="n">
        <f>46000</f>
        <v>46000.0</v>
      </c>
      <c r="R112" s="34" t="s">
        <v>51</v>
      </c>
      <c r="S112" s="35" t="n">
        <f>48453.64</f>
        <v>48453.64</v>
      </c>
      <c r="T112" s="32" t="n">
        <f>20984</f>
        <v>20984.0</v>
      </c>
      <c r="U112" s="32" t="n">
        <f>1345</f>
        <v>1345.0</v>
      </c>
      <c r="V112" s="32" t="n">
        <f>1012467394</f>
        <v>1.012467394E9</v>
      </c>
      <c r="W112" s="32" t="n">
        <f>62242284</f>
        <v>6.2242284E7</v>
      </c>
      <c r="X112" s="36" t="n">
        <f>22</f>
        <v>22.0</v>
      </c>
    </row>
    <row r="113">
      <c r="A113" s="27" t="s">
        <v>42</v>
      </c>
      <c r="B113" s="27" t="s">
        <v>383</v>
      </c>
      <c r="C113" s="27" t="s">
        <v>384</v>
      </c>
      <c r="D113" s="27" t="s">
        <v>385</v>
      </c>
      <c r="E113" s="28" t="s">
        <v>46</v>
      </c>
      <c r="F113" s="29" t="s">
        <v>46</v>
      </c>
      <c r="G113" s="30" t="s">
        <v>46</v>
      </c>
      <c r="H113" s="31"/>
      <c r="I113" s="31" t="s">
        <v>47</v>
      </c>
      <c r="J113" s="32" t="n">
        <v>1.0</v>
      </c>
      <c r="K113" s="33" t="n">
        <f>38850</f>
        <v>38850.0</v>
      </c>
      <c r="L113" s="34" t="s">
        <v>48</v>
      </c>
      <c r="M113" s="33" t="n">
        <f>39920</f>
        <v>39920.0</v>
      </c>
      <c r="N113" s="34" t="s">
        <v>49</v>
      </c>
      <c r="O113" s="33" t="n">
        <f>35870</f>
        <v>35870.0</v>
      </c>
      <c r="P113" s="34" t="s">
        <v>75</v>
      </c>
      <c r="Q113" s="33" t="n">
        <f>36430</f>
        <v>36430.0</v>
      </c>
      <c r="R113" s="34" t="s">
        <v>51</v>
      </c>
      <c r="S113" s="35" t="n">
        <f>38176.82</f>
        <v>38176.82</v>
      </c>
      <c r="T113" s="32" t="n">
        <f>20452</f>
        <v>20452.0</v>
      </c>
      <c r="U113" s="32" t="n">
        <f>8212</f>
        <v>8212.0</v>
      </c>
      <c r="V113" s="32" t="n">
        <f>785021592</f>
        <v>7.85021592E8</v>
      </c>
      <c r="W113" s="32" t="n">
        <f>318627172</f>
        <v>3.18627172E8</v>
      </c>
      <c r="X113" s="36" t="n">
        <f>22</f>
        <v>22.0</v>
      </c>
    </row>
    <row r="114">
      <c r="A114" s="27" t="s">
        <v>42</v>
      </c>
      <c r="B114" s="27" t="s">
        <v>386</v>
      </c>
      <c r="C114" s="27" t="s">
        <v>387</v>
      </c>
      <c r="D114" s="27" t="s">
        <v>388</v>
      </c>
      <c r="E114" s="28" t="s">
        <v>46</v>
      </c>
      <c r="F114" s="29" t="s">
        <v>46</v>
      </c>
      <c r="G114" s="30" t="s">
        <v>46</v>
      </c>
      <c r="H114" s="31"/>
      <c r="I114" s="31" t="s">
        <v>47</v>
      </c>
      <c r="J114" s="32" t="n">
        <v>1.0</v>
      </c>
      <c r="K114" s="33" t="n">
        <f>28985</f>
        <v>28985.0</v>
      </c>
      <c r="L114" s="34" t="s">
        <v>48</v>
      </c>
      <c r="M114" s="33" t="n">
        <f>30930</f>
        <v>30930.0</v>
      </c>
      <c r="N114" s="34" t="s">
        <v>75</v>
      </c>
      <c r="O114" s="33" t="n">
        <f>28500</f>
        <v>28500.0</v>
      </c>
      <c r="P114" s="34" t="s">
        <v>160</v>
      </c>
      <c r="Q114" s="33" t="n">
        <f>29190</f>
        <v>29190.0</v>
      </c>
      <c r="R114" s="34" t="s">
        <v>51</v>
      </c>
      <c r="S114" s="35" t="n">
        <f>29843.86</f>
        <v>29843.86</v>
      </c>
      <c r="T114" s="32" t="n">
        <f>32991</f>
        <v>32991.0</v>
      </c>
      <c r="U114" s="32" t="n">
        <f>1431</f>
        <v>1431.0</v>
      </c>
      <c r="V114" s="32" t="n">
        <f>986303872</f>
        <v>9.86303872E8</v>
      </c>
      <c r="W114" s="32" t="n">
        <f>43390162</f>
        <v>4.3390162E7</v>
      </c>
      <c r="X114" s="36" t="n">
        <f>22</f>
        <v>22.0</v>
      </c>
    </row>
    <row r="115">
      <c r="A115" s="27" t="s">
        <v>42</v>
      </c>
      <c r="B115" s="27" t="s">
        <v>389</v>
      </c>
      <c r="C115" s="27" t="s">
        <v>390</v>
      </c>
      <c r="D115" s="27" t="s">
        <v>391</v>
      </c>
      <c r="E115" s="28" t="s">
        <v>46</v>
      </c>
      <c r="F115" s="29" t="s">
        <v>46</v>
      </c>
      <c r="G115" s="30" t="s">
        <v>46</v>
      </c>
      <c r="H115" s="31"/>
      <c r="I115" s="31" t="s">
        <v>47</v>
      </c>
      <c r="J115" s="32" t="n">
        <v>1.0</v>
      </c>
      <c r="K115" s="33" t="n">
        <f>32270</f>
        <v>32270.0</v>
      </c>
      <c r="L115" s="34" t="s">
        <v>48</v>
      </c>
      <c r="M115" s="33" t="n">
        <f>36680</f>
        <v>36680.0</v>
      </c>
      <c r="N115" s="34" t="s">
        <v>75</v>
      </c>
      <c r="O115" s="33" t="n">
        <f>32030</f>
        <v>32030.0</v>
      </c>
      <c r="P115" s="34" t="s">
        <v>48</v>
      </c>
      <c r="Q115" s="33" t="n">
        <f>34910</f>
        <v>34910.0</v>
      </c>
      <c r="R115" s="34" t="s">
        <v>51</v>
      </c>
      <c r="S115" s="35" t="n">
        <f>33791.36</f>
        <v>33791.36</v>
      </c>
      <c r="T115" s="32" t="n">
        <f>51603</f>
        <v>51603.0</v>
      </c>
      <c r="U115" s="32" t="n">
        <f>16115</f>
        <v>16115.0</v>
      </c>
      <c r="V115" s="32" t="n">
        <f>1754775204</f>
        <v>1.754775204E9</v>
      </c>
      <c r="W115" s="32" t="n">
        <f>544360594</f>
        <v>5.44360594E8</v>
      </c>
      <c r="X115" s="36" t="n">
        <f>22</f>
        <v>22.0</v>
      </c>
    </row>
    <row r="116">
      <c r="A116" s="27" t="s">
        <v>42</v>
      </c>
      <c r="B116" s="27" t="s">
        <v>392</v>
      </c>
      <c r="C116" s="27" t="s">
        <v>393</v>
      </c>
      <c r="D116" s="27" t="s">
        <v>394</v>
      </c>
      <c r="E116" s="28" t="s">
        <v>46</v>
      </c>
      <c r="F116" s="29" t="s">
        <v>46</v>
      </c>
      <c r="G116" s="30" t="s">
        <v>46</v>
      </c>
      <c r="H116" s="31"/>
      <c r="I116" s="31" t="s">
        <v>47</v>
      </c>
      <c r="J116" s="32" t="n">
        <v>1.0</v>
      </c>
      <c r="K116" s="33" t="n">
        <f>73520</f>
        <v>73520.0</v>
      </c>
      <c r="L116" s="34" t="s">
        <v>48</v>
      </c>
      <c r="M116" s="33" t="n">
        <f>73620</f>
        <v>73620.0</v>
      </c>
      <c r="N116" s="34" t="s">
        <v>48</v>
      </c>
      <c r="O116" s="33" t="n">
        <f>54000</f>
        <v>54000.0</v>
      </c>
      <c r="P116" s="34" t="s">
        <v>75</v>
      </c>
      <c r="Q116" s="33" t="n">
        <f>59960</f>
        <v>59960.0</v>
      </c>
      <c r="R116" s="34" t="s">
        <v>51</v>
      </c>
      <c r="S116" s="35" t="n">
        <f>62099.55</f>
        <v>62099.55</v>
      </c>
      <c r="T116" s="32" t="n">
        <f>106797</f>
        <v>106797.0</v>
      </c>
      <c r="U116" s="32" t="n">
        <f>17612</f>
        <v>17612.0</v>
      </c>
      <c r="V116" s="32" t="n">
        <f>6630098176</f>
        <v>6.630098176E9</v>
      </c>
      <c r="W116" s="32" t="n">
        <f>1056852316</f>
        <v>1.056852316E9</v>
      </c>
      <c r="X116" s="36" t="n">
        <f>22</f>
        <v>22.0</v>
      </c>
    </row>
    <row r="117">
      <c r="A117" s="27" t="s">
        <v>42</v>
      </c>
      <c r="B117" s="27" t="s">
        <v>395</v>
      </c>
      <c r="C117" s="27" t="s">
        <v>396</v>
      </c>
      <c r="D117" s="27" t="s">
        <v>397</v>
      </c>
      <c r="E117" s="28" t="s">
        <v>46</v>
      </c>
      <c r="F117" s="29" t="s">
        <v>46</v>
      </c>
      <c r="G117" s="30" t="s">
        <v>46</v>
      </c>
      <c r="H117" s="31"/>
      <c r="I117" s="31" t="s">
        <v>47</v>
      </c>
      <c r="J117" s="32" t="n">
        <v>1.0</v>
      </c>
      <c r="K117" s="33" t="n">
        <f>89730</f>
        <v>89730.0</v>
      </c>
      <c r="L117" s="34" t="s">
        <v>48</v>
      </c>
      <c r="M117" s="33" t="n">
        <f>94270</f>
        <v>94270.0</v>
      </c>
      <c r="N117" s="34" t="s">
        <v>49</v>
      </c>
      <c r="O117" s="33" t="n">
        <f>80710</f>
        <v>80710.0</v>
      </c>
      <c r="P117" s="34" t="s">
        <v>75</v>
      </c>
      <c r="Q117" s="33" t="n">
        <f>84570</f>
        <v>84570.0</v>
      </c>
      <c r="R117" s="34" t="s">
        <v>51</v>
      </c>
      <c r="S117" s="35" t="n">
        <f>87965.91</f>
        <v>87965.91</v>
      </c>
      <c r="T117" s="32" t="n">
        <f>20795</f>
        <v>20795.0</v>
      </c>
      <c r="U117" s="32" t="n">
        <f>9450</f>
        <v>9450.0</v>
      </c>
      <c r="V117" s="32" t="n">
        <f>1829931465</f>
        <v>1.829931465E9</v>
      </c>
      <c r="W117" s="32" t="n">
        <f>832129245</f>
        <v>8.32129245E8</v>
      </c>
      <c r="X117" s="36" t="n">
        <f>22</f>
        <v>22.0</v>
      </c>
    </row>
    <row r="118">
      <c r="A118" s="27" t="s">
        <v>42</v>
      </c>
      <c r="B118" s="27" t="s">
        <v>398</v>
      </c>
      <c r="C118" s="27" t="s">
        <v>399</v>
      </c>
      <c r="D118" s="27" t="s">
        <v>400</v>
      </c>
      <c r="E118" s="28" t="s">
        <v>46</v>
      </c>
      <c r="F118" s="29" t="s">
        <v>46</v>
      </c>
      <c r="G118" s="30" t="s">
        <v>46</v>
      </c>
      <c r="H118" s="31"/>
      <c r="I118" s="31" t="s">
        <v>47</v>
      </c>
      <c r="J118" s="32" t="n">
        <v>1.0</v>
      </c>
      <c r="K118" s="33" t="n">
        <f>71500</f>
        <v>71500.0</v>
      </c>
      <c r="L118" s="34" t="s">
        <v>48</v>
      </c>
      <c r="M118" s="33" t="n">
        <f>72930</f>
        <v>72930.0</v>
      </c>
      <c r="N118" s="34" t="s">
        <v>48</v>
      </c>
      <c r="O118" s="33" t="n">
        <f>57340</f>
        <v>57340.0</v>
      </c>
      <c r="P118" s="34" t="s">
        <v>75</v>
      </c>
      <c r="Q118" s="33" t="n">
        <f>63920</f>
        <v>63920.0</v>
      </c>
      <c r="R118" s="34" t="s">
        <v>51</v>
      </c>
      <c r="S118" s="35" t="n">
        <f>65303.64</f>
        <v>65303.64</v>
      </c>
      <c r="T118" s="32" t="n">
        <f>55195</f>
        <v>55195.0</v>
      </c>
      <c r="U118" s="32" t="n">
        <f>17896</f>
        <v>17896.0</v>
      </c>
      <c r="V118" s="32" t="n">
        <f>3557492648</f>
        <v>3.557492648E9</v>
      </c>
      <c r="W118" s="32" t="n">
        <f>1127807898</f>
        <v>1.127807898E9</v>
      </c>
      <c r="X118" s="36" t="n">
        <f>22</f>
        <v>22.0</v>
      </c>
    </row>
    <row r="119">
      <c r="A119" s="27" t="s">
        <v>42</v>
      </c>
      <c r="B119" s="27" t="s">
        <v>401</v>
      </c>
      <c r="C119" s="27" t="s">
        <v>402</v>
      </c>
      <c r="D119" s="27" t="s">
        <v>403</v>
      </c>
      <c r="E119" s="28" t="s">
        <v>46</v>
      </c>
      <c r="F119" s="29" t="s">
        <v>46</v>
      </c>
      <c r="G119" s="30" t="s">
        <v>46</v>
      </c>
      <c r="H119" s="31"/>
      <c r="I119" s="31" t="s">
        <v>47</v>
      </c>
      <c r="J119" s="32" t="n">
        <v>1.0</v>
      </c>
      <c r="K119" s="33" t="n">
        <f>42710</f>
        <v>42710.0</v>
      </c>
      <c r="L119" s="34" t="s">
        <v>48</v>
      </c>
      <c r="M119" s="33" t="n">
        <f>45440</f>
        <v>45440.0</v>
      </c>
      <c r="N119" s="34" t="s">
        <v>160</v>
      </c>
      <c r="O119" s="33" t="n">
        <f>42500</f>
        <v>42500.0</v>
      </c>
      <c r="P119" s="34" t="s">
        <v>48</v>
      </c>
      <c r="Q119" s="33" t="n">
        <f>44300</f>
        <v>44300.0</v>
      </c>
      <c r="R119" s="34" t="s">
        <v>51</v>
      </c>
      <c r="S119" s="35" t="n">
        <f>44252.27</f>
        <v>44252.27</v>
      </c>
      <c r="T119" s="32" t="n">
        <f>18533</f>
        <v>18533.0</v>
      </c>
      <c r="U119" s="32" t="n">
        <f>5411</f>
        <v>5411.0</v>
      </c>
      <c r="V119" s="32" t="n">
        <f>823074743</f>
        <v>8.23074743E8</v>
      </c>
      <c r="W119" s="32" t="n">
        <f>240915283</f>
        <v>2.40915283E8</v>
      </c>
      <c r="X119" s="36" t="n">
        <f>22</f>
        <v>22.0</v>
      </c>
    </row>
    <row r="120">
      <c r="A120" s="27" t="s">
        <v>42</v>
      </c>
      <c r="B120" s="27" t="s">
        <v>404</v>
      </c>
      <c r="C120" s="27" t="s">
        <v>405</v>
      </c>
      <c r="D120" s="27" t="s">
        <v>406</v>
      </c>
      <c r="E120" s="28" t="s">
        <v>46</v>
      </c>
      <c r="F120" s="29" t="s">
        <v>46</v>
      </c>
      <c r="G120" s="30" t="s">
        <v>46</v>
      </c>
      <c r="H120" s="31"/>
      <c r="I120" s="31" t="s">
        <v>47</v>
      </c>
      <c r="J120" s="32" t="n">
        <v>1.0</v>
      </c>
      <c r="K120" s="33" t="n">
        <f>11245</f>
        <v>11245.0</v>
      </c>
      <c r="L120" s="34" t="s">
        <v>48</v>
      </c>
      <c r="M120" s="33" t="n">
        <f>11775</f>
        <v>11775.0</v>
      </c>
      <c r="N120" s="34" t="s">
        <v>224</v>
      </c>
      <c r="O120" s="33" t="n">
        <f>11075</f>
        <v>11075.0</v>
      </c>
      <c r="P120" s="34" t="s">
        <v>50</v>
      </c>
      <c r="Q120" s="33" t="n">
        <f>11560</f>
        <v>11560.0</v>
      </c>
      <c r="R120" s="34" t="s">
        <v>51</v>
      </c>
      <c r="S120" s="35" t="n">
        <f>11466.14</f>
        <v>11466.14</v>
      </c>
      <c r="T120" s="32" t="n">
        <f>62154</f>
        <v>62154.0</v>
      </c>
      <c r="U120" s="32" t="n">
        <f>1511</f>
        <v>1511.0</v>
      </c>
      <c r="V120" s="32" t="n">
        <f>711579722</f>
        <v>7.11579722E8</v>
      </c>
      <c r="W120" s="32" t="n">
        <f>17455277</f>
        <v>1.7455277E7</v>
      </c>
      <c r="X120" s="36" t="n">
        <f>22</f>
        <v>22.0</v>
      </c>
    </row>
    <row r="121">
      <c r="A121" s="27" t="s">
        <v>42</v>
      </c>
      <c r="B121" s="27" t="s">
        <v>407</v>
      </c>
      <c r="C121" s="27" t="s">
        <v>408</v>
      </c>
      <c r="D121" s="27" t="s">
        <v>409</v>
      </c>
      <c r="E121" s="28" t="s">
        <v>46</v>
      </c>
      <c r="F121" s="29" t="s">
        <v>46</v>
      </c>
      <c r="G121" s="30" t="s">
        <v>46</v>
      </c>
      <c r="H121" s="31"/>
      <c r="I121" s="31" t="s">
        <v>47</v>
      </c>
      <c r="J121" s="32" t="n">
        <v>1.0</v>
      </c>
      <c r="K121" s="33" t="n">
        <f>20425</f>
        <v>20425.0</v>
      </c>
      <c r="L121" s="34" t="s">
        <v>48</v>
      </c>
      <c r="M121" s="33" t="n">
        <f>22560</f>
        <v>22560.0</v>
      </c>
      <c r="N121" s="34" t="s">
        <v>75</v>
      </c>
      <c r="O121" s="33" t="n">
        <f>20125</f>
        <v>20125.0</v>
      </c>
      <c r="P121" s="34" t="s">
        <v>48</v>
      </c>
      <c r="Q121" s="33" t="n">
        <f>21725</f>
        <v>21725.0</v>
      </c>
      <c r="R121" s="34" t="s">
        <v>51</v>
      </c>
      <c r="S121" s="35" t="n">
        <f>21304.77</f>
        <v>21304.77</v>
      </c>
      <c r="T121" s="32" t="n">
        <f>26870</f>
        <v>26870.0</v>
      </c>
      <c r="U121" s="32" t="n">
        <f>5134</f>
        <v>5134.0</v>
      </c>
      <c r="V121" s="32" t="n">
        <f>572446421</f>
        <v>5.72446421E8</v>
      </c>
      <c r="W121" s="32" t="n">
        <f>109632756</f>
        <v>1.09632756E8</v>
      </c>
      <c r="X121" s="36" t="n">
        <f>22</f>
        <v>22.0</v>
      </c>
    </row>
    <row r="122">
      <c r="A122" s="27" t="s">
        <v>42</v>
      </c>
      <c r="B122" s="27" t="s">
        <v>410</v>
      </c>
      <c r="C122" s="27" t="s">
        <v>411</v>
      </c>
      <c r="D122" s="27" t="s">
        <v>412</v>
      </c>
      <c r="E122" s="28" t="s">
        <v>46</v>
      </c>
      <c r="F122" s="29" t="s">
        <v>46</v>
      </c>
      <c r="G122" s="30" t="s">
        <v>46</v>
      </c>
      <c r="H122" s="31"/>
      <c r="I122" s="31" t="s">
        <v>47</v>
      </c>
      <c r="J122" s="32" t="n">
        <v>10.0</v>
      </c>
      <c r="K122" s="33" t="n">
        <f>246.2</f>
        <v>246.2</v>
      </c>
      <c r="L122" s="34" t="s">
        <v>48</v>
      </c>
      <c r="M122" s="33" t="n">
        <f>266</f>
        <v>266.0</v>
      </c>
      <c r="N122" s="34" t="s">
        <v>51</v>
      </c>
      <c r="O122" s="33" t="n">
        <f>241.8</f>
        <v>241.8</v>
      </c>
      <c r="P122" s="34" t="s">
        <v>48</v>
      </c>
      <c r="Q122" s="33" t="n">
        <f>263</f>
        <v>263.0</v>
      </c>
      <c r="R122" s="34" t="s">
        <v>51</v>
      </c>
      <c r="S122" s="35" t="n">
        <f>255.19</f>
        <v>255.19</v>
      </c>
      <c r="T122" s="32" t="n">
        <f>88099610</f>
        <v>8.809961E7</v>
      </c>
      <c r="U122" s="32" t="n">
        <f>6547680</f>
        <v>6547680.0</v>
      </c>
      <c r="V122" s="32" t="n">
        <f>22489776652</f>
        <v>2.2489776652E10</v>
      </c>
      <c r="W122" s="32" t="n">
        <f>1657011970</f>
        <v>1.65701197E9</v>
      </c>
      <c r="X122" s="36" t="n">
        <f>22</f>
        <v>22.0</v>
      </c>
    </row>
    <row r="123">
      <c r="A123" s="27" t="s">
        <v>42</v>
      </c>
      <c r="B123" s="27" t="s">
        <v>413</v>
      </c>
      <c r="C123" s="27" t="s">
        <v>414</v>
      </c>
      <c r="D123" s="27" t="s">
        <v>415</v>
      </c>
      <c r="E123" s="28" t="s">
        <v>46</v>
      </c>
      <c r="F123" s="29" t="s">
        <v>46</v>
      </c>
      <c r="G123" s="30" t="s">
        <v>46</v>
      </c>
      <c r="H123" s="31"/>
      <c r="I123" s="31" t="s">
        <v>416</v>
      </c>
      <c r="J123" s="32" t="n">
        <v>1.0</v>
      </c>
      <c r="K123" s="33" t="n">
        <f>18235</f>
        <v>18235.0</v>
      </c>
      <c r="L123" s="34" t="s">
        <v>48</v>
      </c>
      <c r="M123" s="33" t="n">
        <f>18565</f>
        <v>18565.0</v>
      </c>
      <c r="N123" s="34" t="s">
        <v>58</v>
      </c>
      <c r="O123" s="33" t="n">
        <f>16050</f>
        <v>16050.0</v>
      </c>
      <c r="P123" s="34" t="s">
        <v>75</v>
      </c>
      <c r="Q123" s="33" t="n">
        <f>17320</f>
        <v>17320.0</v>
      </c>
      <c r="R123" s="34" t="s">
        <v>51</v>
      </c>
      <c r="S123" s="35" t="n">
        <f>17341.82</f>
        <v>17341.82</v>
      </c>
      <c r="T123" s="32" t="n">
        <f>11489</f>
        <v>11489.0</v>
      </c>
      <c r="U123" s="32" t="str">
        <f>"－"</f>
        <v>－</v>
      </c>
      <c r="V123" s="32" t="n">
        <f>198765605</f>
        <v>1.98765605E8</v>
      </c>
      <c r="W123" s="32" t="str">
        <f>"－"</f>
        <v>－</v>
      </c>
      <c r="X123" s="36" t="n">
        <f>22</f>
        <v>22.0</v>
      </c>
    </row>
    <row r="124">
      <c r="A124" s="27" t="s">
        <v>42</v>
      </c>
      <c r="B124" s="27" t="s">
        <v>417</v>
      </c>
      <c r="C124" s="27" t="s">
        <v>418</v>
      </c>
      <c r="D124" s="27" t="s">
        <v>419</v>
      </c>
      <c r="E124" s="28" t="s">
        <v>46</v>
      </c>
      <c r="F124" s="29" t="s">
        <v>46</v>
      </c>
      <c r="G124" s="30" t="s">
        <v>46</v>
      </c>
      <c r="H124" s="31"/>
      <c r="I124" s="31" t="s">
        <v>47</v>
      </c>
      <c r="J124" s="32" t="n">
        <v>1.0</v>
      </c>
      <c r="K124" s="33" t="n">
        <f>37610</f>
        <v>37610.0</v>
      </c>
      <c r="L124" s="34" t="s">
        <v>48</v>
      </c>
      <c r="M124" s="33" t="n">
        <f>40340</f>
        <v>40340.0</v>
      </c>
      <c r="N124" s="34" t="s">
        <v>75</v>
      </c>
      <c r="O124" s="33" t="n">
        <f>36930</f>
        <v>36930.0</v>
      </c>
      <c r="P124" s="34" t="s">
        <v>71</v>
      </c>
      <c r="Q124" s="33" t="n">
        <f>38250</f>
        <v>38250.0</v>
      </c>
      <c r="R124" s="34" t="s">
        <v>51</v>
      </c>
      <c r="S124" s="35" t="n">
        <f>38412.27</f>
        <v>38412.27</v>
      </c>
      <c r="T124" s="32" t="n">
        <f>15676</f>
        <v>15676.0</v>
      </c>
      <c r="U124" s="32" t="n">
        <f>323</f>
        <v>323.0</v>
      </c>
      <c r="V124" s="32" t="n">
        <f>602262187</f>
        <v>6.02262187E8</v>
      </c>
      <c r="W124" s="32" t="n">
        <f>12511897</f>
        <v>1.2511897E7</v>
      </c>
      <c r="X124" s="36" t="n">
        <f>22</f>
        <v>22.0</v>
      </c>
    </row>
    <row r="125">
      <c r="A125" s="27" t="s">
        <v>42</v>
      </c>
      <c r="B125" s="27" t="s">
        <v>420</v>
      </c>
      <c r="C125" s="27" t="s">
        <v>421</v>
      </c>
      <c r="D125" s="27" t="s">
        <v>422</v>
      </c>
      <c r="E125" s="28" t="s">
        <v>46</v>
      </c>
      <c r="F125" s="29" t="s">
        <v>46</v>
      </c>
      <c r="G125" s="30" t="s">
        <v>46</v>
      </c>
      <c r="H125" s="31"/>
      <c r="I125" s="31" t="s">
        <v>47</v>
      </c>
      <c r="J125" s="32" t="n">
        <v>1.0</v>
      </c>
      <c r="K125" s="33" t="n">
        <f>37680</f>
        <v>37680.0</v>
      </c>
      <c r="L125" s="34" t="s">
        <v>48</v>
      </c>
      <c r="M125" s="33" t="n">
        <f>42360</f>
        <v>42360.0</v>
      </c>
      <c r="N125" s="34" t="s">
        <v>156</v>
      </c>
      <c r="O125" s="33" t="n">
        <f>37550</f>
        <v>37550.0</v>
      </c>
      <c r="P125" s="34" t="s">
        <v>48</v>
      </c>
      <c r="Q125" s="33" t="n">
        <f>39780</f>
        <v>39780.0</v>
      </c>
      <c r="R125" s="34" t="s">
        <v>51</v>
      </c>
      <c r="S125" s="35" t="n">
        <f>40303.64</f>
        <v>40303.64</v>
      </c>
      <c r="T125" s="32" t="n">
        <f>231709</f>
        <v>231709.0</v>
      </c>
      <c r="U125" s="32" t="n">
        <f>46875</f>
        <v>46875.0</v>
      </c>
      <c r="V125" s="32" t="n">
        <f>9315389018</f>
        <v>9.315389018E9</v>
      </c>
      <c r="W125" s="32" t="n">
        <f>1865029358</f>
        <v>1.865029358E9</v>
      </c>
      <c r="X125" s="36" t="n">
        <f>22</f>
        <v>22.0</v>
      </c>
    </row>
    <row r="126">
      <c r="A126" s="27" t="s">
        <v>42</v>
      </c>
      <c r="B126" s="27" t="s">
        <v>423</v>
      </c>
      <c r="C126" s="27" t="s">
        <v>424</v>
      </c>
      <c r="D126" s="27" t="s">
        <v>425</v>
      </c>
      <c r="E126" s="28" t="s">
        <v>46</v>
      </c>
      <c r="F126" s="29" t="s">
        <v>46</v>
      </c>
      <c r="G126" s="30" t="s">
        <v>46</v>
      </c>
      <c r="H126" s="31"/>
      <c r="I126" s="31" t="s">
        <v>47</v>
      </c>
      <c r="J126" s="32" t="n">
        <v>1.0</v>
      </c>
      <c r="K126" s="33" t="n">
        <f>40870</f>
        <v>40870.0</v>
      </c>
      <c r="L126" s="34" t="s">
        <v>48</v>
      </c>
      <c r="M126" s="33" t="n">
        <f>44680</f>
        <v>44680.0</v>
      </c>
      <c r="N126" s="34" t="s">
        <v>156</v>
      </c>
      <c r="O126" s="33" t="n">
        <f>40430</f>
        <v>40430.0</v>
      </c>
      <c r="P126" s="34" t="s">
        <v>48</v>
      </c>
      <c r="Q126" s="33" t="n">
        <f>43510</f>
        <v>43510.0</v>
      </c>
      <c r="R126" s="34" t="s">
        <v>51</v>
      </c>
      <c r="S126" s="35" t="n">
        <f>42927.27</f>
        <v>42927.27</v>
      </c>
      <c r="T126" s="32" t="n">
        <f>61773</f>
        <v>61773.0</v>
      </c>
      <c r="U126" s="32" t="n">
        <f>9571</f>
        <v>9571.0</v>
      </c>
      <c r="V126" s="32" t="n">
        <f>2643563284</f>
        <v>2.643563284E9</v>
      </c>
      <c r="W126" s="32" t="n">
        <f>410923234</f>
        <v>4.10923234E8</v>
      </c>
      <c r="X126" s="36" t="n">
        <f>22</f>
        <v>22.0</v>
      </c>
    </row>
    <row r="127">
      <c r="A127" s="27" t="s">
        <v>42</v>
      </c>
      <c r="B127" s="27" t="s">
        <v>426</v>
      </c>
      <c r="C127" s="27" t="s">
        <v>427</v>
      </c>
      <c r="D127" s="27" t="s">
        <v>428</v>
      </c>
      <c r="E127" s="28" t="s">
        <v>46</v>
      </c>
      <c r="F127" s="29" t="s">
        <v>46</v>
      </c>
      <c r="G127" s="30" t="s">
        <v>46</v>
      </c>
      <c r="H127" s="31"/>
      <c r="I127" s="31" t="s">
        <v>47</v>
      </c>
      <c r="J127" s="32" t="n">
        <v>1.0</v>
      </c>
      <c r="K127" s="33" t="n">
        <f>50850</f>
        <v>50850.0</v>
      </c>
      <c r="L127" s="34" t="s">
        <v>48</v>
      </c>
      <c r="M127" s="33" t="n">
        <f>54150</f>
        <v>54150.0</v>
      </c>
      <c r="N127" s="34" t="s">
        <v>224</v>
      </c>
      <c r="O127" s="33" t="n">
        <f>49830</f>
        <v>49830.0</v>
      </c>
      <c r="P127" s="34" t="s">
        <v>48</v>
      </c>
      <c r="Q127" s="33" t="n">
        <f>50860</f>
        <v>50860.0</v>
      </c>
      <c r="R127" s="34" t="s">
        <v>51</v>
      </c>
      <c r="S127" s="35" t="n">
        <f>52071.36</f>
        <v>52071.36</v>
      </c>
      <c r="T127" s="32" t="n">
        <f>13862</f>
        <v>13862.0</v>
      </c>
      <c r="U127" s="32" t="n">
        <f>4665</f>
        <v>4665.0</v>
      </c>
      <c r="V127" s="32" t="n">
        <f>716966811</f>
        <v>7.16966811E8</v>
      </c>
      <c r="W127" s="32" t="n">
        <f>238364351</f>
        <v>2.38364351E8</v>
      </c>
      <c r="X127" s="36" t="n">
        <f>22</f>
        <v>22.0</v>
      </c>
    </row>
    <row r="128">
      <c r="A128" s="27" t="s">
        <v>42</v>
      </c>
      <c r="B128" s="27" t="s">
        <v>429</v>
      </c>
      <c r="C128" s="27" t="s">
        <v>430</v>
      </c>
      <c r="D128" s="27" t="s">
        <v>431</v>
      </c>
      <c r="E128" s="28" t="s">
        <v>46</v>
      </c>
      <c r="F128" s="29" t="s">
        <v>46</v>
      </c>
      <c r="G128" s="30" t="s">
        <v>46</v>
      </c>
      <c r="H128" s="31"/>
      <c r="I128" s="31" t="s">
        <v>416</v>
      </c>
      <c r="J128" s="32" t="n">
        <v>1.0</v>
      </c>
      <c r="K128" s="33" t="n">
        <f>24000</f>
        <v>24000.0</v>
      </c>
      <c r="L128" s="34" t="s">
        <v>48</v>
      </c>
      <c r="M128" s="33" t="n">
        <f>24650</f>
        <v>24650.0</v>
      </c>
      <c r="N128" s="34" t="s">
        <v>48</v>
      </c>
      <c r="O128" s="33" t="n">
        <f>16510</f>
        <v>16510.0</v>
      </c>
      <c r="P128" s="34" t="s">
        <v>75</v>
      </c>
      <c r="Q128" s="33" t="n">
        <f>19180</f>
        <v>19180.0</v>
      </c>
      <c r="R128" s="34" t="s">
        <v>51</v>
      </c>
      <c r="S128" s="35" t="n">
        <f>21155.91</f>
        <v>21155.91</v>
      </c>
      <c r="T128" s="32" t="n">
        <f>349912</f>
        <v>349912.0</v>
      </c>
      <c r="U128" s="32" t="n">
        <f>19000</f>
        <v>19000.0</v>
      </c>
      <c r="V128" s="32" t="n">
        <f>7291601760</f>
        <v>7.29160176E9</v>
      </c>
      <c r="W128" s="32" t="n">
        <f>397484000</f>
        <v>3.97484E8</v>
      </c>
      <c r="X128" s="36" t="n">
        <f>22</f>
        <v>22.0</v>
      </c>
    </row>
    <row r="129">
      <c r="A129" s="27" t="s">
        <v>42</v>
      </c>
      <c r="B129" s="27" t="s">
        <v>432</v>
      </c>
      <c r="C129" s="27" t="s">
        <v>433</v>
      </c>
      <c r="D129" s="27" t="s">
        <v>434</v>
      </c>
      <c r="E129" s="28" t="s">
        <v>46</v>
      </c>
      <c r="F129" s="29" t="s">
        <v>46</v>
      </c>
      <c r="G129" s="30" t="s">
        <v>46</v>
      </c>
      <c r="H129" s="31"/>
      <c r="I129" s="31" t="s">
        <v>47</v>
      </c>
      <c r="J129" s="32" t="n">
        <v>1.0</v>
      </c>
      <c r="K129" s="33" t="n">
        <f>2988</f>
        <v>2988.0</v>
      </c>
      <c r="L129" s="34" t="s">
        <v>48</v>
      </c>
      <c r="M129" s="33" t="n">
        <f>3345</f>
        <v>3345.0</v>
      </c>
      <c r="N129" s="34" t="s">
        <v>75</v>
      </c>
      <c r="O129" s="33" t="n">
        <f>2938</f>
        <v>2938.0</v>
      </c>
      <c r="P129" s="34" t="s">
        <v>48</v>
      </c>
      <c r="Q129" s="33" t="n">
        <f>3221</f>
        <v>3221.0</v>
      </c>
      <c r="R129" s="34" t="s">
        <v>51</v>
      </c>
      <c r="S129" s="35" t="n">
        <f>3136.18</f>
        <v>3136.18</v>
      </c>
      <c r="T129" s="32" t="n">
        <f>4109233</f>
        <v>4109233.0</v>
      </c>
      <c r="U129" s="32" t="n">
        <f>2889603</f>
        <v>2889603.0</v>
      </c>
      <c r="V129" s="32" t="n">
        <f>12862599688</f>
        <v>1.2862599688E10</v>
      </c>
      <c r="W129" s="32" t="n">
        <f>9018300698</f>
        <v>9.018300698E9</v>
      </c>
      <c r="X129" s="36" t="n">
        <f>22</f>
        <v>22.0</v>
      </c>
    </row>
    <row r="130">
      <c r="A130" s="27" t="s">
        <v>42</v>
      </c>
      <c r="B130" s="27" t="s">
        <v>435</v>
      </c>
      <c r="C130" s="27" t="s">
        <v>436</v>
      </c>
      <c r="D130" s="27" t="s">
        <v>437</v>
      </c>
      <c r="E130" s="28" t="s">
        <v>46</v>
      </c>
      <c r="F130" s="29" t="s">
        <v>46</v>
      </c>
      <c r="G130" s="30" t="s">
        <v>46</v>
      </c>
      <c r="H130" s="31"/>
      <c r="I130" s="31" t="s">
        <v>47</v>
      </c>
      <c r="J130" s="32" t="n">
        <v>10.0</v>
      </c>
      <c r="K130" s="33" t="n">
        <f>5031</f>
        <v>5031.0</v>
      </c>
      <c r="L130" s="34" t="s">
        <v>58</v>
      </c>
      <c r="M130" s="33" t="n">
        <f>5062</f>
        <v>5062.0</v>
      </c>
      <c r="N130" s="34" t="s">
        <v>274</v>
      </c>
      <c r="O130" s="33" t="n">
        <f>4908</f>
        <v>4908.0</v>
      </c>
      <c r="P130" s="34" t="s">
        <v>51</v>
      </c>
      <c r="Q130" s="33" t="n">
        <f>4908</f>
        <v>4908.0</v>
      </c>
      <c r="R130" s="34" t="s">
        <v>51</v>
      </c>
      <c r="S130" s="35" t="n">
        <f>4992.42</f>
        <v>4992.42</v>
      </c>
      <c r="T130" s="32" t="n">
        <f>1600</f>
        <v>1600.0</v>
      </c>
      <c r="U130" s="32" t="str">
        <f>"－"</f>
        <v>－</v>
      </c>
      <c r="V130" s="32" t="n">
        <f>8003610</f>
        <v>8003610.0</v>
      </c>
      <c r="W130" s="32" t="str">
        <f>"－"</f>
        <v>－</v>
      </c>
      <c r="X130" s="36" t="n">
        <f>12</f>
        <v>12.0</v>
      </c>
    </row>
    <row r="131">
      <c r="A131" s="27" t="s">
        <v>42</v>
      </c>
      <c r="B131" s="27" t="s">
        <v>438</v>
      </c>
      <c r="C131" s="27" t="s">
        <v>439</v>
      </c>
      <c r="D131" s="27" t="s">
        <v>440</v>
      </c>
      <c r="E131" s="28" t="s">
        <v>46</v>
      </c>
      <c r="F131" s="29" t="s">
        <v>46</v>
      </c>
      <c r="G131" s="30" t="s">
        <v>46</v>
      </c>
      <c r="H131" s="31"/>
      <c r="I131" s="31" t="s">
        <v>47</v>
      </c>
      <c r="J131" s="32" t="n">
        <v>10.0</v>
      </c>
      <c r="K131" s="33" t="n">
        <f>5239</f>
        <v>5239.0</v>
      </c>
      <c r="L131" s="34" t="s">
        <v>48</v>
      </c>
      <c r="M131" s="33" t="n">
        <f>5300</f>
        <v>5300.0</v>
      </c>
      <c r="N131" s="34" t="s">
        <v>58</v>
      </c>
      <c r="O131" s="33" t="n">
        <f>4962</f>
        <v>4962.0</v>
      </c>
      <c r="P131" s="34" t="s">
        <v>50</v>
      </c>
      <c r="Q131" s="33" t="n">
        <f>5131</f>
        <v>5131.0</v>
      </c>
      <c r="R131" s="34" t="s">
        <v>51</v>
      </c>
      <c r="S131" s="35" t="n">
        <f>5159.56</f>
        <v>5159.56</v>
      </c>
      <c r="T131" s="32" t="n">
        <f>114410</f>
        <v>114410.0</v>
      </c>
      <c r="U131" s="32" t="n">
        <f>55000</f>
        <v>55000.0</v>
      </c>
      <c r="V131" s="32" t="n">
        <f>591193740</f>
        <v>5.9119374E8</v>
      </c>
      <c r="W131" s="32" t="n">
        <f>287204350</f>
        <v>2.8720435E8</v>
      </c>
      <c r="X131" s="36" t="n">
        <f>16</f>
        <v>16.0</v>
      </c>
    </row>
    <row r="132">
      <c r="A132" s="27" t="s">
        <v>42</v>
      </c>
      <c r="B132" s="27" t="s">
        <v>441</v>
      </c>
      <c r="C132" s="27" t="s">
        <v>442</v>
      </c>
      <c r="D132" s="27" t="s">
        <v>443</v>
      </c>
      <c r="E132" s="28" t="s">
        <v>46</v>
      </c>
      <c r="F132" s="29" t="s">
        <v>46</v>
      </c>
      <c r="G132" s="30" t="s">
        <v>46</v>
      </c>
      <c r="H132" s="31"/>
      <c r="I132" s="31" t="s">
        <v>47</v>
      </c>
      <c r="J132" s="32" t="n">
        <v>10.0</v>
      </c>
      <c r="K132" s="33" t="n">
        <f>3344</f>
        <v>3344.0</v>
      </c>
      <c r="L132" s="34" t="s">
        <v>48</v>
      </c>
      <c r="M132" s="33" t="n">
        <f>3391</f>
        <v>3391.0</v>
      </c>
      <c r="N132" s="34" t="s">
        <v>49</v>
      </c>
      <c r="O132" s="33" t="n">
        <f>3127</f>
        <v>3127.0</v>
      </c>
      <c r="P132" s="34" t="s">
        <v>62</v>
      </c>
      <c r="Q132" s="33" t="n">
        <f>3173</f>
        <v>3173.0</v>
      </c>
      <c r="R132" s="34" t="s">
        <v>197</v>
      </c>
      <c r="S132" s="35" t="n">
        <f>3247.65</f>
        <v>3247.65</v>
      </c>
      <c r="T132" s="32" t="n">
        <f>73800</f>
        <v>73800.0</v>
      </c>
      <c r="U132" s="32" t="n">
        <f>36980</f>
        <v>36980.0</v>
      </c>
      <c r="V132" s="32" t="n">
        <f>242675341</f>
        <v>2.42675341E8</v>
      </c>
      <c r="W132" s="32" t="n">
        <f>122093331</f>
        <v>1.22093331E8</v>
      </c>
      <c r="X132" s="36" t="n">
        <f>17</f>
        <v>17.0</v>
      </c>
    </row>
    <row r="133">
      <c r="A133" s="27" t="s">
        <v>42</v>
      </c>
      <c r="B133" s="27" t="s">
        <v>444</v>
      </c>
      <c r="C133" s="27" t="s">
        <v>445</v>
      </c>
      <c r="D133" s="27" t="s">
        <v>446</v>
      </c>
      <c r="E133" s="28" t="s">
        <v>46</v>
      </c>
      <c r="F133" s="29" t="s">
        <v>46</v>
      </c>
      <c r="G133" s="30" t="s">
        <v>46</v>
      </c>
      <c r="H133" s="31"/>
      <c r="I133" s="31" t="s">
        <v>47</v>
      </c>
      <c r="J133" s="32" t="n">
        <v>10.0</v>
      </c>
      <c r="K133" s="33" t="n">
        <f>879.5</f>
        <v>879.5</v>
      </c>
      <c r="L133" s="34" t="s">
        <v>48</v>
      </c>
      <c r="M133" s="33" t="n">
        <f>888.4</f>
        <v>888.4</v>
      </c>
      <c r="N133" s="34" t="s">
        <v>249</v>
      </c>
      <c r="O133" s="33" t="n">
        <f>863.3</f>
        <v>863.3</v>
      </c>
      <c r="P133" s="34" t="s">
        <v>51</v>
      </c>
      <c r="Q133" s="33" t="n">
        <f>866</f>
        <v>866.0</v>
      </c>
      <c r="R133" s="34" t="s">
        <v>51</v>
      </c>
      <c r="S133" s="35" t="n">
        <f>878.36</f>
        <v>878.36</v>
      </c>
      <c r="T133" s="32" t="n">
        <f>33987700</f>
        <v>3.39877E7</v>
      </c>
      <c r="U133" s="32" t="n">
        <f>2169120</f>
        <v>2169120.0</v>
      </c>
      <c r="V133" s="32" t="n">
        <f>29840704140</f>
        <v>2.984070414E10</v>
      </c>
      <c r="W133" s="32" t="n">
        <f>1900737721</f>
        <v>1.900737721E9</v>
      </c>
      <c r="X133" s="36" t="n">
        <f>22</f>
        <v>22.0</v>
      </c>
    </row>
    <row r="134">
      <c r="A134" s="27" t="s">
        <v>42</v>
      </c>
      <c r="B134" s="27" t="s">
        <v>447</v>
      </c>
      <c r="C134" s="27" t="s">
        <v>448</v>
      </c>
      <c r="D134" s="27" t="s">
        <v>449</v>
      </c>
      <c r="E134" s="28" t="s">
        <v>46</v>
      </c>
      <c r="F134" s="29" t="s">
        <v>46</v>
      </c>
      <c r="G134" s="30" t="s">
        <v>46</v>
      </c>
      <c r="H134" s="31"/>
      <c r="I134" s="31" t="s">
        <v>47</v>
      </c>
      <c r="J134" s="32" t="n">
        <v>10.0</v>
      </c>
      <c r="K134" s="33" t="n">
        <f>326</f>
        <v>326.0</v>
      </c>
      <c r="L134" s="34" t="s">
        <v>48</v>
      </c>
      <c r="M134" s="33" t="n">
        <f>326</f>
        <v>326.0</v>
      </c>
      <c r="N134" s="34" t="s">
        <v>48</v>
      </c>
      <c r="O134" s="33" t="n">
        <f>311.6</f>
        <v>311.6</v>
      </c>
      <c r="P134" s="34" t="s">
        <v>51</v>
      </c>
      <c r="Q134" s="33" t="n">
        <f>312.7</f>
        <v>312.7</v>
      </c>
      <c r="R134" s="34" t="s">
        <v>51</v>
      </c>
      <c r="S134" s="35" t="n">
        <f>318.55</f>
        <v>318.55</v>
      </c>
      <c r="T134" s="32" t="n">
        <f>17944620</f>
        <v>1.794462E7</v>
      </c>
      <c r="U134" s="32" t="n">
        <f>12675140</f>
        <v>1.267514E7</v>
      </c>
      <c r="V134" s="32" t="n">
        <f>5654652936</f>
        <v>5.654652936E9</v>
      </c>
      <c r="W134" s="32" t="n">
        <f>3978493005</f>
        <v>3.978493005E9</v>
      </c>
      <c r="X134" s="36" t="n">
        <f>22</f>
        <v>22.0</v>
      </c>
    </row>
    <row r="135">
      <c r="A135" s="27" t="s">
        <v>42</v>
      </c>
      <c r="B135" s="27" t="s">
        <v>450</v>
      </c>
      <c r="C135" s="27" t="s">
        <v>451</v>
      </c>
      <c r="D135" s="27" t="s">
        <v>452</v>
      </c>
      <c r="E135" s="28" t="s">
        <v>46</v>
      </c>
      <c r="F135" s="29" t="s">
        <v>46</v>
      </c>
      <c r="G135" s="30" t="s">
        <v>46</v>
      </c>
      <c r="H135" s="31"/>
      <c r="I135" s="31" t="s">
        <v>47</v>
      </c>
      <c r="J135" s="32" t="n">
        <v>1.0</v>
      </c>
      <c r="K135" s="33" t="n">
        <f>7289</f>
        <v>7289.0</v>
      </c>
      <c r="L135" s="34" t="s">
        <v>48</v>
      </c>
      <c r="M135" s="33" t="n">
        <f>7392</f>
        <v>7392.0</v>
      </c>
      <c r="N135" s="34" t="s">
        <v>207</v>
      </c>
      <c r="O135" s="33" t="n">
        <f>7243</f>
        <v>7243.0</v>
      </c>
      <c r="P135" s="34" t="s">
        <v>51</v>
      </c>
      <c r="Q135" s="33" t="n">
        <f>7265</f>
        <v>7265.0</v>
      </c>
      <c r="R135" s="34" t="s">
        <v>51</v>
      </c>
      <c r="S135" s="35" t="n">
        <f>7317.73</f>
        <v>7317.73</v>
      </c>
      <c r="T135" s="32" t="n">
        <f>30003</f>
        <v>30003.0</v>
      </c>
      <c r="U135" s="32" t="n">
        <f>5600</f>
        <v>5600.0</v>
      </c>
      <c r="V135" s="32" t="n">
        <f>219368598</f>
        <v>2.19368598E8</v>
      </c>
      <c r="W135" s="32" t="n">
        <f>40919200</f>
        <v>4.09192E7</v>
      </c>
      <c r="X135" s="36" t="n">
        <f>22</f>
        <v>22.0</v>
      </c>
    </row>
    <row r="136">
      <c r="A136" s="27" t="s">
        <v>42</v>
      </c>
      <c r="B136" s="27" t="s">
        <v>453</v>
      </c>
      <c r="C136" s="27" t="s">
        <v>454</v>
      </c>
      <c r="D136" s="27" t="s">
        <v>455</v>
      </c>
      <c r="E136" s="28" t="s">
        <v>46</v>
      </c>
      <c r="F136" s="29" t="s">
        <v>46</v>
      </c>
      <c r="G136" s="30" t="s">
        <v>46</v>
      </c>
      <c r="H136" s="31"/>
      <c r="I136" s="31" t="s">
        <v>47</v>
      </c>
      <c r="J136" s="32" t="n">
        <v>1.0</v>
      </c>
      <c r="K136" s="33" t="n">
        <f>4544</f>
        <v>4544.0</v>
      </c>
      <c r="L136" s="34" t="s">
        <v>48</v>
      </c>
      <c r="M136" s="33" t="n">
        <f>4598</f>
        <v>4598.0</v>
      </c>
      <c r="N136" s="34" t="s">
        <v>48</v>
      </c>
      <c r="O136" s="33" t="n">
        <f>4066</f>
        <v>4066.0</v>
      </c>
      <c r="P136" s="34" t="s">
        <v>75</v>
      </c>
      <c r="Q136" s="33" t="n">
        <f>4320</f>
        <v>4320.0</v>
      </c>
      <c r="R136" s="34" t="s">
        <v>51</v>
      </c>
      <c r="S136" s="35" t="n">
        <f>4364.91</f>
        <v>4364.91</v>
      </c>
      <c r="T136" s="32" t="n">
        <f>565375</f>
        <v>565375.0</v>
      </c>
      <c r="U136" s="32" t="n">
        <f>267237</f>
        <v>267237.0</v>
      </c>
      <c r="V136" s="32" t="n">
        <f>2444341157</f>
        <v>2.444341157E9</v>
      </c>
      <c r="W136" s="32" t="n">
        <f>1154985442</f>
        <v>1.154985442E9</v>
      </c>
      <c r="X136" s="36" t="n">
        <f>22</f>
        <v>22.0</v>
      </c>
    </row>
    <row r="137">
      <c r="A137" s="27" t="s">
        <v>42</v>
      </c>
      <c r="B137" s="27" t="s">
        <v>456</v>
      </c>
      <c r="C137" s="27" t="s">
        <v>457</v>
      </c>
      <c r="D137" s="27" t="s">
        <v>458</v>
      </c>
      <c r="E137" s="28" t="s">
        <v>46</v>
      </c>
      <c r="F137" s="29" t="s">
        <v>46</v>
      </c>
      <c r="G137" s="30" t="s">
        <v>46</v>
      </c>
      <c r="H137" s="31"/>
      <c r="I137" s="31" t="s">
        <v>47</v>
      </c>
      <c r="J137" s="32" t="n">
        <v>1.0</v>
      </c>
      <c r="K137" s="33" t="n">
        <f>4002</f>
        <v>4002.0</v>
      </c>
      <c r="L137" s="34" t="s">
        <v>48</v>
      </c>
      <c r="M137" s="33" t="n">
        <f>4276</f>
        <v>4276.0</v>
      </c>
      <c r="N137" s="34" t="s">
        <v>75</v>
      </c>
      <c r="O137" s="33" t="n">
        <f>4002</f>
        <v>4002.0</v>
      </c>
      <c r="P137" s="34" t="s">
        <v>48</v>
      </c>
      <c r="Q137" s="33" t="n">
        <f>4083</f>
        <v>4083.0</v>
      </c>
      <c r="R137" s="34" t="s">
        <v>51</v>
      </c>
      <c r="S137" s="35" t="n">
        <f>4110.86</f>
        <v>4110.86</v>
      </c>
      <c r="T137" s="32" t="n">
        <f>151116</f>
        <v>151116.0</v>
      </c>
      <c r="U137" s="32" t="str">
        <f>"－"</f>
        <v>－</v>
      </c>
      <c r="V137" s="32" t="n">
        <f>627435825</f>
        <v>6.27435825E8</v>
      </c>
      <c r="W137" s="32" t="str">
        <f>"－"</f>
        <v>－</v>
      </c>
      <c r="X137" s="36" t="n">
        <f>22</f>
        <v>22.0</v>
      </c>
    </row>
    <row r="138">
      <c r="A138" s="27" t="s">
        <v>42</v>
      </c>
      <c r="B138" s="27" t="s">
        <v>459</v>
      </c>
      <c r="C138" s="27" t="s">
        <v>460</v>
      </c>
      <c r="D138" s="27" t="s">
        <v>461</v>
      </c>
      <c r="E138" s="28" t="s">
        <v>46</v>
      </c>
      <c r="F138" s="29" t="s">
        <v>46</v>
      </c>
      <c r="G138" s="30" t="s">
        <v>46</v>
      </c>
      <c r="H138" s="31"/>
      <c r="I138" s="31" t="s">
        <v>47</v>
      </c>
      <c r="J138" s="32" t="n">
        <v>1.0</v>
      </c>
      <c r="K138" s="33" t="n">
        <f>10730</f>
        <v>10730.0</v>
      </c>
      <c r="L138" s="34" t="s">
        <v>48</v>
      </c>
      <c r="M138" s="33" t="n">
        <f>11090</f>
        <v>11090.0</v>
      </c>
      <c r="N138" s="34" t="s">
        <v>75</v>
      </c>
      <c r="O138" s="33" t="n">
        <f>10560</f>
        <v>10560.0</v>
      </c>
      <c r="P138" s="34" t="s">
        <v>48</v>
      </c>
      <c r="Q138" s="33" t="n">
        <f>10965</f>
        <v>10965.0</v>
      </c>
      <c r="R138" s="34" t="s">
        <v>51</v>
      </c>
      <c r="S138" s="35" t="n">
        <f>10766.36</f>
        <v>10766.36</v>
      </c>
      <c r="T138" s="32" t="n">
        <f>290136</f>
        <v>290136.0</v>
      </c>
      <c r="U138" s="32" t="n">
        <f>174730</f>
        <v>174730.0</v>
      </c>
      <c r="V138" s="32" t="n">
        <f>3133294879</f>
        <v>3.133294879E9</v>
      </c>
      <c r="W138" s="32" t="n">
        <f>1893611589</f>
        <v>1.893611589E9</v>
      </c>
      <c r="X138" s="36" t="n">
        <f>22</f>
        <v>22.0</v>
      </c>
    </row>
    <row r="139">
      <c r="A139" s="27" t="s">
        <v>42</v>
      </c>
      <c r="B139" s="27" t="s">
        <v>462</v>
      </c>
      <c r="C139" s="27" t="s">
        <v>463</v>
      </c>
      <c r="D139" s="27" t="s">
        <v>464</v>
      </c>
      <c r="E139" s="28" t="s">
        <v>46</v>
      </c>
      <c r="F139" s="29" t="s">
        <v>46</v>
      </c>
      <c r="G139" s="30" t="s">
        <v>46</v>
      </c>
      <c r="H139" s="31"/>
      <c r="I139" s="31" t="s">
        <v>47</v>
      </c>
      <c r="J139" s="32" t="n">
        <v>1.0</v>
      </c>
      <c r="K139" s="33" t="n">
        <f>4391</f>
        <v>4391.0</v>
      </c>
      <c r="L139" s="34" t="s">
        <v>48</v>
      </c>
      <c r="M139" s="33" t="n">
        <f>5666</f>
        <v>5666.0</v>
      </c>
      <c r="N139" s="34" t="s">
        <v>71</v>
      </c>
      <c r="O139" s="33" t="n">
        <f>4243</f>
        <v>4243.0</v>
      </c>
      <c r="P139" s="34" t="s">
        <v>69</v>
      </c>
      <c r="Q139" s="33" t="n">
        <f>5067</f>
        <v>5067.0</v>
      </c>
      <c r="R139" s="34" t="s">
        <v>51</v>
      </c>
      <c r="S139" s="35" t="n">
        <f>4879.27</f>
        <v>4879.27</v>
      </c>
      <c r="T139" s="32" t="n">
        <f>6210523</f>
        <v>6210523.0</v>
      </c>
      <c r="U139" s="32" t="n">
        <f>10732</f>
        <v>10732.0</v>
      </c>
      <c r="V139" s="32" t="n">
        <f>30881731284</f>
        <v>3.0881731284E10</v>
      </c>
      <c r="W139" s="32" t="n">
        <f>57835374</f>
        <v>5.7835374E7</v>
      </c>
      <c r="X139" s="36" t="n">
        <f>22</f>
        <v>22.0</v>
      </c>
    </row>
    <row r="140">
      <c r="A140" s="27" t="s">
        <v>42</v>
      </c>
      <c r="B140" s="27" t="s">
        <v>465</v>
      </c>
      <c r="C140" s="27" t="s">
        <v>466</v>
      </c>
      <c r="D140" s="27" t="s">
        <v>467</v>
      </c>
      <c r="E140" s="28" t="s">
        <v>46</v>
      </c>
      <c r="F140" s="29" t="s">
        <v>46</v>
      </c>
      <c r="G140" s="30" t="s">
        <v>46</v>
      </c>
      <c r="H140" s="31"/>
      <c r="I140" s="31" t="s">
        <v>47</v>
      </c>
      <c r="J140" s="32" t="n">
        <v>1.0</v>
      </c>
      <c r="K140" s="33" t="n">
        <f>60070</f>
        <v>60070.0</v>
      </c>
      <c r="L140" s="34" t="s">
        <v>48</v>
      </c>
      <c r="M140" s="33" t="n">
        <f>63060</f>
        <v>63060.0</v>
      </c>
      <c r="N140" s="34" t="s">
        <v>58</v>
      </c>
      <c r="O140" s="33" t="n">
        <f>59740</f>
        <v>59740.0</v>
      </c>
      <c r="P140" s="34" t="s">
        <v>48</v>
      </c>
      <c r="Q140" s="33" t="n">
        <f>60760</f>
        <v>60760.0</v>
      </c>
      <c r="R140" s="34" t="s">
        <v>51</v>
      </c>
      <c r="S140" s="35" t="n">
        <f>61356.82</f>
        <v>61356.82</v>
      </c>
      <c r="T140" s="32" t="n">
        <f>9937</f>
        <v>9937.0</v>
      </c>
      <c r="U140" s="32" t="str">
        <f>"－"</f>
        <v>－</v>
      </c>
      <c r="V140" s="32" t="n">
        <f>609407950</f>
        <v>6.0940795E8</v>
      </c>
      <c r="W140" s="32" t="str">
        <f>"－"</f>
        <v>－</v>
      </c>
      <c r="X140" s="36" t="n">
        <f>22</f>
        <v>22.0</v>
      </c>
    </row>
    <row r="141">
      <c r="A141" s="27" t="s">
        <v>42</v>
      </c>
      <c r="B141" s="27" t="s">
        <v>468</v>
      </c>
      <c r="C141" s="27" t="s">
        <v>469</v>
      </c>
      <c r="D141" s="27" t="s">
        <v>470</v>
      </c>
      <c r="E141" s="28" t="s">
        <v>46</v>
      </c>
      <c r="F141" s="29" t="s">
        <v>46</v>
      </c>
      <c r="G141" s="30" t="s">
        <v>46</v>
      </c>
      <c r="H141" s="31"/>
      <c r="I141" s="31" t="s">
        <v>47</v>
      </c>
      <c r="J141" s="32" t="n">
        <v>10.0</v>
      </c>
      <c r="K141" s="33" t="n">
        <f>8635</f>
        <v>8635.0</v>
      </c>
      <c r="L141" s="34" t="s">
        <v>48</v>
      </c>
      <c r="M141" s="33" t="n">
        <f>9265</f>
        <v>9265.0</v>
      </c>
      <c r="N141" s="34" t="s">
        <v>58</v>
      </c>
      <c r="O141" s="33" t="n">
        <f>8135</f>
        <v>8135.0</v>
      </c>
      <c r="P141" s="34" t="s">
        <v>50</v>
      </c>
      <c r="Q141" s="33" t="n">
        <f>8506</f>
        <v>8506.0</v>
      </c>
      <c r="R141" s="34" t="s">
        <v>51</v>
      </c>
      <c r="S141" s="35" t="n">
        <f>8691.23</f>
        <v>8691.23</v>
      </c>
      <c r="T141" s="32" t="n">
        <f>127490</f>
        <v>127490.0</v>
      </c>
      <c r="U141" s="32" t="str">
        <f>"－"</f>
        <v>－</v>
      </c>
      <c r="V141" s="32" t="n">
        <f>1112013690</f>
        <v>1.11201369E9</v>
      </c>
      <c r="W141" s="32" t="str">
        <f>"－"</f>
        <v>－</v>
      </c>
      <c r="X141" s="36" t="n">
        <f>22</f>
        <v>22.0</v>
      </c>
    </row>
    <row r="142">
      <c r="A142" s="27" t="s">
        <v>42</v>
      </c>
      <c r="B142" s="27" t="s">
        <v>471</v>
      </c>
      <c r="C142" s="27" t="s">
        <v>472</v>
      </c>
      <c r="D142" s="27" t="s">
        <v>473</v>
      </c>
      <c r="E142" s="28" t="s">
        <v>46</v>
      </c>
      <c r="F142" s="29" t="s">
        <v>46</v>
      </c>
      <c r="G142" s="30" t="s">
        <v>46</v>
      </c>
      <c r="H142" s="31"/>
      <c r="I142" s="31" t="s">
        <v>47</v>
      </c>
      <c r="J142" s="32" t="n">
        <v>1.0</v>
      </c>
      <c r="K142" s="33" t="n">
        <f>22890</f>
        <v>22890.0</v>
      </c>
      <c r="L142" s="34" t="s">
        <v>48</v>
      </c>
      <c r="M142" s="33" t="n">
        <f>24645</f>
        <v>24645.0</v>
      </c>
      <c r="N142" s="34" t="s">
        <v>474</v>
      </c>
      <c r="O142" s="33" t="n">
        <f>22735</f>
        <v>22735.0</v>
      </c>
      <c r="P142" s="34" t="s">
        <v>48</v>
      </c>
      <c r="Q142" s="33" t="n">
        <f>23690</f>
        <v>23690.0</v>
      </c>
      <c r="R142" s="34" t="s">
        <v>51</v>
      </c>
      <c r="S142" s="35" t="n">
        <f>23810</f>
        <v>23810.0</v>
      </c>
      <c r="T142" s="32" t="n">
        <f>9038</f>
        <v>9038.0</v>
      </c>
      <c r="U142" s="32" t="str">
        <f>"－"</f>
        <v>－</v>
      </c>
      <c r="V142" s="32" t="n">
        <f>214935870</f>
        <v>2.1493587E8</v>
      </c>
      <c r="W142" s="32" t="str">
        <f>"－"</f>
        <v>－</v>
      </c>
      <c r="X142" s="36" t="n">
        <f>22</f>
        <v>22.0</v>
      </c>
    </row>
    <row r="143">
      <c r="A143" s="27" t="s">
        <v>42</v>
      </c>
      <c r="B143" s="27" t="s">
        <v>475</v>
      </c>
      <c r="C143" s="27" t="s">
        <v>476</v>
      </c>
      <c r="D143" s="27" t="s">
        <v>477</v>
      </c>
      <c r="E143" s="28" t="s">
        <v>46</v>
      </c>
      <c r="F143" s="29" t="s">
        <v>46</v>
      </c>
      <c r="G143" s="30" t="s">
        <v>46</v>
      </c>
      <c r="H143" s="31"/>
      <c r="I143" s="31" t="s">
        <v>47</v>
      </c>
      <c r="J143" s="32" t="n">
        <v>1.0</v>
      </c>
      <c r="K143" s="33" t="n">
        <f>17725</f>
        <v>17725.0</v>
      </c>
      <c r="L143" s="34" t="s">
        <v>48</v>
      </c>
      <c r="M143" s="33" t="n">
        <f>19690</f>
        <v>19690.0</v>
      </c>
      <c r="N143" s="34" t="s">
        <v>100</v>
      </c>
      <c r="O143" s="33" t="n">
        <f>17645</f>
        <v>17645.0</v>
      </c>
      <c r="P143" s="34" t="s">
        <v>48</v>
      </c>
      <c r="Q143" s="33" t="n">
        <f>19015</f>
        <v>19015.0</v>
      </c>
      <c r="R143" s="34" t="s">
        <v>51</v>
      </c>
      <c r="S143" s="35" t="n">
        <f>18739.32</f>
        <v>18739.32</v>
      </c>
      <c r="T143" s="32" t="n">
        <f>4138</f>
        <v>4138.0</v>
      </c>
      <c r="U143" s="32" t="str">
        <f>"－"</f>
        <v>－</v>
      </c>
      <c r="V143" s="32" t="n">
        <f>77762370</f>
        <v>7.776237E7</v>
      </c>
      <c r="W143" s="32" t="str">
        <f>"－"</f>
        <v>－</v>
      </c>
      <c r="X143" s="36" t="n">
        <f>22</f>
        <v>22.0</v>
      </c>
    </row>
    <row r="144">
      <c r="A144" s="27" t="s">
        <v>42</v>
      </c>
      <c r="B144" s="27" t="s">
        <v>478</v>
      </c>
      <c r="C144" s="27" t="s">
        <v>479</v>
      </c>
      <c r="D144" s="27" t="s">
        <v>480</v>
      </c>
      <c r="E144" s="28" t="s">
        <v>46</v>
      </c>
      <c r="F144" s="29" t="s">
        <v>46</v>
      </c>
      <c r="G144" s="30" t="s">
        <v>46</v>
      </c>
      <c r="H144" s="31"/>
      <c r="I144" s="31" t="s">
        <v>47</v>
      </c>
      <c r="J144" s="32" t="n">
        <v>1.0</v>
      </c>
      <c r="K144" s="33" t="n">
        <f>39300</f>
        <v>39300.0</v>
      </c>
      <c r="L144" s="34" t="s">
        <v>48</v>
      </c>
      <c r="M144" s="33" t="n">
        <f>42140</f>
        <v>42140.0</v>
      </c>
      <c r="N144" s="34" t="s">
        <v>224</v>
      </c>
      <c r="O144" s="33" t="n">
        <f>38600</f>
        <v>38600.0</v>
      </c>
      <c r="P144" s="34" t="s">
        <v>48</v>
      </c>
      <c r="Q144" s="33" t="n">
        <f>40140</f>
        <v>40140.0</v>
      </c>
      <c r="R144" s="34" t="s">
        <v>51</v>
      </c>
      <c r="S144" s="35" t="n">
        <f>40433.18</f>
        <v>40433.18</v>
      </c>
      <c r="T144" s="32" t="n">
        <f>909</f>
        <v>909.0</v>
      </c>
      <c r="U144" s="32" t="str">
        <f>"－"</f>
        <v>－</v>
      </c>
      <c r="V144" s="32" t="n">
        <f>36729880</f>
        <v>3.672988E7</v>
      </c>
      <c r="W144" s="32" t="str">
        <f>"－"</f>
        <v>－</v>
      </c>
      <c r="X144" s="36" t="n">
        <f>22</f>
        <v>22.0</v>
      </c>
    </row>
    <row r="145">
      <c r="A145" s="27" t="s">
        <v>42</v>
      </c>
      <c r="B145" s="27" t="s">
        <v>481</v>
      </c>
      <c r="C145" s="27" t="s">
        <v>482</v>
      </c>
      <c r="D145" s="27" t="s">
        <v>483</v>
      </c>
      <c r="E145" s="28" t="s">
        <v>46</v>
      </c>
      <c r="F145" s="29" t="s">
        <v>46</v>
      </c>
      <c r="G145" s="30" t="s">
        <v>46</v>
      </c>
      <c r="H145" s="31"/>
      <c r="I145" s="31" t="s">
        <v>47</v>
      </c>
      <c r="J145" s="32" t="n">
        <v>10.0</v>
      </c>
      <c r="K145" s="33" t="n">
        <f>61620</f>
        <v>61620.0</v>
      </c>
      <c r="L145" s="34" t="s">
        <v>48</v>
      </c>
      <c r="M145" s="33" t="n">
        <f>62040</f>
        <v>62040.0</v>
      </c>
      <c r="N145" s="34" t="s">
        <v>58</v>
      </c>
      <c r="O145" s="33" t="n">
        <f>60370</f>
        <v>60370.0</v>
      </c>
      <c r="P145" s="34" t="s">
        <v>51</v>
      </c>
      <c r="Q145" s="33" t="n">
        <f>60620</f>
        <v>60620.0</v>
      </c>
      <c r="R145" s="34" t="s">
        <v>51</v>
      </c>
      <c r="S145" s="35" t="n">
        <f>61160</f>
        <v>61160.0</v>
      </c>
      <c r="T145" s="32" t="n">
        <f>4640</f>
        <v>4640.0</v>
      </c>
      <c r="U145" s="32" t="n">
        <f>870</f>
        <v>870.0</v>
      </c>
      <c r="V145" s="32" t="n">
        <f>283780175</f>
        <v>2.83780175E8</v>
      </c>
      <c r="W145" s="32" t="n">
        <f>53096975</f>
        <v>5.3096975E7</v>
      </c>
      <c r="X145" s="36" t="n">
        <f>22</f>
        <v>22.0</v>
      </c>
    </row>
    <row r="146">
      <c r="A146" s="27" t="s">
        <v>42</v>
      </c>
      <c r="B146" s="27" t="s">
        <v>484</v>
      </c>
      <c r="C146" s="27" t="s">
        <v>485</v>
      </c>
      <c r="D146" s="27" t="s">
        <v>486</v>
      </c>
      <c r="E146" s="28" t="s">
        <v>46</v>
      </c>
      <c r="F146" s="29" t="s">
        <v>46</v>
      </c>
      <c r="G146" s="30" t="s">
        <v>46</v>
      </c>
      <c r="H146" s="31"/>
      <c r="I146" s="31" t="s">
        <v>47</v>
      </c>
      <c r="J146" s="32" t="n">
        <v>10.0</v>
      </c>
      <c r="K146" s="33" t="n">
        <f>324</f>
        <v>324.0</v>
      </c>
      <c r="L146" s="34" t="s">
        <v>48</v>
      </c>
      <c r="M146" s="33" t="n">
        <f>329.7</f>
        <v>329.7</v>
      </c>
      <c r="N146" s="34" t="s">
        <v>49</v>
      </c>
      <c r="O146" s="33" t="n">
        <f>314.6</f>
        <v>314.6</v>
      </c>
      <c r="P146" s="34" t="s">
        <v>71</v>
      </c>
      <c r="Q146" s="33" t="n">
        <f>323.6</f>
        <v>323.6</v>
      </c>
      <c r="R146" s="34" t="s">
        <v>51</v>
      </c>
      <c r="S146" s="35" t="n">
        <f>322.78</f>
        <v>322.78</v>
      </c>
      <c r="T146" s="32" t="n">
        <f>11463980</f>
        <v>1.146398E7</v>
      </c>
      <c r="U146" s="32" t="n">
        <f>645630</f>
        <v>645630.0</v>
      </c>
      <c r="V146" s="32" t="n">
        <f>3681548148</f>
        <v>3.681548148E9</v>
      </c>
      <c r="W146" s="32" t="n">
        <f>208561457</f>
        <v>2.08561457E8</v>
      </c>
      <c r="X146" s="36" t="n">
        <f>22</f>
        <v>22.0</v>
      </c>
    </row>
    <row r="147">
      <c r="A147" s="27" t="s">
        <v>42</v>
      </c>
      <c r="B147" s="27" t="s">
        <v>487</v>
      </c>
      <c r="C147" s="27" t="s">
        <v>488</v>
      </c>
      <c r="D147" s="27" t="s">
        <v>489</v>
      </c>
      <c r="E147" s="28" t="s">
        <v>46</v>
      </c>
      <c r="F147" s="29" t="s">
        <v>46</v>
      </c>
      <c r="G147" s="30" t="s">
        <v>46</v>
      </c>
      <c r="H147" s="31"/>
      <c r="I147" s="31" t="s">
        <v>47</v>
      </c>
      <c r="J147" s="32" t="n">
        <v>10.0</v>
      </c>
      <c r="K147" s="33" t="n">
        <f>68680</f>
        <v>68680.0</v>
      </c>
      <c r="L147" s="34" t="s">
        <v>58</v>
      </c>
      <c r="M147" s="33" t="n">
        <f>69450</f>
        <v>69450.0</v>
      </c>
      <c r="N147" s="34" t="s">
        <v>75</v>
      </c>
      <c r="O147" s="33" t="n">
        <f>67890</f>
        <v>67890.0</v>
      </c>
      <c r="P147" s="34" t="s">
        <v>197</v>
      </c>
      <c r="Q147" s="33" t="n">
        <f>67890</f>
        <v>67890.0</v>
      </c>
      <c r="R147" s="34" t="s">
        <v>197</v>
      </c>
      <c r="S147" s="35" t="n">
        <f>68492.73</f>
        <v>68492.73</v>
      </c>
      <c r="T147" s="32" t="n">
        <f>350</f>
        <v>350.0</v>
      </c>
      <c r="U147" s="32" t="str">
        <f>"－"</f>
        <v>－</v>
      </c>
      <c r="V147" s="32" t="n">
        <f>23940600</f>
        <v>2.39406E7</v>
      </c>
      <c r="W147" s="32" t="str">
        <f>"－"</f>
        <v>－</v>
      </c>
      <c r="X147" s="36" t="n">
        <f>11</f>
        <v>11.0</v>
      </c>
    </row>
    <row r="148">
      <c r="A148" s="27" t="s">
        <v>42</v>
      </c>
      <c r="B148" s="27" t="s">
        <v>490</v>
      </c>
      <c r="C148" s="27" t="s">
        <v>491</v>
      </c>
      <c r="D148" s="27" t="s">
        <v>492</v>
      </c>
      <c r="E148" s="28" t="s">
        <v>46</v>
      </c>
      <c r="F148" s="29" t="s">
        <v>46</v>
      </c>
      <c r="G148" s="30" t="s">
        <v>46</v>
      </c>
      <c r="H148" s="31"/>
      <c r="I148" s="31" t="s">
        <v>47</v>
      </c>
      <c r="J148" s="32" t="n">
        <v>1.0</v>
      </c>
      <c r="K148" s="33" t="n">
        <f>8301</f>
        <v>8301.0</v>
      </c>
      <c r="L148" s="34" t="s">
        <v>48</v>
      </c>
      <c r="M148" s="33" t="n">
        <f>8429</f>
        <v>8429.0</v>
      </c>
      <c r="N148" s="34" t="s">
        <v>249</v>
      </c>
      <c r="O148" s="33" t="n">
        <f>8250</f>
        <v>8250.0</v>
      </c>
      <c r="P148" s="34" t="s">
        <v>51</v>
      </c>
      <c r="Q148" s="33" t="n">
        <f>8281</f>
        <v>8281.0</v>
      </c>
      <c r="R148" s="34" t="s">
        <v>51</v>
      </c>
      <c r="S148" s="35" t="n">
        <f>8337.68</f>
        <v>8337.68</v>
      </c>
      <c r="T148" s="32" t="n">
        <f>43620</f>
        <v>43620.0</v>
      </c>
      <c r="U148" s="32" t="n">
        <f>741</f>
        <v>741.0</v>
      </c>
      <c r="V148" s="32" t="n">
        <f>363830413</f>
        <v>3.63830413E8</v>
      </c>
      <c r="W148" s="32" t="n">
        <f>6175652</f>
        <v>6175652.0</v>
      </c>
      <c r="X148" s="36" t="n">
        <f>22</f>
        <v>22.0</v>
      </c>
    </row>
    <row r="149">
      <c r="A149" s="27" t="s">
        <v>42</v>
      </c>
      <c r="B149" s="27" t="s">
        <v>493</v>
      </c>
      <c r="C149" s="27" t="s">
        <v>494</v>
      </c>
      <c r="D149" s="27" t="s">
        <v>495</v>
      </c>
      <c r="E149" s="28" t="s">
        <v>46</v>
      </c>
      <c r="F149" s="29" t="s">
        <v>46</v>
      </c>
      <c r="G149" s="30" t="s">
        <v>46</v>
      </c>
      <c r="H149" s="31"/>
      <c r="I149" s="31" t="s">
        <v>47</v>
      </c>
      <c r="J149" s="32" t="n">
        <v>1.0</v>
      </c>
      <c r="K149" s="33" t="n">
        <f>3485</f>
        <v>3485.0</v>
      </c>
      <c r="L149" s="34" t="s">
        <v>48</v>
      </c>
      <c r="M149" s="33" t="n">
        <f>3530</f>
        <v>3530.0</v>
      </c>
      <c r="N149" s="34" t="s">
        <v>48</v>
      </c>
      <c r="O149" s="33" t="n">
        <f>3136</f>
        <v>3136.0</v>
      </c>
      <c r="P149" s="34" t="s">
        <v>75</v>
      </c>
      <c r="Q149" s="33" t="n">
        <f>3348</f>
        <v>3348.0</v>
      </c>
      <c r="R149" s="34" t="s">
        <v>51</v>
      </c>
      <c r="S149" s="35" t="n">
        <f>3368.09</f>
        <v>3368.09</v>
      </c>
      <c r="T149" s="32" t="n">
        <f>199772</f>
        <v>199772.0</v>
      </c>
      <c r="U149" s="32" t="n">
        <f>8113</f>
        <v>8113.0</v>
      </c>
      <c r="V149" s="32" t="n">
        <f>670350695</f>
        <v>6.70350695E8</v>
      </c>
      <c r="W149" s="32" t="n">
        <f>28185622</f>
        <v>2.8185622E7</v>
      </c>
      <c r="X149" s="36" t="n">
        <f>22</f>
        <v>22.0</v>
      </c>
    </row>
    <row r="150">
      <c r="A150" s="27" t="s">
        <v>42</v>
      </c>
      <c r="B150" s="27" t="s">
        <v>496</v>
      </c>
      <c r="C150" s="27" t="s">
        <v>497</v>
      </c>
      <c r="D150" s="27" t="s">
        <v>498</v>
      </c>
      <c r="E150" s="28" t="s">
        <v>46</v>
      </c>
      <c r="F150" s="29" t="s">
        <v>46</v>
      </c>
      <c r="G150" s="30" t="s">
        <v>46</v>
      </c>
      <c r="H150" s="31"/>
      <c r="I150" s="31" t="s">
        <v>47</v>
      </c>
      <c r="J150" s="32" t="n">
        <v>10.0</v>
      </c>
      <c r="K150" s="33" t="n">
        <f>2323</f>
        <v>2323.0</v>
      </c>
      <c r="L150" s="34" t="s">
        <v>48</v>
      </c>
      <c r="M150" s="33" t="n">
        <f>2820</f>
        <v>2820.0</v>
      </c>
      <c r="N150" s="34" t="s">
        <v>71</v>
      </c>
      <c r="O150" s="33" t="n">
        <f>2238</f>
        <v>2238.0</v>
      </c>
      <c r="P150" s="34" t="s">
        <v>214</v>
      </c>
      <c r="Q150" s="33" t="n">
        <f>2590.5</f>
        <v>2590.5</v>
      </c>
      <c r="R150" s="34" t="s">
        <v>51</v>
      </c>
      <c r="S150" s="35" t="n">
        <f>2493.98</f>
        <v>2493.98</v>
      </c>
      <c r="T150" s="32" t="n">
        <f>4460</f>
        <v>4460.0</v>
      </c>
      <c r="U150" s="32" t="str">
        <f>"－"</f>
        <v>－</v>
      </c>
      <c r="V150" s="32" t="n">
        <f>11337835</f>
        <v>1.1337835E7</v>
      </c>
      <c r="W150" s="32" t="str">
        <f>"－"</f>
        <v>－</v>
      </c>
      <c r="X150" s="36" t="n">
        <f>22</f>
        <v>22.0</v>
      </c>
    </row>
    <row r="151">
      <c r="A151" s="27" t="s">
        <v>42</v>
      </c>
      <c r="B151" s="27" t="s">
        <v>499</v>
      </c>
      <c r="C151" s="27" t="s">
        <v>500</v>
      </c>
      <c r="D151" s="27" t="s">
        <v>501</v>
      </c>
      <c r="E151" s="28" t="s">
        <v>46</v>
      </c>
      <c r="F151" s="29" t="s">
        <v>46</v>
      </c>
      <c r="G151" s="30" t="s">
        <v>46</v>
      </c>
      <c r="H151" s="31"/>
      <c r="I151" s="31" t="s">
        <v>47</v>
      </c>
      <c r="J151" s="32" t="n">
        <v>10.0</v>
      </c>
      <c r="K151" s="33" t="n">
        <f>739.4</f>
        <v>739.4</v>
      </c>
      <c r="L151" s="34" t="s">
        <v>48</v>
      </c>
      <c r="M151" s="33" t="n">
        <f>880.1</f>
        <v>880.1</v>
      </c>
      <c r="N151" s="34" t="s">
        <v>71</v>
      </c>
      <c r="O151" s="33" t="n">
        <f>683</f>
        <v>683.0</v>
      </c>
      <c r="P151" s="34" t="s">
        <v>69</v>
      </c>
      <c r="Q151" s="33" t="n">
        <f>824.5</f>
        <v>824.5</v>
      </c>
      <c r="R151" s="34" t="s">
        <v>51</v>
      </c>
      <c r="S151" s="35" t="n">
        <f>780.05</f>
        <v>780.05</v>
      </c>
      <c r="T151" s="32" t="n">
        <f>16690</f>
        <v>16690.0</v>
      </c>
      <c r="U151" s="32" t="str">
        <f>"－"</f>
        <v>－</v>
      </c>
      <c r="V151" s="32" t="n">
        <f>13259815</f>
        <v>1.3259815E7</v>
      </c>
      <c r="W151" s="32" t="str">
        <f>"－"</f>
        <v>－</v>
      </c>
      <c r="X151" s="36" t="n">
        <f>22</f>
        <v>22.0</v>
      </c>
    </row>
    <row r="152">
      <c r="A152" s="27" t="s">
        <v>42</v>
      </c>
      <c r="B152" s="27" t="s">
        <v>502</v>
      </c>
      <c r="C152" s="27" t="s">
        <v>503</v>
      </c>
      <c r="D152" s="27" t="s">
        <v>504</v>
      </c>
      <c r="E152" s="28" t="s">
        <v>46</v>
      </c>
      <c r="F152" s="29" t="s">
        <v>46</v>
      </c>
      <c r="G152" s="30" t="s">
        <v>46</v>
      </c>
      <c r="H152" s="31"/>
      <c r="I152" s="31" t="s">
        <v>47</v>
      </c>
      <c r="J152" s="32" t="n">
        <v>10.0</v>
      </c>
      <c r="K152" s="33" t="n">
        <f>3156</f>
        <v>3156.0</v>
      </c>
      <c r="L152" s="34" t="s">
        <v>48</v>
      </c>
      <c r="M152" s="33" t="n">
        <f>3200</f>
        <v>3200.0</v>
      </c>
      <c r="N152" s="34" t="s">
        <v>474</v>
      </c>
      <c r="O152" s="33" t="n">
        <f>3031</f>
        <v>3031.0</v>
      </c>
      <c r="P152" s="34" t="s">
        <v>48</v>
      </c>
      <c r="Q152" s="33" t="n">
        <f>3100</f>
        <v>3100.0</v>
      </c>
      <c r="R152" s="34" t="s">
        <v>51</v>
      </c>
      <c r="S152" s="35" t="n">
        <f>3141.23</f>
        <v>3141.23</v>
      </c>
      <c r="T152" s="32" t="n">
        <f>2120</f>
        <v>2120.0</v>
      </c>
      <c r="U152" s="32" t="str">
        <f>"－"</f>
        <v>－</v>
      </c>
      <c r="V152" s="32" t="n">
        <f>6636880</f>
        <v>6636880.0</v>
      </c>
      <c r="W152" s="32" t="str">
        <f>"－"</f>
        <v>－</v>
      </c>
      <c r="X152" s="36" t="n">
        <f>22</f>
        <v>22.0</v>
      </c>
    </row>
    <row r="153">
      <c r="A153" s="27" t="s">
        <v>42</v>
      </c>
      <c r="B153" s="27" t="s">
        <v>505</v>
      </c>
      <c r="C153" s="27" t="s">
        <v>506</v>
      </c>
      <c r="D153" s="27" t="s">
        <v>507</v>
      </c>
      <c r="E153" s="28" t="s">
        <v>46</v>
      </c>
      <c r="F153" s="29" t="s">
        <v>46</v>
      </c>
      <c r="G153" s="30" t="s">
        <v>46</v>
      </c>
      <c r="H153" s="31"/>
      <c r="I153" s="31" t="s">
        <v>47</v>
      </c>
      <c r="J153" s="32" t="n">
        <v>10.0</v>
      </c>
      <c r="K153" s="33" t="n">
        <f>984.1</f>
        <v>984.1</v>
      </c>
      <c r="L153" s="34" t="s">
        <v>48</v>
      </c>
      <c r="M153" s="33" t="n">
        <f>1105</f>
        <v>1105.0</v>
      </c>
      <c r="N153" s="34" t="s">
        <v>71</v>
      </c>
      <c r="O153" s="33" t="n">
        <f>963.7</f>
        <v>963.7</v>
      </c>
      <c r="P153" s="34" t="s">
        <v>214</v>
      </c>
      <c r="Q153" s="33" t="n">
        <f>1033</f>
        <v>1033.0</v>
      </c>
      <c r="R153" s="34" t="s">
        <v>51</v>
      </c>
      <c r="S153" s="35" t="n">
        <f>1043.33</f>
        <v>1043.33</v>
      </c>
      <c r="T153" s="32" t="n">
        <f>166470</f>
        <v>166470.0</v>
      </c>
      <c r="U153" s="32" t="str">
        <f>"－"</f>
        <v>－</v>
      </c>
      <c r="V153" s="32" t="n">
        <f>173414017</f>
        <v>1.73414017E8</v>
      </c>
      <c r="W153" s="32" t="str">
        <f>"－"</f>
        <v>－</v>
      </c>
      <c r="X153" s="36" t="n">
        <f>22</f>
        <v>22.0</v>
      </c>
    </row>
    <row r="154">
      <c r="A154" s="27" t="s">
        <v>42</v>
      </c>
      <c r="B154" s="27" t="s">
        <v>508</v>
      </c>
      <c r="C154" s="27" t="s">
        <v>509</v>
      </c>
      <c r="D154" s="27" t="s">
        <v>510</v>
      </c>
      <c r="E154" s="28" t="s">
        <v>46</v>
      </c>
      <c r="F154" s="29" t="s">
        <v>46</v>
      </c>
      <c r="G154" s="30" t="s">
        <v>46</v>
      </c>
      <c r="H154" s="31"/>
      <c r="I154" s="31" t="s">
        <v>47</v>
      </c>
      <c r="J154" s="32" t="n">
        <v>10.0</v>
      </c>
      <c r="K154" s="33" t="n">
        <f>535</f>
        <v>535.0</v>
      </c>
      <c r="L154" s="34" t="s">
        <v>48</v>
      </c>
      <c r="M154" s="33" t="n">
        <f>688.6</f>
        <v>688.6</v>
      </c>
      <c r="N154" s="34" t="s">
        <v>474</v>
      </c>
      <c r="O154" s="33" t="n">
        <f>535</f>
        <v>535.0</v>
      </c>
      <c r="P154" s="34" t="s">
        <v>48</v>
      </c>
      <c r="Q154" s="33" t="n">
        <f>580</f>
        <v>580.0</v>
      </c>
      <c r="R154" s="34" t="s">
        <v>51</v>
      </c>
      <c r="S154" s="35" t="n">
        <f>577.15</f>
        <v>577.15</v>
      </c>
      <c r="T154" s="32" t="n">
        <f>424530</f>
        <v>424530.0</v>
      </c>
      <c r="U154" s="32" t="str">
        <f>"－"</f>
        <v>－</v>
      </c>
      <c r="V154" s="32" t="n">
        <f>251331128</f>
        <v>2.51331128E8</v>
      </c>
      <c r="W154" s="32" t="str">
        <f>"－"</f>
        <v>－</v>
      </c>
      <c r="X154" s="36" t="n">
        <f>22</f>
        <v>22.0</v>
      </c>
    </row>
    <row r="155">
      <c r="A155" s="27" t="s">
        <v>42</v>
      </c>
      <c r="B155" s="27" t="s">
        <v>511</v>
      </c>
      <c r="C155" s="27" t="s">
        <v>512</v>
      </c>
      <c r="D155" s="27" t="s">
        <v>513</v>
      </c>
      <c r="E155" s="28" t="s">
        <v>46</v>
      </c>
      <c r="F155" s="29" t="s">
        <v>46</v>
      </c>
      <c r="G155" s="30" t="s">
        <v>46</v>
      </c>
      <c r="H155" s="31"/>
      <c r="I155" s="31" t="s">
        <v>47</v>
      </c>
      <c r="J155" s="32" t="n">
        <v>1.0</v>
      </c>
      <c r="K155" s="33" t="n">
        <f>867</f>
        <v>867.0</v>
      </c>
      <c r="L155" s="34" t="s">
        <v>48</v>
      </c>
      <c r="M155" s="33" t="n">
        <f>872</f>
        <v>872.0</v>
      </c>
      <c r="N155" s="34" t="s">
        <v>224</v>
      </c>
      <c r="O155" s="33" t="n">
        <f>738</f>
        <v>738.0</v>
      </c>
      <c r="P155" s="34" t="s">
        <v>75</v>
      </c>
      <c r="Q155" s="33" t="n">
        <f>752</f>
        <v>752.0</v>
      </c>
      <c r="R155" s="34" t="s">
        <v>51</v>
      </c>
      <c r="S155" s="35" t="n">
        <f>804.32</f>
        <v>804.32</v>
      </c>
      <c r="T155" s="32" t="n">
        <f>1295234</f>
        <v>1295234.0</v>
      </c>
      <c r="U155" s="32" t="str">
        <f>"－"</f>
        <v>－</v>
      </c>
      <c r="V155" s="32" t="n">
        <f>1028826296</f>
        <v>1.028826296E9</v>
      </c>
      <c r="W155" s="32" t="str">
        <f>"－"</f>
        <v>－</v>
      </c>
      <c r="X155" s="36" t="n">
        <f>22</f>
        <v>22.0</v>
      </c>
    </row>
    <row r="156">
      <c r="A156" s="27" t="s">
        <v>42</v>
      </c>
      <c r="B156" s="27" t="s">
        <v>514</v>
      </c>
      <c r="C156" s="27" t="s">
        <v>515</v>
      </c>
      <c r="D156" s="27" t="s">
        <v>516</v>
      </c>
      <c r="E156" s="28" t="s">
        <v>46</v>
      </c>
      <c r="F156" s="29" t="s">
        <v>46</v>
      </c>
      <c r="G156" s="30" t="s">
        <v>46</v>
      </c>
      <c r="H156" s="31"/>
      <c r="I156" s="31" t="s">
        <v>47</v>
      </c>
      <c r="J156" s="32" t="n">
        <v>10.0</v>
      </c>
      <c r="K156" s="33" t="n">
        <f>2004.5</f>
        <v>2004.5</v>
      </c>
      <c r="L156" s="34" t="s">
        <v>48</v>
      </c>
      <c r="M156" s="33" t="n">
        <f>2550</f>
        <v>2550.0</v>
      </c>
      <c r="N156" s="34" t="s">
        <v>197</v>
      </c>
      <c r="O156" s="33" t="n">
        <f>1998.5</f>
        <v>1998.5</v>
      </c>
      <c r="P156" s="34" t="s">
        <v>48</v>
      </c>
      <c r="Q156" s="33" t="n">
        <f>2349.5</f>
        <v>2349.5</v>
      </c>
      <c r="R156" s="34" t="s">
        <v>51</v>
      </c>
      <c r="S156" s="35" t="n">
        <f>2237.91</f>
        <v>2237.91</v>
      </c>
      <c r="T156" s="32" t="n">
        <f>77710</f>
        <v>77710.0</v>
      </c>
      <c r="U156" s="32" t="str">
        <f>"－"</f>
        <v>－</v>
      </c>
      <c r="V156" s="32" t="n">
        <f>178865450</f>
        <v>1.7886545E8</v>
      </c>
      <c r="W156" s="32" t="str">
        <f>"－"</f>
        <v>－</v>
      </c>
      <c r="X156" s="36" t="n">
        <f>22</f>
        <v>22.0</v>
      </c>
    </row>
    <row r="157">
      <c r="A157" s="27" t="s">
        <v>42</v>
      </c>
      <c r="B157" s="27" t="s">
        <v>517</v>
      </c>
      <c r="C157" s="27" t="s">
        <v>518</v>
      </c>
      <c r="D157" s="27" t="s">
        <v>519</v>
      </c>
      <c r="E157" s="28" t="s">
        <v>46</v>
      </c>
      <c r="F157" s="29" t="s">
        <v>46</v>
      </c>
      <c r="G157" s="30" t="s">
        <v>46</v>
      </c>
      <c r="H157" s="31"/>
      <c r="I157" s="31" t="s">
        <v>47</v>
      </c>
      <c r="J157" s="32" t="n">
        <v>1.0</v>
      </c>
      <c r="K157" s="33" t="n">
        <f>12400</f>
        <v>12400.0</v>
      </c>
      <c r="L157" s="34" t="s">
        <v>48</v>
      </c>
      <c r="M157" s="33" t="n">
        <f>15845</f>
        <v>15845.0</v>
      </c>
      <c r="N157" s="34" t="s">
        <v>71</v>
      </c>
      <c r="O157" s="33" t="n">
        <f>12000</f>
        <v>12000.0</v>
      </c>
      <c r="P157" s="34" t="s">
        <v>214</v>
      </c>
      <c r="Q157" s="33" t="n">
        <f>14040</f>
        <v>14040.0</v>
      </c>
      <c r="R157" s="34" t="s">
        <v>51</v>
      </c>
      <c r="S157" s="35" t="n">
        <f>13843.41</f>
        <v>13843.41</v>
      </c>
      <c r="T157" s="32" t="n">
        <f>1840</f>
        <v>1840.0</v>
      </c>
      <c r="U157" s="32" t="str">
        <f>"－"</f>
        <v>－</v>
      </c>
      <c r="V157" s="32" t="n">
        <f>26285235</f>
        <v>2.6285235E7</v>
      </c>
      <c r="W157" s="32" t="str">
        <f>"－"</f>
        <v>－</v>
      </c>
      <c r="X157" s="36" t="n">
        <f>22</f>
        <v>22.0</v>
      </c>
    </row>
    <row r="158">
      <c r="A158" s="27" t="s">
        <v>42</v>
      </c>
      <c r="B158" s="27" t="s">
        <v>520</v>
      </c>
      <c r="C158" s="27" t="s">
        <v>521</v>
      </c>
      <c r="D158" s="27" t="s">
        <v>522</v>
      </c>
      <c r="E158" s="28" t="s">
        <v>46</v>
      </c>
      <c r="F158" s="29" t="s">
        <v>46</v>
      </c>
      <c r="G158" s="30" t="s">
        <v>46</v>
      </c>
      <c r="H158" s="31"/>
      <c r="I158" s="31" t="s">
        <v>47</v>
      </c>
      <c r="J158" s="32" t="n">
        <v>100.0</v>
      </c>
      <c r="K158" s="33" t="n">
        <f>663.2</f>
        <v>663.2</v>
      </c>
      <c r="L158" s="34" t="s">
        <v>48</v>
      </c>
      <c r="M158" s="33" t="n">
        <f>715.8</f>
        <v>715.8</v>
      </c>
      <c r="N158" s="34" t="s">
        <v>474</v>
      </c>
      <c r="O158" s="33" t="n">
        <f>655.5</f>
        <v>655.5</v>
      </c>
      <c r="P158" s="34" t="s">
        <v>156</v>
      </c>
      <c r="Q158" s="33" t="n">
        <f>697.4</f>
        <v>697.4</v>
      </c>
      <c r="R158" s="34" t="s">
        <v>51</v>
      </c>
      <c r="S158" s="35" t="n">
        <f>687.45</f>
        <v>687.45</v>
      </c>
      <c r="T158" s="32" t="n">
        <f>72800</f>
        <v>72800.0</v>
      </c>
      <c r="U158" s="32" t="str">
        <f>"－"</f>
        <v>－</v>
      </c>
      <c r="V158" s="32" t="n">
        <f>49437610</f>
        <v>4.943761E7</v>
      </c>
      <c r="W158" s="32" t="str">
        <f>"－"</f>
        <v>－</v>
      </c>
      <c r="X158" s="36" t="n">
        <f>22</f>
        <v>22.0</v>
      </c>
    </row>
    <row r="159">
      <c r="A159" s="27" t="s">
        <v>42</v>
      </c>
      <c r="B159" s="27" t="s">
        <v>523</v>
      </c>
      <c r="C159" s="27" t="s">
        <v>524</v>
      </c>
      <c r="D159" s="27" t="s">
        <v>525</v>
      </c>
      <c r="E159" s="28" t="s">
        <v>46</v>
      </c>
      <c r="F159" s="29" t="s">
        <v>46</v>
      </c>
      <c r="G159" s="30" t="s">
        <v>46</v>
      </c>
      <c r="H159" s="31"/>
      <c r="I159" s="31" t="s">
        <v>47</v>
      </c>
      <c r="J159" s="32" t="n">
        <v>10.0</v>
      </c>
      <c r="K159" s="33" t="n">
        <f>8639</f>
        <v>8639.0</v>
      </c>
      <c r="L159" s="34" t="s">
        <v>48</v>
      </c>
      <c r="M159" s="33" t="n">
        <f>9180</f>
        <v>9180.0</v>
      </c>
      <c r="N159" s="34" t="s">
        <v>100</v>
      </c>
      <c r="O159" s="33" t="n">
        <f>8500</f>
        <v>8500.0</v>
      </c>
      <c r="P159" s="34" t="s">
        <v>69</v>
      </c>
      <c r="Q159" s="33" t="n">
        <f>8993</f>
        <v>8993.0</v>
      </c>
      <c r="R159" s="34" t="s">
        <v>51</v>
      </c>
      <c r="S159" s="35" t="n">
        <f>8782.68</f>
        <v>8782.68</v>
      </c>
      <c r="T159" s="32" t="n">
        <f>129220</f>
        <v>129220.0</v>
      </c>
      <c r="U159" s="32" t="str">
        <f>"－"</f>
        <v>－</v>
      </c>
      <c r="V159" s="32" t="n">
        <f>1139495090</f>
        <v>1.13949509E9</v>
      </c>
      <c r="W159" s="32" t="str">
        <f>"－"</f>
        <v>－</v>
      </c>
      <c r="X159" s="36" t="n">
        <f>22</f>
        <v>22.0</v>
      </c>
    </row>
    <row r="160">
      <c r="A160" s="27" t="s">
        <v>42</v>
      </c>
      <c r="B160" s="27" t="s">
        <v>526</v>
      </c>
      <c r="C160" s="27" t="s">
        <v>527</v>
      </c>
      <c r="D160" s="27" t="s">
        <v>528</v>
      </c>
      <c r="E160" s="28" t="s">
        <v>46</v>
      </c>
      <c r="F160" s="29" t="s">
        <v>46</v>
      </c>
      <c r="G160" s="30" t="s">
        <v>46</v>
      </c>
      <c r="H160" s="31"/>
      <c r="I160" s="31" t="s">
        <v>47</v>
      </c>
      <c r="J160" s="32" t="n">
        <v>10.0</v>
      </c>
      <c r="K160" s="33" t="n">
        <f>2297</f>
        <v>2297.0</v>
      </c>
      <c r="L160" s="34" t="s">
        <v>48</v>
      </c>
      <c r="M160" s="33" t="n">
        <f>2500</f>
        <v>2500.0</v>
      </c>
      <c r="N160" s="34" t="s">
        <v>62</v>
      </c>
      <c r="O160" s="33" t="n">
        <f>2265</f>
        <v>2265.0</v>
      </c>
      <c r="P160" s="34" t="s">
        <v>69</v>
      </c>
      <c r="Q160" s="33" t="n">
        <f>2410</f>
        <v>2410.0</v>
      </c>
      <c r="R160" s="34" t="s">
        <v>51</v>
      </c>
      <c r="S160" s="35" t="n">
        <f>2354</f>
        <v>2354.0</v>
      </c>
      <c r="T160" s="32" t="n">
        <f>4090</f>
        <v>4090.0</v>
      </c>
      <c r="U160" s="32" t="str">
        <f>"－"</f>
        <v>－</v>
      </c>
      <c r="V160" s="32" t="n">
        <f>9646920</f>
        <v>9646920.0</v>
      </c>
      <c r="W160" s="32" t="str">
        <f>"－"</f>
        <v>－</v>
      </c>
      <c r="X160" s="36" t="n">
        <f>21</f>
        <v>21.0</v>
      </c>
    </row>
    <row r="161">
      <c r="A161" s="27" t="s">
        <v>42</v>
      </c>
      <c r="B161" s="27" t="s">
        <v>529</v>
      </c>
      <c r="C161" s="27" t="s">
        <v>530</v>
      </c>
      <c r="D161" s="27" t="s">
        <v>531</v>
      </c>
      <c r="E161" s="28" t="s">
        <v>46</v>
      </c>
      <c r="F161" s="29" t="s">
        <v>46</v>
      </c>
      <c r="G161" s="30" t="s">
        <v>46</v>
      </c>
      <c r="H161" s="31"/>
      <c r="I161" s="31" t="s">
        <v>47</v>
      </c>
      <c r="J161" s="32" t="n">
        <v>1.0</v>
      </c>
      <c r="K161" s="33" t="n">
        <f>3055</f>
        <v>3055.0</v>
      </c>
      <c r="L161" s="34" t="s">
        <v>48</v>
      </c>
      <c r="M161" s="33" t="n">
        <f>3855</f>
        <v>3855.0</v>
      </c>
      <c r="N161" s="34" t="s">
        <v>474</v>
      </c>
      <c r="O161" s="33" t="n">
        <f>3055</f>
        <v>3055.0</v>
      </c>
      <c r="P161" s="34" t="s">
        <v>48</v>
      </c>
      <c r="Q161" s="33" t="n">
        <f>3401</f>
        <v>3401.0</v>
      </c>
      <c r="R161" s="34" t="s">
        <v>51</v>
      </c>
      <c r="S161" s="35" t="n">
        <f>3373.73</f>
        <v>3373.73</v>
      </c>
      <c r="T161" s="32" t="n">
        <f>273536</f>
        <v>273536.0</v>
      </c>
      <c r="U161" s="32" t="str">
        <f>"－"</f>
        <v>－</v>
      </c>
      <c r="V161" s="32" t="n">
        <f>948803846</f>
        <v>9.48803846E8</v>
      </c>
      <c r="W161" s="32" t="str">
        <f>"－"</f>
        <v>－</v>
      </c>
      <c r="X161" s="36" t="n">
        <f>22</f>
        <v>22.0</v>
      </c>
    </row>
    <row r="162">
      <c r="A162" s="27" t="s">
        <v>42</v>
      </c>
      <c r="B162" s="27" t="s">
        <v>532</v>
      </c>
      <c r="C162" s="27" t="s">
        <v>533</v>
      </c>
      <c r="D162" s="27" t="s">
        <v>534</v>
      </c>
      <c r="E162" s="28" t="s">
        <v>46</v>
      </c>
      <c r="F162" s="29" t="s">
        <v>46</v>
      </c>
      <c r="G162" s="30" t="s">
        <v>46</v>
      </c>
      <c r="H162" s="31"/>
      <c r="I162" s="31" t="s">
        <v>47</v>
      </c>
      <c r="J162" s="32" t="n">
        <v>1.0</v>
      </c>
      <c r="K162" s="33" t="n">
        <f>2717</f>
        <v>2717.0</v>
      </c>
      <c r="L162" s="34" t="s">
        <v>48</v>
      </c>
      <c r="M162" s="33" t="n">
        <f>3145</f>
        <v>3145.0</v>
      </c>
      <c r="N162" s="34" t="s">
        <v>71</v>
      </c>
      <c r="O162" s="33" t="n">
        <f>2717</f>
        <v>2717.0</v>
      </c>
      <c r="P162" s="34" t="s">
        <v>48</v>
      </c>
      <c r="Q162" s="33" t="n">
        <f>2915</f>
        <v>2915.0</v>
      </c>
      <c r="R162" s="34" t="s">
        <v>51</v>
      </c>
      <c r="S162" s="35" t="n">
        <f>2920.14</f>
        <v>2920.14</v>
      </c>
      <c r="T162" s="32" t="n">
        <f>63737</f>
        <v>63737.0</v>
      </c>
      <c r="U162" s="32" t="str">
        <f>"－"</f>
        <v>－</v>
      </c>
      <c r="V162" s="32" t="n">
        <f>188553817</f>
        <v>1.88553817E8</v>
      </c>
      <c r="W162" s="32" t="str">
        <f>"－"</f>
        <v>－</v>
      </c>
      <c r="X162" s="36" t="n">
        <f>22</f>
        <v>22.0</v>
      </c>
    </row>
    <row r="163">
      <c r="A163" s="27" t="s">
        <v>42</v>
      </c>
      <c r="B163" s="27" t="s">
        <v>535</v>
      </c>
      <c r="C163" s="27" t="s">
        <v>536</v>
      </c>
      <c r="D163" s="27" t="s">
        <v>537</v>
      </c>
      <c r="E163" s="28" t="s">
        <v>46</v>
      </c>
      <c r="F163" s="29" t="s">
        <v>46</v>
      </c>
      <c r="G163" s="30" t="s">
        <v>46</v>
      </c>
      <c r="H163" s="31"/>
      <c r="I163" s="31" t="s">
        <v>47</v>
      </c>
      <c r="J163" s="32" t="n">
        <v>10.0</v>
      </c>
      <c r="K163" s="33" t="n">
        <f>4393</f>
        <v>4393.0</v>
      </c>
      <c r="L163" s="34" t="s">
        <v>48</v>
      </c>
      <c r="M163" s="33" t="n">
        <f>5390</f>
        <v>5390.0</v>
      </c>
      <c r="N163" s="34" t="s">
        <v>474</v>
      </c>
      <c r="O163" s="33" t="n">
        <f>4352</f>
        <v>4352.0</v>
      </c>
      <c r="P163" s="34" t="s">
        <v>48</v>
      </c>
      <c r="Q163" s="33" t="n">
        <f>4621</f>
        <v>4621.0</v>
      </c>
      <c r="R163" s="34" t="s">
        <v>51</v>
      </c>
      <c r="S163" s="35" t="n">
        <f>4617.36</f>
        <v>4617.36</v>
      </c>
      <c r="T163" s="32" t="n">
        <f>17520</f>
        <v>17520.0</v>
      </c>
      <c r="U163" s="32" t="str">
        <f>"－"</f>
        <v>－</v>
      </c>
      <c r="V163" s="32" t="n">
        <f>84426560</f>
        <v>8.442656E7</v>
      </c>
      <c r="W163" s="32" t="str">
        <f>"－"</f>
        <v>－</v>
      </c>
      <c r="X163" s="36" t="n">
        <f>22</f>
        <v>22.0</v>
      </c>
    </row>
    <row r="164">
      <c r="A164" s="27" t="s">
        <v>42</v>
      </c>
      <c r="B164" s="27" t="s">
        <v>538</v>
      </c>
      <c r="C164" s="27" t="s">
        <v>539</v>
      </c>
      <c r="D164" s="27" t="s">
        <v>540</v>
      </c>
      <c r="E164" s="28" t="s">
        <v>46</v>
      </c>
      <c r="F164" s="29" t="s">
        <v>46</v>
      </c>
      <c r="G164" s="30" t="s">
        <v>46</v>
      </c>
      <c r="H164" s="31"/>
      <c r="I164" s="31" t="s">
        <v>47</v>
      </c>
      <c r="J164" s="32" t="n">
        <v>1.0</v>
      </c>
      <c r="K164" s="33" t="n">
        <f>4078</f>
        <v>4078.0</v>
      </c>
      <c r="L164" s="34" t="s">
        <v>48</v>
      </c>
      <c r="M164" s="33" t="n">
        <f>4443</f>
        <v>4443.0</v>
      </c>
      <c r="N164" s="34" t="s">
        <v>75</v>
      </c>
      <c r="O164" s="33" t="n">
        <f>4007</f>
        <v>4007.0</v>
      </c>
      <c r="P164" s="34" t="s">
        <v>48</v>
      </c>
      <c r="Q164" s="33" t="n">
        <f>4322</f>
        <v>4322.0</v>
      </c>
      <c r="R164" s="34" t="s">
        <v>51</v>
      </c>
      <c r="S164" s="35" t="n">
        <f>4228.59</f>
        <v>4228.59</v>
      </c>
      <c r="T164" s="32" t="n">
        <f>593637</f>
        <v>593637.0</v>
      </c>
      <c r="U164" s="32" t="n">
        <f>123410</f>
        <v>123410.0</v>
      </c>
      <c r="V164" s="32" t="n">
        <f>2511411774</f>
        <v>2.511411774E9</v>
      </c>
      <c r="W164" s="32" t="n">
        <f>531606192</f>
        <v>5.31606192E8</v>
      </c>
      <c r="X164" s="36" t="n">
        <f>22</f>
        <v>22.0</v>
      </c>
    </row>
    <row r="165">
      <c r="A165" s="27" t="s">
        <v>42</v>
      </c>
      <c r="B165" s="27" t="s">
        <v>541</v>
      </c>
      <c r="C165" s="27" t="s">
        <v>542</v>
      </c>
      <c r="D165" s="27" t="s">
        <v>543</v>
      </c>
      <c r="E165" s="28" t="s">
        <v>46</v>
      </c>
      <c r="F165" s="29" t="s">
        <v>46</v>
      </c>
      <c r="G165" s="30" t="s">
        <v>46</v>
      </c>
      <c r="H165" s="31"/>
      <c r="I165" s="31" t="s">
        <v>47</v>
      </c>
      <c r="J165" s="32" t="n">
        <v>10.0</v>
      </c>
      <c r="K165" s="33" t="n">
        <f>545.7</f>
        <v>545.7</v>
      </c>
      <c r="L165" s="34" t="s">
        <v>48</v>
      </c>
      <c r="M165" s="33" t="n">
        <f>667.6</f>
        <v>667.6</v>
      </c>
      <c r="N165" s="34" t="s">
        <v>71</v>
      </c>
      <c r="O165" s="33" t="n">
        <f>533</f>
        <v>533.0</v>
      </c>
      <c r="P165" s="34" t="s">
        <v>69</v>
      </c>
      <c r="Q165" s="33" t="n">
        <f>602.3</f>
        <v>602.3</v>
      </c>
      <c r="R165" s="34" t="s">
        <v>51</v>
      </c>
      <c r="S165" s="35" t="n">
        <f>595.85</f>
        <v>595.85</v>
      </c>
      <c r="T165" s="32" t="n">
        <f>13552880</f>
        <v>1.355288E7</v>
      </c>
      <c r="U165" s="32" t="n">
        <f>253390</f>
        <v>253390.0</v>
      </c>
      <c r="V165" s="32" t="n">
        <f>8128244214</f>
        <v>8.128244214E9</v>
      </c>
      <c r="W165" s="32" t="n">
        <f>153293526</f>
        <v>1.53293526E8</v>
      </c>
      <c r="X165" s="36" t="n">
        <f>22</f>
        <v>22.0</v>
      </c>
    </row>
    <row r="166">
      <c r="A166" s="27" t="s">
        <v>42</v>
      </c>
      <c r="B166" s="27" t="s">
        <v>544</v>
      </c>
      <c r="C166" s="27" t="s">
        <v>545</v>
      </c>
      <c r="D166" s="27" t="s">
        <v>546</v>
      </c>
      <c r="E166" s="28" t="s">
        <v>46</v>
      </c>
      <c r="F166" s="29" t="s">
        <v>46</v>
      </c>
      <c r="G166" s="30" t="s">
        <v>46</v>
      </c>
      <c r="H166" s="31"/>
      <c r="I166" s="31" t="s">
        <v>47</v>
      </c>
      <c r="J166" s="32" t="n">
        <v>1.0</v>
      </c>
      <c r="K166" s="33" t="n">
        <f>3180</f>
        <v>3180.0</v>
      </c>
      <c r="L166" s="34" t="s">
        <v>48</v>
      </c>
      <c r="M166" s="33" t="n">
        <f>3199</f>
        <v>3199.0</v>
      </c>
      <c r="N166" s="34" t="s">
        <v>58</v>
      </c>
      <c r="O166" s="33" t="n">
        <f>2989</f>
        <v>2989.0</v>
      </c>
      <c r="P166" s="34" t="s">
        <v>50</v>
      </c>
      <c r="Q166" s="33" t="n">
        <f>3081</f>
        <v>3081.0</v>
      </c>
      <c r="R166" s="34" t="s">
        <v>51</v>
      </c>
      <c r="S166" s="35" t="n">
        <f>3113.05</f>
        <v>3113.05</v>
      </c>
      <c r="T166" s="32" t="n">
        <f>20513</f>
        <v>20513.0</v>
      </c>
      <c r="U166" s="32" t="str">
        <f>"－"</f>
        <v>－</v>
      </c>
      <c r="V166" s="32" t="n">
        <f>63957562</f>
        <v>6.3957562E7</v>
      </c>
      <c r="W166" s="32" t="str">
        <f>"－"</f>
        <v>－</v>
      </c>
      <c r="X166" s="36" t="n">
        <f>22</f>
        <v>22.0</v>
      </c>
    </row>
    <row r="167">
      <c r="A167" s="27" t="s">
        <v>42</v>
      </c>
      <c r="B167" s="27" t="s">
        <v>547</v>
      </c>
      <c r="C167" s="27" t="s">
        <v>548</v>
      </c>
      <c r="D167" s="27" t="s">
        <v>549</v>
      </c>
      <c r="E167" s="28" t="s">
        <v>46</v>
      </c>
      <c r="F167" s="29" t="s">
        <v>46</v>
      </c>
      <c r="G167" s="30" t="s">
        <v>46</v>
      </c>
      <c r="H167" s="31"/>
      <c r="I167" s="31" t="s">
        <v>47</v>
      </c>
      <c r="J167" s="32" t="n">
        <v>1.0</v>
      </c>
      <c r="K167" s="33" t="n">
        <f>1602</f>
        <v>1602.0</v>
      </c>
      <c r="L167" s="34" t="s">
        <v>48</v>
      </c>
      <c r="M167" s="33" t="n">
        <f>1648</f>
        <v>1648.0</v>
      </c>
      <c r="N167" s="34" t="s">
        <v>249</v>
      </c>
      <c r="O167" s="33" t="n">
        <f>1577</f>
        <v>1577.0</v>
      </c>
      <c r="P167" s="34" t="s">
        <v>197</v>
      </c>
      <c r="Q167" s="33" t="n">
        <f>1594</f>
        <v>1594.0</v>
      </c>
      <c r="R167" s="34" t="s">
        <v>51</v>
      </c>
      <c r="S167" s="35" t="n">
        <f>1609.73</f>
        <v>1609.73</v>
      </c>
      <c r="T167" s="32" t="n">
        <f>687968</f>
        <v>687968.0</v>
      </c>
      <c r="U167" s="32" t="str">
        <f>"－"</f>
        <v>－</v>
      </c>
      <c r="V167" s="32" t="n">
        <f>1105004052</f>
        <v>1.105004052E9</v>
      </c>
      <c r="W167" s="32" t="str">
        <f>"－"</f>
        <v>－</v>
      </c>
      <c r="X167" s="36" t="n">
        <f>22</f>
        <v>22.0</v>
      </c>
    </row>
    <row r="168">
      <c r="A168" s="27" t="s">
        <v>42</v>
      </c>
      <c r="B168" s="27" t="s">
        <v>550</v>
      </c>
      <c r="C168" s="27" t="s">
        <v>551</v>
      </c>
      <c r="D168" s="27" t="s">
        <v>552</v>
      </c>
      <c r="E168" s="28" t="s">
        <v>46</v>
      </c>
      <c r="F168" s="29" t="s">
        <v>46</v>
      </c>
      <c r="G168" s="30" t="s">
        <v>46</v>
      </c>
      <c r="H168" s="31"/>
      <c r="I168" s="31" t="s">
        <v>47</v>
      </c>
      <c r="J168" s="32" t="n">
        <v>10.0</v>
      </c>
      <c r="K168" s="33" t="n">
        <f>257.6</f>
        <v>257.6</v>
      </c>
      <c r="L168" s="34" t="s">
        <v>48</v>
      </c>
      <c r="M168" s="33" t="n">
        <f>257.6</f>
        <v>257.6</v>
      </c>
      <c r="N168" s="34" t="s">
        <v>48</v>
      </c>
      <c r="O168" s="33" t="n">
        <f>242.5</f>
        <v>242.5</v>
      </c>
      <c r="P168" s="34" t="s">
        <v>197</v>
      </c>
      <c r="Q168" s="33" t="n">
        <f>244.6</f>
        <v>244.6</v>
      </c>
      <c r="R168" s="34" t="s">
        <v>51</v>
      </c>
      <c r="S168" s="35" t="n">
        <f>248.14</f>
        <v>248.14</v>
      </c>
      <c r="T168" s="32" t="n">
        <f>5249600</f>
        <v>5249600.0</v>
      </c>
      <c r="U168" s="32" t="n">
        <f>4000000</f>
        <v>4000000.0</v>
      </c>
      <c r="V168" s="32" t="n">
        <f>1311675727</f>
        <v>1.311675727E9</v>
      </c>
      <c r="W168" s="32" t="n">
        <f>1002729400</f>
        <v>1.0027294E9</v>
      </c>
      <c r="X168" s="36" t="n">
        <f>22</f>
        <v>22.0</v>
      </c>
    </row>
    <row r="169">
      <c r="A169" s="27" t="s">
        <v>42</v>
      </c>
      <c r="B169" s="27" t="s">
        <v>553</v>
      </c>
      <c r="C169" s="27" t="s">
        <v>554</v>
      </c>
      <c r="D169" s="27" t="s">
        <v>555</v>
      </c>
      <c r="E169" s="28" t="s">
        <v>46</v>
      </c>
      <c r="F169" s="29" t="s">
        <v>46</v>
      </c>
      <c r="G169" s="30" t="s">
        <v>46</v>
      </c>
      <c r="H169" s="31"/>
      <c r="I169" s="31" t="s">
        <v>47</v>
      </c>
      <c r="J169" s="32" t="n">
        <v>10.0</v>
      </c>
      <c r="K169" s="33" t="n">
        <f>305.9</f>
        <v>305.9</v>
      </c>
      <c r="L169" s="34" t="s">
        <v>48</v>
      </c>
      <c r="M169" s="33" t="n">
        <f>305.9</f>
        <v>305.9</v>
      </c>
      <c r="N169" s="34" t="s">
        <v>48</v>
      </c>
      <c r="O169" s="33" t="n">
        <f>286</f>
        <v>286.0</v>
      </c>
      <c r="P169" s="34" t="s">
        <v>51</v>
      </c>
      <c r="Q169" s="33" t="n">
        <f>288.4</f>
        <v>288.4</v>
      </c>
      <c r="R169" s="34" t="s">
        <v>51</v>
      </c>
      <c r="S169" s="35" t="n">
        <f>296.55</f>
        <v>296.55</v>
      </c>
      <c r="T169" s="32" t="n">
        <f>915780</f>
        <v>915780.0</v>
      </c>
      <c r="U169" s="32" t="str">
        <f>"－"</f>
        <v>－</v>
      </c>
      <c r="V169" s="32" t="n">
        <f>271774484</f>
        <v>2.71774484E8</v>
      </c>
      <c r="W169" s="32" t="str">
        <f>"－"</f>
        <v>－</v>
      </c>
      <c r="X169" s="36" t="n">
        <f>22</f>
        <v>22.0</v>
      </c>
    </row>
    <row r="170">
      <c r="A170" s="27" t="s">
        <v>42</v>
      </c>
      <c r="B170" s="27" t="s">
        <v>556</v>
      </c>
      <c r="C170" s="27" t="s">
        <v>557</v>
      </c>
      <c r="D170" s="27" t="s">
        <v>558</v>
      </c>
      <c r="E170" s="28" t="s">
        <v>46</v>
      </c>
      <c r="F170" s="29" t="s">
        <v>46</v>
      </c>
      <c r="G170" s="30" t="s">
        <v>46</v>
      </c>
      <c r="H170" s="31"/>
      <c r="I170" s="31" t="s">
        <v>47</v>
      </c>
      <c r="J170" s="32" t="n">
        <v>10.0</v>
      </c>
      <c r="K170" s="33" t="n">
        <f>545.8</f>
        <v>545.8</v>
      </c>
      <c r="L170" s="34" t="s">
        <v>48</v>
      </c>
      <c r="M170" s="33" t="n">
        <f>561.4</f>
        <v>561.4</v>
      </c>
      <c r="N170" s="34" t="s">
        <v>58</v>
      </c>
      <c r="O170" s="33" t="n">
        <f>539.6</f>
        <v>539.6</v>
      </c>
      <c r="P170" s="34" t="s">
        <v>51</v>
      </c>
      <c r="Q170" s="33" t="n">
        <f>539.6</f>
        <v>539.6</v>
      </c>
      <c r="R170" s="34" t="s">
        <v>51</v>
      </c>
      <c r="S170" s="35" t="n">
        <f>545.16</f>
        <v>545.16</v>
      </c>
      <c r="T170" s="32" t="n">
        <f>1061260</f>
        <v>1061260.0</v>
      </c>
      <c r="U170" s="32" t="n">
        <f>916000</f>
        <v>916000.0</v>
      </c>
      <c r="V170" s="32" t="n">
        <f>579356051</f>
        <v>5.79356051E8</v>
      </c>
      <c r="W170" s="32" t="n">
        <f>500007760</f>
        <v>5.0000776E8</v>
      </c>
      <c r="X170" s="36" t="n">
        <f>16</f>
        <v>16.0</v>
      </c>
    </row>
    <row r="171">
      <c r="A171" s="27" t="s">
        <v>42</v>
      </c>
      <c r="B171" s="27" t="s">
        <v>559</v>
      </c>
      <c r="C171" s="27" t="s">
        <v>560</v>
      </c>
      <c r="D171" s="27" t="s">
        <v>561</v>
      </c>
      <c r="E171" s="28" t="s">
        <v>46</v>
      </c>
      <c r="F171" s="29" t="s">
        <v>46</v>
      </c>
      <c r="G171" s="30" t="s">
        <v>46</v>
      </c>
      <c r="H171" s="31"/>
      <c r="I171" s="31" t="s">
        <v>47</v>
      </c>
      <c r="J171" s="32" t="n">
        <v>10.0</v>
      </c>
      <c r="K171" s="33" t="n">
        <f>529</f>
        <v>529.0</v>
      </c>
      <c r="L171" s="34" t="s">
        <v>48</v>
      </c>
      <c r="M171" s="33" t="n">
        <f>537.8</f>
        <v>537.8</v>
      </c>
      <c r="N171" s="34" t="s">
        <v>49</v>
      </c>
      <c r="O171" s="33" t="n">
        <f>496.4</f>
        <v>496.4</v>
      </c>
      <c r="P171" s="34" t="s">
        <v>51</v>
      </c>
      <c r="Q171" s="33" t="n">
        <f>499.5</f>
        <v>499.5</v>
      </c>
      <c r="R171" s="34" t="s">
        <v>51</v>
      </c>
      <c r="S171" s="35" t="n">
        <f>511.8</f>
        <v>511.8</v>
      </c>
      <c r="T171" s="32" t="n">
        <f>498590</f>
        <v>498590.0</v>
      </c>
      <c r="U171" s="32" t="str">
        <f>"－"</f>
        <v>－</v>
      </c>
      <c r="V171" s="32" t="n">
        <f>254863606</f>
        <v>2.54863606E8</v>
      </c>
      <c r="W171" s="32" t="str">
        <f>"－"</f>
        <v>－</v>
      </c>
      <c r="X171" s="36" t="n">
        <f>22</f>
        <v>22.0</v>
      </c>
    </row>
    <row r="172">
      <c r="A172" s="27" t="s">
        <v>42</v>
      </c>
      <c r="B172" s="27" t="s">
        <v>562</v>
      </c>
      <c r="C172" s="27" t="s">
        <v>563</v>
      </c>
      <c r="D172" s="27" t="s">
        <v>564</v>
      </c>
      <c r="E172" s="28" t="s">
        <v>46</v>
      </c>
      <c r="F172" s="29" t="s">
        <v>46</v>
      </c>
      <c r="G172" s="30" t="s">
        <v>46</v>
      </c>
      <c r="H172" s="31"/>
      <c r="I172" s="31" t="s">
        <v>47</v>
      </c>
      <c r="J172" s="32" t="n">
        <v>10.0</v>
      </c>
      <c r="K172" s="33" t="n">
        <f>450.5</f>
        <v>450.5</v>
      </c>
      <c r="L172" s="34" t="s">
        <v>48</v>
      </c>
      <c r="M172" s="33" t="n">
        <f>450.5</f>
        <v>450.5</v>
      </c>
      <c r="N172" s="34" t="s">
        <v>48</v>
      </c>
      <c r="O172" s="33" t="n">
        <f>431.8</f>
        <v>431.8</v>
      </c>
      <c r="P172" s="34" t="s">
        <v>197</v>
      </c>
      <c r="Q172" s="33" t="n">
        <f>435.8</f>
        <v>435.8</v>
      </c>
      <c r="R172" s="34" t="s">
        <v>51</v>
      </c>
      <c r="S172" s="35" t="n">
        <f>442.36</f>
        <v>442.36</v>
      </c>
      <c r="T172" s="32" t="n">
        <f>859420</f>
        <v>859420.0</v>
      </c>
      <c r="U172" s="32" t="str">
        <f>"－"</f>
        <v>－</v>
      </c>
      <c r="V172" s="32" t="n">
        <f>380857939</f>
        <v>3.80857939E8</v>
      </c>
      <c r="W172" s="32" t="str">
        <f>"－"</f>
        <v>－</v>
      </c>
      <c r="X172" s="36" t="n">
        <f>18</f>
        <v>18.0</v>
      </c>
    </row>
    <row r="173">
      <c r="A173" s="27" t="s">
        <v>42</v>
      </c>
      <c r="B173" s="27" t="s">
        <v>565</v>
      </c>
      <c r="C173" s="27" t="s">
        <v>566</v>
      </c>
      <c r="D173" s="27" t="s">
        <v>567</v>
      </c>
      <c r="E173" s="28" t="s">
        <v>46</v>
      </c>
      <c r="F173" s="29" t="s">
        <v>46</v>
      </c>
      <c r="G173" s="30" t="s">
        <v>46</v>
      </c>
      <c r="H173" s="31"/>
      <c r="I173" s="31" t="s">
        <v>47</v>
      </c>
      <c r="J173" s="32" t="n">
        <v>1.0</v>
      </c>
      <c r="K173" s="33" t="n">
        <f>900</f>
        <v>900.0</v>
      </c>
      <c r="L173" s="34" t="s">
        <v>48</v>
      </c>
      <c r="M173" s="33" t="n">
        <f>903</f>
        <v>903.0</v>
      </c>
      <c r="N173" s="34" t="s">
        <v>49</v>
      </c>
      <c r="O173" s="33" t="n">
        <f>865</f>
        <v>865.0</v>
      </c>
      <c r="P173" s="34" t="s">
        <v>274</v>
      </c>
      <c r="Q173" s="33" t="n">
        <f>898</f>
        <v>898.0</v>
      </c>
      <c r="R173" s="34" t="s">
        <v>51</v>
      </c>
      <c r="S173" s="35" t="n">
        <f>883</f>
        <v>883.0</v>
      </c>
      <c r="T173" s="32" t="n">
        <f>166793</f>
        <v>166793.0</v>
      </c>
      <c r="U173" s="32" t="n">
        <f>2</f>
        <v>2.0</v>
      </c>
      <c r="V173" s="32" t="n">
        <f>147936101</f>
        <v>1.47936101E8</v>
      </c>
      <c r="W173" s="32" t="n">
        <f>1788</f>
        <v>1788.0</v>
      </c>
      <c r="X173" s="36" t="n">
        <f>22</f>
        <v>22.0</v>
      </c>
    </row>
    <row r="174">
      <c r="A174" s="27" t="s">
        <v>42</v>
      </c>
      <c r="B174" s="27" t="s">
        <v>568</v>
      </c>
      <c r="C174" s="27" t="s">
        <v>569</v>
      </c>
      <c r="D174" s="27" t="s">
        <v>570</v>
      </c>
      <c r="E174" s="28" t="s">
        <v>46</v>
      </c>
      <c r="F174" s="29" t="s">
        <v>46</v>
      </c>
      <c r="G174" s="30" t="s">
        <v>46</v>
      </c>
      <c r="H174" s="31"/>
      <c r="I174" s="31" t="s">
        <v>47</v>
      </c>
      <c r="J174" s="32" t="n">
        <v>1.0</v>
      </c>
      <c r="K174" s="33" t="n">
        <f>6130</f>
        <v>6130.0</v>
      </c>
      <c r="L174" s="34" t="s">
        <v>48</v>
      </c>
      <c r="M174" s="33" t="n">
        <f>6159</f>
        <v>6159.0</v>
      </c>
      <c r="N174" s="34" t="s">
        <v>48</v>
      </c>
      <c r="O174" s="33" t="n">
        <f>3565</f>
        <v>3565.0</v>
      </c>
      <c r="P174" s="34" t="s">
        <v>75</v>
      </c>
      <c r="Q174" s="33" t="n">
        <f>4319</f>
        <v>4319.0</v>
      </c>
      <c r="R174" s="34" t="s">
        <v>51</v>
      </c>
      <c r="S174" s="35" t="n">
        <f>4938.36</f>
        <v>4938.36</v>
      </c>
      <c r="T174" s="32" t="n">
        <f>111251146</f>
        <v>1.11251146E8</v>
      </c>
      <c r="U174" s="32" t="n">
        <f>2599536</f>
        <v>2599536.0</v>
      </c>
      <c r="V174" s="32" t="n">
        <f>535185752790</f>
        <v>5.3518575279E11</v>
      </c>
      <c r="W174" s="32" t="n">
        <f>11871288249</f>
        <v>1.1871288249E10</v>
      </c>
      <c r="X174" s="36" t="n">
        <f>22</f>
        <v>22.0</v>
      </c>
    </row>
    <row r="175">
      <c r="A175" s="27" t="s">
        <v>42</v>
      </c>
      <c r="B175" s="27" t="s">
        <v>571</v>
      </c>
      <c r="C175" s="27" t="s">
        <v>572</v>
      </c>
      <c r="D175" s="27" t="s">
        <v>573</v>
      </c>
      <c r="E175" s="28" t="s">
        <v>46</v>
      </c>
      <c r="F175" s="29" t="s">
        <v>46</v>
      </c>
      <c r="G175" s="30" t="s">
        <v>46</v>
      </c>
      <c r="H175" s="31"/>
      <c r="I175" s="31" t="s">
        <v>47</v>
      </c>
      <c r="J175" s="32" t="n">
        <v>10.0</v>
      </c>
      <c r="K175" s="33" t="n">
        <f>819.8</f>
        <v>819.8</v>
      </c>
      <c r="L175" s="34" t="s">
        <v>48</v>
      </c>
      <c r="M175" s="33" t="n">
        <f>850</f>
        <v>850.0</v>
      </c>
      <c r="N175" s="34" t="s">
        <v>156</v>
      </c>
      <c r="O175" s="33" t="n">
        <f>798</f>
        <v>798.0</v>
      </c>
      <c r="P175" s="34" t="s">
        <v>48</v>
      </c>
      <c r="Q175" s="33" t="n">
        <f>846.6</f>
        <v>846.6</v>
      </c>
      <c r="R175" s="34" t="s">
        <v>51</v>
      </c>
      <c r="S175" s="35" t="n">
        <f>829.86</f>
        <v>829.86</v>
      </c>
      <c r="T175" s="32" t="n">
        <f>2094250</f>
        <v>2094250.0</v>
      </c>
      <c r="U175" s="32" t="n">
        <f>1580</f>
        <v>1580.0</v>
      </c>
      <c r="V175" s="32" t="n">
        <f>1740399794</f>
        <v>1.740399794E9</v>
      </c>
      <c r="W175" s="32" t="n">
        <f>1310425</f>
        <v>1310425.0</v>
      </c>
      <c r="X175" s="36" t="n">
        <f>22</f>
        <v>22.0</v>
      </c>
    </row>
    <row r="176">
      <c r="A176" s="27" t="s">
        <v>42</v>
      </c>
      <c r="B176" s="27" t="s">
        <v>574</v>
      </c>
      <c r="C176" s="27" t="s">
        <v>575</v>
      </c>
      <c r="D176" s="27" t="s">
        <v>576</v>
      </c>
      <c r="E176" s="28" t="s">
        <v>46</v>
      </c>
      <c r="F176" s="29" t="s">
        <v>46</v>
      </c>
      <c r="G176" s="30" t="s">
        <v>46</v>
      </c>
      <c r="H176" s="31"/>
      <c r="I176" s="31" t="s">
        <v>47</v>
      </c>
      <c r="J176" s="32" t="n">
        <v>10.0</v>
      </c>
      <c r="K176" s="33" t="n">
        <f>246.1</f>
        <v>246.1</v>
      </c>
      <c r="L176" s="34" t="s">
        <v>48</v>
      </c>
      <c r="M176" s="33" t="n">
        <f>248.6</f>
        <v>248.6</v>
      </c>
      <c r="N176" s="34" t="s">
        <v>75</v>
      </c>
      <c r="O176" s="33" t="n">
        <f>243.1</f>
        <v>243.1</v>
      </c>
      <c r="P176" s="34" t="s">
        <v>51</v>
      </c>
      <c r="Q176" s="33" t="n">
        <f>244.4</f>
        <v>244.4</v>
      </c>
      <c r="R176" s="34" t="s">
        <v>51</v>
      </c>
      <c r="S176" s="35" t="n">
        <f>246.22</f>
        <v>246.22</v>
      </c>
      <c r="T176" s="32" t="n">
        <f>43088950</f>
        <v>4.308895E7</v>
      </c>
      <c r="U176" s="32" t="n">
        <f>32850180</f>
        <v>3.285018E7</v>
      </c>
      <c r="V176" s="32" t="n">
        <f>10544639412</f>
        <v>1.0544639412E10</v>
      </c>
      <c r="W176" s="32" t="n">
        <f>8024150552</f>
        <v>8.024150552E9</v>
      </c>
      <c r="X176" s="36" t="n">
        <f>22</f>
        <v>22.0</v>
      </c>
    </row>
    <row r="177">
      <c r="A177" s="27" t="s">
        <v>42</v>
      </c>
      <c r="B177" s="27" t="s">
        <v>577</v>
      </c>
      <c r="C177" s="27" t="s">
        <v>578</v>
      </c>
      <c r="D177" s="27" t="s">
        <v>579</v>
      </c>
      <c r="E177" s="28" t="s">
        <v>46</v>
      </c>
      <c r="F177" s="29" t="s">
        <v>46</v>
      </c>
      <c r="G177" s="30" t="s">
        <v>46</v>
      </c>
      <c r="H177" s="31"/>
      <c r="I177" s="31" t="s">
        <v>47</v>
      </c>
      <c r="J177" s="32" t="n">
        <v>10.0</v>
      </c>
      <c r="K177" s="33" t="n">
        <f>303</f>
        <v>303.0</v>
      </c>
      <c r="L177" s="34" t="s">
        <v>48</v>
      </c>
      <c r="M177" s="33" t="n">
        <f>323.5</f>
        <v>323.5</v>
      </c>
      <c r="N177" s="34" t="s">
        <v>75</v>
      </c>
      <c r="O177" s="33" t="n">
        <f>299.1</f>
        <v>299.1</v>
      </c>
      <c r="P177" s="34" t="s">
        <v>69</v>
      </c>
      <c r="Q177" s="33" t="n">
        <f>310.8</f>
        <v>310.8</v>
      </c>
      <c r="R177" s="34" t="s">
        <v>51</v>
      </c>
      <c r="S177" s="35" t="n">
        <f>308.7</f>
        <v>308.7</v>
      </c>
      <c r="T177" s="32" t="n">
        <f>7471010</f>
        <v>7471010.0</v>
      </c>
      <c r="U177" s="32" t="n">
        <f>160</f>
        <v>160.0</v>
      </c>
      <c r="V177" s="32" t="n">
        <f>2311240049</f>
        <v>2.311240049E9</v>
      </c>
      <c r="W177" s="32" t="n">
        <f>49968</f>
        <v>49968.0</v>
      </c>
      <c r="X177" s="36" t="n">
        <f>22</f>
        <v>22.0</v>
      </c>
    </row>
    <row r="178">
      <c r="A178" s="27" t="s">
        <v>42</v>
      </c>
      <c r="B178" s="27" t="s">
        <v>580</v>
      </c>
      <c r="C178" s="27" t="s">
        <v>581</v>
      </c>
      <c r="D178" s="27" t="s">
        <v>582</v>
      </c>
      <c r="E178" s="28" t="s">
        <v>46</v>
      </c>
      <c r="F178" s="29" t="s">
        <v>46</v>
      </c>
      <c r="G178" s="30" t="s">
        <v>46</v>
      </c>
      <c r="H178" s="31"/>
      <c r="I178" s="31" t="s">
        <v>47</v>
      </c>
      <c r="J178" s="32" t="n">
        <v>10.0</v>
      </c>
      <c r="K178" s="33" t="n">
        <f>315.7</f>
        <v>315.7</v>
      </c>
      <c r="L178" s="34" t="s">
        <v>48</v>
      </c>
      <c r="M178" s="33" t="n">
        <f>332.6</f>
        <v>332.6</v>
      </c>
      <c r="N178" s="34" t="s">
        <v>75</v>
      </c>
      <c r="O178" s="33" t="n">
        <f>315</f>
        <v>315.0</v>
      </c>
      <c r="P178" s="34" t="s">
        <v>48</v>
      </c>
      <c r="Q178" s="33" t="n">
        <f>321.3</f>
        <v>321.3</v>
      </c>
      <c r="R178" s="34" t="s">
        <v>51</v>
      </c>
      <c r="S178" s="35" t="n">
        <f>322.04</f>
        <v>322.04</v>
      </c>
      <c r="T178" s="32" t="n">
        <f>8277760</f>
        <v>8277760.0</v>
      </c>
      <c r="U178" s="32" t="n">
        <f>800000</f>
        <v>800000.0</v>
      </c>
      <c r="V178" s="32" t="n">
        <f>2667824442</f>
        <v>2.667824442E9</v>
      </c>
      <c r="W178" s="32" t="n">
        <f>257693000</f>
        <v>2.57693E8</v>
      </c>
      <c r="X178" s="36" t="n">
        <f>22</f>
        <v>22.0</v>
      </c>
    </row>
    <row r="179">
      <c r="A179" s="27" t="s">
        <v>42</v>
      </c>
      <c r="B179" s="27" t="s">
        <v>583</v>
      </c>
      <c r="C179" s="27" t="s">
        <v>584</v>
      </c>
      <c r="D179" s="27" t="s">
        <v>585</v>
      </c>
      <c r="E179" s="28" t="s">
        <v>46</v>
      </c>
      <c r="F179" s="29" t="s">
        <v>46</v>
      </c>
      <c r="G179" s="30" t="s">
        <v>46</v>
      </c>
      <c r="H179" s="31"/>
      <c r="I179" s="31" t="s">
        <v>47</v>
      </c>
      <c r="J179" s="32" t="n">
        <v>1.0</v>
      </c>
      <c r="K179" s="33" t="n">
        <f>2229</f>
        <v>2229.0</v>
      </c>
      <c r="L179" s="34" t="s">
        <v>48</v>
      </c>
      <c r="M179" s="33" t="n">
        <f>2243</f>
        <v>2243.0</v>
      </c>
      <c r="N179" s="34" t="s">
        <v>274</v>
      </c>
      <c r="O179" s="33" t="n">
        <f>2164</f>
        <v>2164.0</v>
      </c>
      <c r="P179" s="34" t="s">
        <v>51</v>
      </c>
      <c r="Q179" s="33" t="n">
        <f>2171</f>
        <v>2171.0</v>
      </c>
      <c r="R179" s="34" t="s">
        <v>51</v>
      </c>
      <c r="S179" s="35" t="n">
        <f>2203.18</f>
        <v>2203.18</v>
      </c>
      <c r="T179" s="32" t="n">
        <f>244472</f>
        <v>244472.0</v>
      </c>
      <c r="U179" s="32" t="str">
        <f>"－"</f>
        <v>－</v>
      </c>
      <c r="V179" s="32" t="n">
        <f>538861794</f>
        <v>5.38861794E8</v>
      </c>
      <c r="W179" s="32" t="str">
        <f>"－"</f>
        <v>－</v>
      </c>
      <c r="X179" s="36" t="n">
        <f>22</f>
        <v>22.0</v>
      </c>
    </row>
    <row r="180">
      <c r="A180" s="27" t="s">
        <v>42</v>
      </c>
      <c r="B180" s="27" t="s">
        <v>586</v>
      </c>
      <c r="C180" s="27" t="s">
        <v>587</v>
      </c>
      <c r="D180" s="27" t="s">
        <v>588</v>
      </c>
      <c r="E180" s="28" t="s">
        <v>46</v>
      </c>
      <c r="F180" s="29" t="s">
        <v>46</v>
      </c>
      <c r="G180" s="30" t="s">
        <v>46</v>
      </c>
      <c r="H180" s="31"/>
      <c r="I180" s="31" t="s">
        <v>47</v>
      </c>
      <c r="J180" s="32" t="n">
        <v>1.0</v>
      </c>
      <c r="K180" s="33" t="n">
        <f>1801</f>
        <v>1801.0</v>
      </c>
      <c r="L180" s="34" t="s">
        <v>48</v>
      </c>
      <c r="M180" s="33" t="n">
        <f>1810</f>
        <v>1810.0</v>
      </c>
      <c r="N180" s="34" t="s">
        <v>274</v>
      </c>
      <c r="O180" s="33" t="n">
        <f>1646</f>
        <v>1646.0</v>
      </c>
      <c r="P180" s="34" t="s">
        <v>51</v>
      </c>
      <c r="Q180" s="33" t="n">
        <f>1773</f>
        <v>1773.0</v>
      </c>
      <c r="R180" s="34" t="s">
        <v>51</v>
      </c>
      <c r="S180" s="35" t="n">
        <f>1779</f>
        <v>1779.0</v>
      </c>
      <c r="T180" s="32" t="n">
        <f>2098326</f>
        <v>2098326.0</v>
      </c>
      <c r="U180" s="32" t="n">
        <f>560000</f>
        <v>560000.0</v>
      </c>
      <c r="V180" s="32" t="n">
        <f>3743441490</f>
        <v>3.74344149E9</v>
      </c>
      <c r="W180" s="32" t="n">
        <f>999829600</f>
        <v>9.998296E8</v>
      </c>
      <c r="X180" s="36" t="n">
        <f>22</f>
        <v>22.0</v>
      </c>
    </row>
    <row r="181">
      <c r="A181" s="27" t="s">
        <v>42</v>
      </c>
      <c r="B181" s="27" t="s">
        <v>589</v>
      </c>
      <c r="C181" s="27" t="s">
        <v>590</v>
      </c>
      <c r="D181" s="27" t="s">
        <v>591</v>
      </c>
      <c r="E181" s="28" t="s">
        <v>46</v>
      </c>
      <c r="F181" s="29" t="s">
        <v>46</v>
      </c>
      <c r="G181" s="30" t="s">
        <v>46</v>
      </c>
      <c r="H181" s="31"/>
      <c r="I181" s="31" t="s">
        <v>47</v>
      </c>
      <c r="J181" s="32" t="n">
        <v>1.0</v>
      </c>
      <c r="K181" s="33" t="n">
        <f>1500</f>
        <v>1500.0</v>
      </c>
      <c r="L181" s="34" t="s">
        <v>48</v>
      </c>
      <c r="M181" s="33" t="n">
        <f>1534</f>
        <v>1534.0</v>
      </c>
      <c r="N181" s="34" t="s">
        <v>49</v>
      </c>
      <c r="O181" s="33" t="n">
        <f>1439</f>
        <v>1439.0</v>
      </c>
      <c r="P181" s="34" t="s">
        <v>50</v>
      </c>
      <c r="Q181" s="33" t="n">
        <f>1496</f>
        <v>1496.0</v>
      </c>
      <c r="R181" s="34" t="s">
        <v>51</v>
      </c>
      <c r="S181" s="35" t="n">
        <f>1494.55</f>
        <v>1494.55</v>
      </c>
      <c r="T181" s="32" t="n">
        <f>1714355</f>
        <v>1714355.0</v>
      </c>
      <c r="U181" s="32" t="n">
        <f>430</f>
        <v>430.0</v>
      </c>
      <c r="V181" s="32" t="n">
        <f>2555207507</f>
        <v>2.555207507E9</v>
      </c>
      <c r="W181" s="32" t="n">
        <f>632390</f>
        <v>632390.0</v>
      </c>
      <c r="X181" s="36" t="n">
        <f>22</f>
        <v>22.0</v>
      </c>
    </row>
    <row r="182">
      <c r="A182" s="27" t="s">
        <v>42</v>
      </c>
      <c r="B182" s="27" t="s">
        <v>592</v>
      </c>
      <c r="C182" s="27" t="s">
        <v>593</v>
      </c>
      <c r="D182" s="27" t="s">
        <v>594</v>
      </c>
      <c r="E182" s="28" t="s">
        <v>46</v>
      </c>
      <c r="F182" s="29" t="s">
        <v>46</v>
      </c>
      <c r="G182" s="30" t="s">
        <v>46</v>
      </c>
      <c r="H182" s="31"/>
      <c r="I182" s="31" t="s">
        <v>47</v>
      </c>
      <c r="J182" s="32" t="n">
        <v>1.0</v>
      </c>
      <c r="K182" s="33" t="n">
        <f>1332</f>
        <v>1332.0</v>
      </c>
      <c r="L182" s="34" t="s">
        <v>48</v>
      </c>
      <c r="M182" s="33" t="n">
        <f>1390</f>
        <v>1390.0</v>
      </c>
      <c r="N182" s="34" t="s">
        <v>75</v>
      </c>
      <c r="O182" s="33" t="n">
        <f>1301</f>
        <v>1301.0</v>
      </c>
      <c r="P182" s="34" t="s">
        <v>48</v>
      </c>
      <c r="Q182" s="33" t="n">
        <f>1331</f>
        <v>1331.0</v>
      </c>
      <c r="R182" s="34" t="s">
        <v>51</v>
      </c>
      <c r="S182" s="35" t="n">
        <f>1331.86</f>
        <v>1331.86</v>
      </c>
      <c r="T182" s="32" t="n">
        <f>168926</f>
        <v>168926.0</v>
      </c>
      <c r="U182" s="32" t="str">
        <f>"－"</f>
        <v>－</v>
      </c>
      <c r="V182" s="32" t="n">
        <f>224958201</f>
        <v>2.24958201E8</v>
      </c>
      <c r="W182" s="32" t="str">
        <f>"－"</f>
        <v>－</v>
      </c>
      <c r="X182" s="36" t="n">
        <f>22</f>
        <v>22.0</v>
      </c>
    </row>
    <row r="183">
      <c r="A183" s="27" t="s">
        <v>42</v>
      </c>
      <c r="B183" s="27" t="s">
        <v>595</v>
      </c>
      <c r="C183" s="27" t="s">
        <v>596</v>
      </c>
      <c r="D183" s="27" t="s">
        <v>597</v>
      </c>
      <c r="E183" s="28" t="s">
        <v>46</v>
      </c>
      <c r="F183" s="29" t="s">
        <v>46</v>
      </c>
      <c r="G183" s="30" t="s">
        <v>46</v>
      </c>
      <c r="H183" s="31"/>
      <c r="I183" s="31" t="s">
        <v>47</v>
      </c>
      <c r="J183" s="32" t="n">
        <v>1.0</v>
      </c>
      <c r="K183" s="33" t="n">
        <f>1055</f>
        <v>1055.0</v>
      </c>
      <c r="L183" s="34" t="s">
        <v>48</v>
      </c>
      <c r="M183" s="33" t="n">
        <f>1062</f>
        <v>1062.0</v>
      </c>
      <c r="N183" s="34" t="s">
        <v>100</v>
      </c>
      <c r="O183" s="33" t="n">
        <f>1023</f>
        <v>1023.0</v>
      </c>
      <c r="P183" s="34" t="s">
        <v>51</v>
      </c>
      <c r="Q183" s="33" t="n">
        <f>1036</f>
        <v>1036.0</v>
      </c>
      <c r="R183" s="34" t="s">
        <v>51</v>
      </c>
      <c r="S183" s="35" t="n">
        <f>1047</f>
        <v>1047.0</v>
      </c>
      <c r="T183" s="32" t="n">
        <f>75616</f>
        <v>75616.0</v>
      </c>
      <c r="U183" s="32" t="n">
        <f>1</f>
        <v>1.0</v>
      </c>
      <c r="V183" s="32" t="n">
        <f>79037664</f>
        <v>7.9037664E7</v>
      </c>
      <c r="W183" s="32" t="n">
        <f>1030</f>
        <v>1030.0</v>
      </c>
      <c r="X183" s="36" t="n">
        <f>22</f>
        <v>22.0</v>
      </c>
    </row>
    <row r="184">
      <c r="A184" s="27" t="s">
        <v>42</v>
      </c>
      <c r="B184" s="27" t="s">
        <v>598</v>
      </c>
      <c r="C184" s="27" t="s">
        <v>599</v>
      </c>
      <c r="D184" s="27" t="s">
        <v>600</v>
      </c>
      <c r="E184" s="28" t="s">
        <v>46</v>
      </c>
      <c r="F184" s="29" t="s">
        <v>46</v>
      </c>
      <c r="G184" s="30" t="s">
        <v>46</v>
      </c>
      <c r="H184" s="31"/>
      <c r="I184" s="31" t="s">
        <v>47</v>
      </c>
      <c r="J184" s="32" t="n">
        <v>10.0</v>
      </c>
      <c r="K184" s="33" t="n">
        <f>186</f>
        <v>186.0</v>
      </c>
      <c r="L184" s="34" t="s">
        <v>48</v>
      </c>
      <c r="M184" s="33" t="n">
        <f>189</f>
        <v>189.0</v>
      </c>
      <c r="N184" s="34" t="s">
        <v>48</v>
      </c>
      <c r="O184" s="33" t="n">
        <f>180.5</f>
        <v>180.5</v>
      </c>
      <c r="P184" s="34" t="s">
        <v>160</v>
      </c>
      <c r="Q184" s="33" t="n">
        <f>184.2</f>
        <v>184.2</v>
      </c>
      <c r="R184" s="34" t="s">
        <v>51</v>
      </c>
      <c r="S184" s="35" t="n">
        <f>184.9</f>
        <v>184.9</v>
      </c>
      <c r="T184" s="32" t="n">
        <f>3325810</f>
        <v>3325810.0</v>
      </c>
      <c r="U184" s="32" t="n">
        <f>55520</f>
        <v>55520.0</v>
      </c>
      <c r="V184" s="32" t="n">
        <f>613828354</f>
        <v>6.13828354E8</v>
      </c>
      <c r="W184" s="32" t="n">
        <f>10135329</f>
        <v>1.0135329E7</v>
      </c>
      <c r="X184" s="36" t="n">
        <f>22</f>
        <v>22.0</v>
      </c>
    </row>
    <row r="185">
      <c r="A185" s="27" t="s">
        <v>42</v>
      </c>
      <c r="B185" s="27" t="s">
        <v>601</v>
      </c>
      <c r="C185" s="27" t="s">
        <v>602</v>
      </c>
      <c r="D185" s="27" t="s">
        <v>603</v>
      </c>
      <c r="E185" s="28" t="s">
        <v>46</v>
      </c>
      <c r="F185" s="29" t="s">
        <v>46</v>
      </c>
      <c r="G185" s="30" t="s">
        <v>46</v>
      </c>
      <c r="H185" s="31"/>
      <c r="I185" s="31" t="s">
        <v>416</v>
      </c>
      <c r="J185" s="32" t="n">
        <v>1.0</v>
      </c>
      <c r="K185" s="33" t="n">
        <f>6665</f>
        <v>6665.0</v>
      </c>
      <c r="L185" s="34" t="s">
        <v>48</v>
      </c>
      <c r="M185" s="33" t="n">
        <f>8550</f>
        <v>8550.0</v>
      </c>
      <c r="N185" s="34" t="s">
        <v>51</v>
      </c>
      <c r="O185" s="33" t="n">
        <f>6600</f>
        <v>6600.0</v>
      </c>
      <c r="P185" s="34" t="s">
        <v>48</v>
      </c>
      <c r="Q185" s="33" t="n">
        <f>8306</f>
        <v>8306.0</v>
      </c>
      <c r="R185" s="34" t="s">
        <v>51</v>
      </c>
      <c r="S185" s="35" t="n">
        <f>7606.82</f>
        <v>7606.82</v>
      </c>
      <c r="T185" s="32" t="n">
        <f>31215</f>
        <v>31215.0</v>
      </c>
      <c r="U185" s="32" t="str">
        <f>"－"</f>
        <v>－</v>
      </c>
      <c r="V185" s="32" t="n">
        <f>244460091</f>
        <v>2.44460091E8</v>
      </c>
      <c r="W185" s="32" t="str">
        <f>"－"</f>
        <v>－</v>
      </c>
      <c r="X185" s="36" t="n">
        <f>22</f>
        <v>22.0</v>
      </c>
    </row>
    <row r="186">
      <c r="A186" s="27" t="s">
        <v>42</v>
      </c>
      <c r="B186" s="27" t="s">
        <v>604</v>
      </c>
      <c r="C186" s="27" t="s">
        <v>605</v>
      </c>
      <c r="D186" s="27" t="s">
        <v>606</v>
      </c>
      <c r="E186" s="28" t="s">
        <v>46</v>
      </c>
      <c r="F186" s="29" t="s">
        <v>46</v>
      </c>
      <c r="G186" s="30" t="s">
        <v>46</v>
      </c>
      <c r="H186" s="31"/>
      <c r="I186" s="31" t="s">
        <v>416</v>
      </c>
      <c r="J186" s="32" t="n">
        <v>1.0</v>
      </c>
      <c r="K186" s="33" t="n">
        <f>6865</f>
        <v>6865.0</v>
      </c>
      <c r="L186" s="34" t="s">
        <v>48</v>
      </c>
      <c r="M186" s="33" t="n">
        <f>6916</f>
        <v>6916.0</v>
      </c>
      <c r="N186" s="34" t="s">
        <v>69</v>
      </c>
      <c r="O186" s="33" t="n">
        <f>5942</f>
        <v>5942.0</v>
      </c>
      <c r="P186" s="34" t="s">
        <v>51</v>
      </c>
      <c r="Q186" s="33" t="n">
        <f>5980</f>
        <v>5980.0</v>
      </c>
      <c r="R186" s="34" t="s">
        <v>51</v>
      </c>
      <c r="S186" s="35" t="n">
        <f>6423.68</f>
        <v>6423.68</v>
      </c>
      <c r="T186" s="32" t="n">
        <f>3045</f>
        <v>3045.0</v>
      </c>
      <c r="U186" s="32" t="str">
        <f>"－"</f>
        <v>－</v>
      </c>
      <c r="V186" s="32" t="n">
        <f>19444995</f>
        <v>1.9444995E7</v>
      </c>
      <c r="W186" s="32" t="str">
        <f>"－"</f>
        <v>－</v>
      </c>
      <c r="X186" s="36" t="n">
        <f>22</f>
        <v>22.0</v>
      </c>
    </row>
    <row r="187">
      <c r="A187" s="27" t="s">
        <v>42</v>
      </c>
      <c r="B187" s="27" t="s">
        <v>607</v>
      </c>
      <c r="C187" s="27" t="s">
        <v>608</v>
      </c>
      <c r="D187" s="27" t="s">
        <v>609</v>
      </c>
      <c r="E187" s="28" t="s">
        <v>46</v>
      </c>
      <c r="F187" s="29" t="s">
        <v>46</v>
      </c>
      <c r="G187" s="30" t="s">
        <v>46</v>
      </c>
      <c r="H187" s="31"/>
      <c r="I187" s="31" t="s">
        <v>416</v>
      </c>
      <c r="J187" s="32" t="n">
        <v>1.0</v>
      </c>
      <c r="K187" s="33" t="n">
        <f>132450</f>
        <v>132450.0</v>
      </c>
      <c r="L187" s="34" t="s">
        <v>48</v>
      </c>
      <c r="M187" s="33" t="n">
        <f>132800</f>
        <v>132800.0</v>
      </c>
      <c r="N187" s="34" t="s">
        <v>48</v>
      </c>
      <c r="O187" s="33" t="n">
        <f>51510</f>
        <v>51510.0</v>
      </c>
      <c r="P187" s="34" t="s">
        <v>197</v>
      </c>
      <c r="Q187" s="33" t="n">
        <f>63090</f>
        <v>63090.0</v>
      </c>
      <c r="R187" s="34" t="s">
        <v>51</v>
      </c>
      <c r="S187" s="35" t="n">
        <f>85700.91</f>
        <v>85700.91</v>
      </c>
      <c r="T187" s="32" t="n">
        <f>208292</f>
        <v>208292.0</v>
      </c>
      <c r="U187" s="32" t="n">
        <f>8243</f>
        <v>8243.0</v>
      </c>
      <c r="V187" s="32" t="n">
        <f>17624059370</f>
        <v>1.762405937E10</v>
      </c>
      <c r="W187" s="32" t="n">
        <f>687024000</f>
        <v>6.87024E8</v>
      </c>
      <c r="X187" s="36" t="n">
        <f>22</f>
        <v>22.0</v>
      </c>
    </row>
    <row r="188">
      <c r="A188" s="27" t="s">
        <v>42</v>
      </c>
      <c r="B188" s="27" t="s">
        <v>610</v>
      </c>
      <c r="C188" s="27" t="s">
        <v>611</v>
      </c>
      <c r="D188" s="27" t="s">
        <v>612</v>
      </c>
      <c r="E188" s="28" t="s">
        <v>46</v>
      </c>
      <c r="F188" s="29" t="s">
        <v>46</v>
      </c>
      <c r="G188" s="30" t="s">
        <v>46</v>
      </c>
      <c r="H188" s="31"/>
      <c r="I188" s="31" t="s">
        <v>416</v>
      </c>
      <c r="J188" s="32" t="n">
        <v>1.0</v>
      </c>
      <c r="K188" s="33" t="n">
        <f>1500</f>
        <v>1500.0</v>
      </c>
      <c r="L188" s="34" t="s">
        <v>48</v>
      </c>
      <c r="M188" s="33" t="n">
        <f>2629</f>
        <v>2629.0</v>
      </c>
      <c r="N188" s="34" t="s">
        <v>197</v>
      </c>
      <c r="O188" s="33" t="n">
        <f>1428</f>
        <v>1428.0</v>
      </c>
      <c r="P188" s="34" t="s">
        <v>48</v>
      </c>
      <c r="Q188" s="33" t="n">
        <f>2000</f>
        <v>2000.0</v>
      </c>
      <c r="R188" s="34" t="s">
        <v>51</v>
      </c>
      <c r="S188" s="35" t="n">
        <f>1932.41</f>
        <v>1932.41</v>
      </c>
      <c r="T188" s="32" t="n">
        <f>1814247</f>
        <v>1814247.0</v>
      </c>
      <c r="U188" s="32" t="str">
        <f>"－"</f>
        <v>－</v>
      </c>
      <c r="V188" s="32" t="n">
        <f>3713581295</f>
        <v>3.713581295E9</v>
      </c>
      <c r="W188" s="32" t="str">
        <f>"－"</f>
        <v>－</v>
      </c>
      <c r="X188" s="36" t="n">
        <f>22</f>
        <v>22.0</v>
      </c>
    </row>
    <row r="189">
      <c r="A189" s="27" t="s">
        <v>42</v>
      </c>
      <c r="B189" s="27" t="s">
        <v>613</v>
      </c>
      <c r="C189" s="27" t="s">
        <v>614</v>
      </c>
      <c r="D189" s="27" t="s">
        <v>615</v>
      </c>
      <c r="E189" s="28" t="s">
        <v>46</v>
      </c>
      <c r="F189" s="29" t="s">
        <v>46</v>
      </c>
      <c r="G189" s="30" t="s">
        <v>46</v>
      </c>
      <c r="H189" s="31"/>
      <c r="I189" s="31" t="s">
        <v>416</v>
      </c>
      <c r="J189" s="32" t="n">
        <v>1.0</v>
      </c>
      <c r="K189" s="33" t="n">
        <f>142250</f>
        <v>142250.0</v>
      </c>
      <c r="L189" s="34" t="s">
        <v>48</v>
      </c>
      <c r="M189" s="33" t="n">
        <f>156850</f>
        <v>156850.0</v>
      </c>
      <c r="N189" s="34" t="s">
        <v>58</v>
      </c>
      <c r="O189" s="33" t="n">
        <f>139000</f>
        <v>139000.0</v>
      </c>
      <c r="P189" s="34" t="s">
        <v>50</v>
      </c>
      <c r="Q189" s="33" t="n">
        <f>144500</f>
        <v>144500.0</v>
      </c>
      <c r="R189" s="34" t="s">
        <v>51</v>
      </c>
      <c r="S189" s="35" t="n">
        <f>147045.45</f>
        <v>147045.45</v>
      </c>
      <c r="T189" s="32" t="n">
        <f>86191</f>
        <v>86191.0</v>
      </c>
      <c r="U189" s="32" t="n">
        <f>24</f>
        <v>24.0</v>
      </c>
      <c r="V189" s="32" t="n">
        <f>12753284350</f>
        <v>1.275328435E10</v>
      </c>
      <c r="W189" s="32" t="n">
        <f>3852000</f>
        <v>3852000.0</v>
      </c>
      <c r="X189" s="36" t="n">
        <f>22</f>
        <v>22.0</v>
      </c>
    </row>
    <row r="190">
      <c r="A190" s="27" t="s">
        <v>42</v>
      </c>
      <c r="B190" s="27" t="s">
        <v>616</v>
      </c>
      <c r="C190" s="27" t="s">
        <v>617</v>
      </c>
      <c r="D190" s="27" t="s">
        <v>618</v>
      </c>
      <c r="E190" s="28" t="s">
        <v>46</v>
      </c>
      <c r="F190" s="29" t="s">
        <v>46</v>
      </c>
      <c r="G190" s="30" t="s">
        <v>46</v>
      </c>
      <c r="H190" s="31"/>
      <c r="I190" s="31" t="s">
        <v>416</v>
      </c>
      <c r="J190" s="32" t="n">
        <v>1.0</v>
      </c>
      <c r="K190" s="33" t="n">
        <f>1352</f>
        <v>1352.0</v>
      </c>
      <c r="L190" s="34" t="s">
        <v>48</v>
      </c>
      <c r="M190" s="33" t="n">
        <f>1382</f>
        <v>1382.0</v>
      </c>
      <c r="N190" s="34" t="s">
        <v>48</v>
      </c>
      <c r="O190" s="33" t="n">
        <f>1243</f>
        <v>1243.0</v>
      </c>
      <c r="P190" s="34" t="s">
        <v>62</v>
      </c>
      <c r="Q190" s="33" t="n">
        <f>1339</f>
        <v>1339.0</v>
      </c>
      <c r="R190" s="34" t="s">
        <v>51</v>
      </c>
      <c r="S190" s="35" t="n">
        <f>1321.5</f>
        <v>1321.5</v>
      </c>
      <c r="T190" s="32" t="n">
        <f>94225</f>
        <v>94225.0</v>
      </c>
      <c r="U190" s="32" t="str">
        <f>"－"</f>
        <v>－</v>
      </c>
      <c r="V190" s="32" t="n">
        <f>124697568</f>
        <v>1.24697568E8</v>
      </c>
      <c r="W190" s="32" t="str">
        <f>"－"</f>
        <v>－</v>
      </c>
      <c r="X190" s="36" t="n">
        <f>22</f>
        <v>22.0</v>
      </c>
    </row>
    <row r="191">
      <c r="A191" s="27" t="s">
        <v>42</v>
      </c>
      <c r="B191" s="27" t="s">
        <v>619</v>
      </c>
      <c r="C191" s="27" t="s">
        <v>620</v>
      </c>
      <c r="D191" s="27" t="s">
        <v>621</v>
      </c>
      <c r="E191" s="28" t="s">
        <v>46</v>
      </c>
      <c r="F191" s="29" t="s">
        <v>46</v>
      </c>
      <c r="G191" s="30" t="s">
        <v>46</v>
      </c>
      <c r="H191" s="31"/>
      <c r="I191" s="31" t="s">
        <v>416</v>
      </c>
      <c r="J191" s="32" t="n">
        <v>1.0</v>
      </c>
      <c r="K191" s="33" t="n">
        <f>1925</f>
        <v>1925.0</v>
      </c>
      <c r="L191" s="34" t="s">
        <v>48</v>
      </c>
      <c r="M191" s="33" t="n">
        <f>2570</f>
        <v>2570.0</v>
      </c>
      <c r="N191" s="34" t="s">
        <v>71</v>
      </c>
      <c r="O191" s="33" t="n">
        <f>1816</f>
        <v>1816.0</v>
      </c>
      <c r="P191" s="34" t="s">
        <v>58</v>
      </c>
      <c r="Q191" s="33" t="n">
        <f>2095</f>
        <v>2095.0</v>
      </c>
      <c r="R191" s="34" t="s">
        <v>51</v>
      </c>
      <c r="S191" s="35" t="n">
        <f>2173.59</f>
        <v>2173.59</v>
      </c>
      <c r="T191" s="32" t="n">
        <f>3259015</f>
        <v>3259015.0</v>
      </c>
      <c r="U191" s="32" t="n">
        <f>41</f>
        <v>41.0</v>
      </c>
      <c r="V191" s="32" t="n">
        <f>7217688811</f>
        <v>7.217688811E9</v>
      </c>
      <c r="W191" s="32" t="n">
        <f>83196</f>
        <v>83196.0</v>
      </c>
      <c r="X191" s="36" t="n">
        <f>22</f>
        <v>22.0</v>
      </c>
    </row>
    <row r="192">
      <c r="A192" s="27" t="s">
        <v>42</v>
      </c>
      <c r="B192" s="27" t="s">
        <v>622</v>
      </c>
      <c r="C192" s="27" t="s">
        <v>623</v>
      </c>
      <c r="D192" s="27" t="s">
        <v>624</v>
      </c>
      <c r="E192" s="28" t="s">
        <v>46</v>
      </c>
      <c r="F192" s="29" t="s">
        <v>46</v>
      </c>
      <c r="G192" s="30" t="s">
        <v>46</v>
      </c>
      <c r="H192" s="31"/>
      <c r="I192" s="31" t="s">
        <v>416</v>
      </c>
      <c r="J192" s="32" t="n">
        <v>1.0</v>
      </c>
      <c r="K192" s="33" t="n">
        <f>568</f>
        <v>568.0</v>
      </c>
      <c r="L192" s="34" t="s">
        <v>48</v>
      </c>
      <c r="M192" s="33" t="n">
        <f>584</f>
        <v>584.0</v>
      </c>
      <c r="N192" s="34" t="s">
        <v>58</v>
      </c>
      <c r="O192" s="33" t="n">
        <f>498</f>
        <v>498.0</v>
      </c>
      <c r="P192" s="34" t="s">
        <v>71</v>
      </c>
      <c r="Q192" s="33" t="n">
        <f>540</f>
        <v>540.0</v>
      </c>
      <c r="R192" s="34" t="s">
        <v>51</v>
      </c>
      <c r="S192" s="35" t="n">
        <f>537.45</f>
        <v>537.45</v>
      </c>
      <c r="T192" s="32" t="n">
        <f>4694317</f>
        <v>4694317.0</v>
      </c>
      <c r="U192" s="32" t="n">
        <f>1028</f>
        <v>1028.0</v>
      </c>
      <c r="V192" s="32" t="n">
        <f>2538248608</f>
        <v>2.538248608E9</v>
      </c>
      <c r="W192" s="32" t="n">
        <f>550928</f>
        <v>550928.0</v>
      </c>
      <c r="X192" s="36" t="n">
        <f>22</f>
        <v>22.0</v>
      </c>
    </row>
    <row r="193">
      <c r="A193" s="27" t="s">
        <v>42</v>
      </c>
      <c r="B193" s="27" t="s">
        <v>625</v>
      </c>
      <c r="C193" s="27" t="s">
        <v>626</v>
      </c>
      <c r="D193" s="27" t="s">
        <v>627</v>
      </c>
      <c r="E193" s="28" t="s">
        <v>46</v>
      </c>
      <c r="F193" s="29" t="s">
        <v>46</v>
      </c>
      <c r="G193" s="30" t="s">
        <v>46</v>
      </c>
      <c r="H193" s="31"/>
      <c r="I193" s="31" t="s">
        <v>416</v>
      </c>
      <c r="J193" s="32" t="n">
        <v>1.0</v>
      </c>
      <c r="K193" s="33" t="n">
        <f>38890</f>
        <v>38890.0</v>
      </c>
      <c r="L193" s="34" t="s">
        <v>48</v>
      </c>
      <c r="M193" s="33" t="n">
        <f>39960</f>
        <v>39960.0</v>
      </c>
      <c r="N193" s="34" t="s">
        <v>58</v>
      </c>
      <c r="O193" s="33" t="n">
        <f>37350</f>
        <v>37350.0</v>
      </c>
      <c r="P193" s="34" t="s">
        <v>197</v>
      </c>
      <c r="Q193" s="33" t="n">
        <f>38410</f>
        <v>38410.0</v>
      </c>
      <c r="R193" s="34" t="s">
        <v>51</v>
      </c>
      <c r="S193" s="35" t="n">
        <f>38624.55</f>
        <v>38624.55</v>
      </c>
      <c r="T193" s="32" t="n">
        <f>11693</f>
        <v>11693.0</v>
      </c>
      <c r="U193" s="32" t="str">
        <f>"－"</f>
        <v>－</v>
      </c>
      <c r="V193" s="32" t="n">
        <f>453920880</f>
        <v>4.5392088E8</v>
      </c>
      <c r="W193" s="32" t="str">
        <f>"－"</f>
        <v>－</v>
      </c>
      <c r="X193" s="36" t="n">
        <f>22</f>
        <v>22.0</v>
      </c>
    </row>
    <row r="194">
      <c r="A194" s="27" t="s">
        <v>42</v>
      </c>
      <c r="B194" s="27" t="s">
        <v>628</v>
      </c>
      <c r="C194" s="27" t="s">
        <v>629</v>
      </c>
      <c r="D194" s="27" t="s">
        <v>630</v>
      </c>
      <c r="E194" s="28" t="s">
        <v>46</v>
      </c>
      <c r="F194" s="29" t="s">
        <v>46</v>
      </c>
      <c r="G194" s="30" t="s">
        <v>46</v>
      </c>
      <c r="H194" s="31"/>
      <c r="I194" s="31" t="s">
        <v>416</v>
      </c>
      <c r="J194" s="32" t="n">
        <v>1.0</v>
      </c>
      <c r="K194" s="33" t="n">
        <f>1976</f>
        <v>1976.0</v>
      </c>
      <c r="L194" s="34" t="s">
        <v>48</v>
      </c>
      <c r="M194" s="33" t="n">
        <f>2006</f>
        <v>2006.0</v>
      </c>
      <c r="N194" s="34" t="s">
        <v>197</v>
      </c>
      <c r="O194" s="33" t="n">
        <f>1944</f>
        <v>1944.0</v>
      </c>
      <c r="P194" s="34" t="s">
        <v>49</v>
      </c>
      <c r="Q194" s="33" t="n">
        <f>1993</f>
        <v>1993.0</v>
      </c>
      <c r="R194" s="34" t="s">
        <v>51</v>
      </c>
      <c r="S194" s="35" t="n">
        <f>1972.5</f>
        <v>1972.5</v>
      </c>
      <c r="T194" s="32" t="n">
        <f>76022</f>
        <v>76022.0</v>
      </c>
      <c r="U194" s="32" t="str">
        <f>"－"</f>
        <v>－</v>
      </c>
      <c r="V194" s="32" t="n">
        <f>150090204</f>
        <v>1.50090204E8</v>
      </c>
      <c r="W194" s="32" t="str">
        <f>"－"</f>
        <v>－</v>
      </c>
      <c r="X194" s="36" t="n">
        <f>22</f>
        <v>22.0</v>
      </c>
    </row>
    <row r="195">
      <c r="A195" s="27" t="s">
        <v>42</v>
      </c>
      <c r="B195" s="27" t="s">
        <v>631</v>
      </c>
      <c r="C195" s="27" t="s">
        <v>632</v>
      </c>
      <c r="D195" s="27" t="s">
        <v>633</v>
      </c>
      <c r="E195" s="28" t="s">
        <v>46</v>
      </c>
      <c r="F195" s="29" t="s">
        <v>46</v>
      </c>
      <c r="G195" s="30" t="s">
        <v>46</v>
      </c>
      <c r="H195" s="31"/>
      <c r="I195" s="31" t="s">
        <v>416</v>
      </c>
      <c r="J195" s="32" t="n">
        <v>1.0</v>
      </c>
      <c r="K195" s="33" t="n">
        <f>7494</f>
        <v>7494.0</v>
      </c>
      <c r="L195" s="34" t="s">
        <v>48</v>
      </c>
      <c r="M195" s="33" t="n">
        <f>7917</f>
        <v>7917.0</v>
      </c>
      <c r="N195" s="34" t="s">
        <v>58</v>
      </c>
      <c r="O195" s="33" t="n">
        <f>6880</f>
        <v>6880.0</v>
      </c>
      <c r="P195" s="34" t="s">
        <v>75</v>
      </c>
      <c r="Q195" s="33" t="n">
        <f>7217</f>
        <v>7217.0</v>
      </c>
      <c r="R195" s="34" t="s">
        <v>51</v>
      </c>
      <c r="S195" s="35" t="n">
        <f>7410.64</f>
        <v>7410.64</v>
      </c>
      <c r="T195" s="32" t="n">
        <f>12268</f>
        <v>12268.0</v>
      </c>
      <c r="U195" s="32" t="str">
        <f>"－"</f>
        <v>－</v>
      </c>
      <c r="V195" s="32" t="n">
        <f>90146390</f>
        <v>9.014639E7</v>
      </c>
      <c r="W195" s="32" t="str">
        <f>"－"</f>
        <v>－</v>
      </c>
      <c r="X195" s="36" t="n">
        <f>22</f>
        <v>22.0</v>
      </c>
    </row>
    <row r="196">
      <c r="A196" s="27" t="s">
        <v>42</v>
      </c>
      <c r="B196" s="27" t="s">
        <v>634</v>
      </c>
      <c r="C196" s="27" t="s">
        <v>635</v>
      </c>
      <c r="D196" s="27" t="s">
        <v>636</v>
      </c>
      <c r="E196" s="28" t="s">
        <v>46</v>
      </c>
      <c r="F196" s="29" t="s">
        <v>46</v>
      </c>
      <c r="G196" s="30" t="s">
        <v>46</v>
      </c>
      <c r="H196" s="31"/>
      <c r="I196" s="31" t="s">
        <v>416</v>
      </c>
      <c r="J196" s="32" t="n">
        <v>1.0</v>
      </c>
      <c r="K196" s="33" t="n">
        <f>27800</f>
        <v>27800.0</v>
      </c>
      <c r="L196" s="34" t="s">
        <v>48</v>
      </c>
      <c r="M196" s="33" t="n">
        <f>30930</f>
        <v>30930.0</v>
      </c>
      <c r="N196" s="34" t="s">
        <v>75</v>
      </c>
      <c r="O196" s="33" t="n">
        <f>27800</f>
        <v>27800.0</v>
      </c>
      <c r="P196" s="34" t="s">
        <v>48</v>
      </c>
      <c r="Q196" s="33" t="n">
        <f>30360</f>
        <v>30360.0</v>
      </c>
      <c r="R196" s="34" t="s">
        <v>51</v>
      </c>
      <c r="S196" s="35" t="n">
        <f>29691</f>
        <v>29691.0</v>
      </c>
      <c r="T196" s="32" t="n">
        <f>393</f>
        <v>393.0</v>
      </c>
      <c r="U196" s="32" t="str">
        <f>"－"</f>
        <v>－</v>
      </c>
      <c r="V196" s="32" t="n">
        <f>11556880</f>
        <v>1.155688E7</v>
      </c>
      <c r="W196" s="32" t="str">
        <f>"－"</f>
        <v>－</v>
      </c>
      <c r="X196" s="36" t="n">
        <f>20</f>
        <v>20.0</v>
      </c>
    </row>
    <row r="197">
      <c r="A197" s="27" t="s">
        <v>42</v>
      </c>
      <c r="B197" s="27" t="s">
        <v>637</v>
      </c>
      <c r="C197" s="27" t="s">
        <v>638</v>
      </c>
      <c r="D197" s="27" t="s">
        <v>639</v>
      </c>
      <c r="E197" s="28" t="s">
        <v>46</v>
      </c>
      <c r="F197" s="29" t="s">
        <v>46</v>
      </c>
      <c r="G197" s="30" t="s">
        <v>46</v>
      </c>
      <c r="H197" s="31"/>
      <c r="I197" s="31" t="s">
        <v>416</v>
      </c>
      <c r="J197" s="32" t="n">
        <v>1.0</v>
      </c>
      <c r="K197" s="33" t="n">
        <f>34920</f>
        <v>34920.0</v>
      </c>
      <c r="L197" s="34" t="s">
        <v>48</v>
      </c>
      <c r="M197" s="33" t="n">
        <f>36970</f>
        <v>36970.0</v>
      </c>
      <c r="N197" s="34" t="s">
        <v>197</v>
      </c>
      <c r="O197" s="33" t="n">
        <f>34850</f>
        <v>34850.0</v>
      </c>
      <c r="P197" s="34" t="s">
        <v>207</v>
      </c>
      <c r="Q197" s="33" t="n">
        <f>35160</f>
        <v>35160.0</v>
      </c>
      <c r="R197" s="34" t="s">
        <v>51</v>
      </c>
      <c r="S197" s="35" t="n">
        <f>35645.45</f>
        <v>35645.45</v>
      </c>
      <c r="T197" s="32" t="n">
        <f>2786</f>
        <v>2786.0</v>
      </c>
      <c r="U197" s="32" t="str">
        <f>"－"</f>
        <v>－</v>
      </c>
      <c r="V197" s="32" t="n">
        <f>99399060</f>
        <v>9.939906E7</v>
      </c>
      <c r="W197" s="32" t="str">
        <f>"－"</f>
        <v>－</v>
      </c>
      <c r="X197" s="36" t="n">
        <f>22</f>
        <v>22.0</v>
      </c>
    </row>
    <row r="198">
      <c r="A198" s="27" t="s">
        <v>42</v>
      </c>
      <c r="B198" s="27" t="s">
        <v>640</v>
      </c>
      <c r="C198" s="27" t="s">
        <v>641</v>
      </c>
      <c r="D198" s="27" t="s">
        <v>642</v>
      </c>
      <c r="E198" s="28" t="s">
        <v>46</v>
      </c>
      <c r="F198" s="29" t="s">
        <v>46</v>
      </c>
      <c r="G198" s="30" t="s">
        <v>46</v>
      </c>
      <c r="H198" s="31"/>
      <c r="I198" s="31" t="s">
        <v>416</v>
      </c>
      <c r="J198" s="32" t="n">
        <v>1.0</v>
      </c>
      <c r="K198" s="33" t="n">
        <f>20075</f>
        <v>20075.0</v>
      </c>
      <c r="L198" s="34" t="s">
        <v>69</v>
      </c>
      <c r="M198" s="33" t="n">
        <f>21265</f>
        <v>21265.0</v>
      </c>
      <c r="N198" s="34" t="s">
        <v>62</v>
      </c>
      <c r="O198" s="33" t="n">
        <f>20075</f>
        <v>20075.0</v>
      </c>
      <c r="P198" s="34" t="s">
        <v>69</v>
      </c>
      <c r="Q198" s="33" t="n">
        <f>20725</f>
        <v>20725.0</v>
      </c>
      <c r="R198" s="34" t="s">
        <v>156</v>
      </c>
      <c r="S198" s="35" t="n">
        <f>20441</f>
        <v>20441.0</v>
      </c>
      <c r="T198" s="32" t="n">
        <f>53</f>
        <v>53.0</v>
      </c>
      <c r="U198" s="32" t="str">
        <f>"－"</f>
        <v>－</v>
      </c>
      <c r="V198" s="32" t="n">
        <f>1100070</f>
        <v>1100070.0</v>
      </c>
      <c r="W198" s="32" t="str">
        <f>"－"</f>
        <v>－</v>
      </c>
      <c r="X198" s="36" t="n">
        <f>10</f>
        <v>10.0</v>
      </c>
    </row>
    <row r="199">
      <c r="A199" s="27" t="s">
        <v>42</v>
      </c>
      <c r="B199" s="27" t="s">
        <v>643</v>
      </c>
      <c r="C199" s="27" t="s">
        <v>644</v>
      </c>
      <c r="D199" s="27" t="s">
        <v>645</v>
      </c>
      <c r="E199" s="28" t="s">
        <v>46</v>
      </c>
      <c r="F199" s="29" t="s">
        <v>46</v>
      </c>
      <c r="G199" s="30" t="s">
        <v>46</v>
      </c>
      <c r="H199" s="31"/>
      <c r="I199" s="31" t="s">
        <v>416</v>
      </c>
      <c r="J199" s="32" t="n">
        <v>1.0</v>
      </c>
      <c r="K199" s="33" t="n">
        <f>25840</f>
        <v>25840.0</v>
      </c>
      <c r="L199" s="34" t="s">
        <v>48</v>
      </c>
      <c r="M199" s="33" t="n">
        <f>26770</f>
        <v>26770.0</v>
      </c>
      <c r="N199" s="34" t="s">
        <v>49</v>
      </c>
      <c r="O199" s="33" t="n">
        <f>24235</f>
        <v>24235.0</v>
      </c>
      <c r="P199" s="34" t="s">
        <v>71</v>
      </c>
      <c r="Q199" s="33" t="n">
        <f>25500</f>
        <v>25500.0</v>
      </c>
      <c r="R199" s="34" t="s">
        <v>51</v>
      </c>
      <c r="S199" s="35" t="n">
        <f>25491.82</f>
        <v>25491.82</v>
      </c>
      <c r="T199" s="32" t="n">
        <f>18366</f>
        <v>18366.0</v>
      </c>
      <c r="U199" s="32" t="str">
        <f>"－"</f>
        <v>－</v>
      </c>
      <c r="V199" s="32" t="n">
        <f>466979835</f>
        <v>4.66979835E8</v>
      </c>
      <c r="W199" s="32" t="str">
        <f>"－"</f>
        <v>－</v>
      </c>
      <c r="X199" s="36" t="n">
        <f>22</f>
        <v>22.0</v>
      </c>
    </row>
    <row r="200">
      <c r="A200" s="27" t="s">
        <v>42</v>
      </c>
      <c r="B200" s="27" t="s">
        <v>646</v>
      </c>
      <c r="C200" s="27" t="s">
        <v>647</v>
      </c>
      <c r="D200" s="27" t="s">
        <v>648</v>
      </c>
      <c r="E200" s="28" t="s">
        <v>46</v>
      </c>
      <c r="F200" s="29" t="s">
        <v>46</v>
      </c>
      <c r="G200" s="30" t="s">
        <v>46</v>
      </c>
      <c r="H200" s="31"/>
      <c r="I200" s="31" t="s">
        <v>416</v>
      </c>
      <c r="J200" s="32" t="n">
        <v>1.0</v>
      </c>
      <c r="K200" s="33" t="n">
        <f>3512</f>
        <v>3512.0</v>
      </c>
      <c r="L200" s="34" t="s">
        <v>48</v>
      </c>
      <c r="M200" s="33" t="n">
        <f>3600</f>
        <v>3600.0</v>
      </c>
      <c r="N200" s="34" t="s">
        <v>48</v>
      </c>
      <c r="O200" s="33" t="n">
        <f>3392</f>
        <v>3392.0</v>
      </c>
      <c r="P200" s="34" t="s">
        <v>49</v>
      </c>
      <c r="Q200" s="33" t="n">
        <f>3451</f>
        <v>3451.0</v>
      </c>
      <c r="R200" s="34" t="s">
        <v>197</v>
      </c>
      <c r="S200" s="35" t="n">
        <f>3492.06</f>
        <v>3492.06</v>
      </c>
      <c r="T200" s="32" t="n">
        <f>310</f>
        <v>310.0</v>
      </c>
      <c r="U200" s="32" t="str">
        <f>"－"</f>
        <v>－</v>
      </c>
      <c r="V200" s="32" t="n">
        <f>1070879</f>
        <v>1070879.0</v>
      </c>
      <c r="W200" s="32" t="str">
        <f>"－"</f>
        <v>－</v>
      </c>
      <c r="X200" s="36" t="n">
        <f>18</f>
        <v>18.0</v>
      </c>
    </row>
    <row r="201">
      <c r="A201" s="27" t="s">
        <v>42</v>
      </c>
      <c r="B201" s="27" t="s">
        <v>649</v>
      </c>
      <c r="C201" s="27" t="s">
        <v>650</v>
      </c>
      <c r="D201" s="27" t="s">
        <v>651</v>
      </c>
      <c r="E201" s="28" t="s">
        <v>46</v>
      </c>
      <c r="F201" s="29" t="s">
        <v>46</v>
      </c>
      <c r="G201" s="30" t="s">
        <v>46</v>
      </c>
      <c r="H201" s="31"/>
      <c r="I201" s="31" t="s">
        <v>416</v>
      </c>
      <c r="J201" s="32" t="n">
        <v>1.0</v>
      </c>
      <c r="K201" s="33" t="n">
        <f>53000</f>
        <v>53000.0</v>
      </c>
      <c r="L201" s="34" t="s">
        <v>214</v>
      </c>
      <c r="M201" s="33" t="n">
        <f>67550</f>
        <v>67550.0</v>
      </c>
      <c r="N201" s="34" t="s">
        <v>62</v>
      </c>
      <c r="O201" s="33" t="n">
        <f>53000</f>
        <v>53000.0</v>
      </c>
      <c r="P201" s="34" t="s">
        <v>214</v>
      </c>
      <c r="Q201" s="33" t="n">
        <f>56580</f>
        <v>56580.0</v>
      </c>
      <c r="R201" s="34" t="s">
        <v>51</v>
      </c>
      <c r="S201" s="35" t="n">
        <f>55842.67</f>
        <v>55842.67</v>
      </c>
      <c r="T201" s="32" t="n">
        <f>515</f>
        <v>515.0</v>
      </c>
      <c r="U201" s="32" t="str">
        <f>"－"</f>
        <v>－</v>
      </c>
      <c r="V201" s="32" t="n">
        <f>28474460</f>
        <v>2.847446E7</v>
      </c>
      <c r="W201" s="32" t="str">
        <f>"－"</f>
        <v>－</v>
      </c>
      <c r="X201" s="36" t="n">
        <f>15</f>
        <v>15.0</v>
      </c>
    </row>
    <row r="202">
      <c r="A202" s="27" t="s">
        <v>42</v>
      </c>
      <c r="B202" s="27" t="s">
        <v>652</v>
      </c>
      <c r="C202" s="27" t="s">
        <v>653</v>
      </c>
      <c r="D202" s="27" t="s">
        <v>654</v>
      </c>
      <c r="E202" s="28" t="s">
        <v>46</v>
      </c>
      <c r="F202" s="29" t="s">
        <v>46</v>
      </c>
      <c r="G202" s="30" t="s">
        <v>46</v>
      </c>
      <c r="H202" s="31"/>
      <c r="I202" s="31" t="s">
        <v>416</v>
      </c>
      <c r="J202" s="32" t="n">
        <v>1.0</v>
      </c>
      <c r="K202" s="33" t="n">
        <f>32030</f>
        <v>32030.0</v>
      </c>
      <c r="L202" s="34" t="s">
        <v>214</v>
      </c>
      <c r="M202" s="33" t="n">
        <f>38510</f>
        <v>38510.0</v>
      </c>
      <c r="N202" s="34" t="s">
        <v>62</v>
      </c>
      <c r="O202" s="33" t="n">
        <f>31110</f>
        <v>31110.0</v>
      </c>
      <c r="P202" s="34" t="s">
        <v>75</v>
      </c>
      <c r="Q202" s="33" t="n">
        <f>32070</f>
        <v>32070.0</v>
      </c>
      <c r="R202" s="34" t="s">
        <v>197</v>
      </c>
      <c r="S202" s="35" t="n">
        <f>32420</f>
        <v>32420.0</v>
      </c>
      <c r="T202" s="32" t="n">
        <f>117</f>
        <v>117.0</v>
      </c>
      <c r="U202" s="32" t="str">
        <f>"－"</f>
        <v>－</v>
      </c>
      <c r="V202" s="32" t="n">
        <f>3809540</f>
        <v>3809540.0</v>
      </c>
      <c r="W202" s="32" t="str">
        <f>"－"</f>
        <v>－</v>
      </c>
      <c r="X202" s="36" t="n">
        <f>11</f>
        <v>11.0</v>
      </c>
    </row>
    <row r="203">
      <c r="A203" s="27" t="s">
        <v>42</v>
      </c>
      <c r="B203" s="27" t="s">
        <v>655</v>
      </c>
      <c r="C203" s="27" t="s">
        <v>656</v>
      </c>
      <c r="D203" s="27" t="s">
        <v>657</v>
      </c>
      <c r="E203" s="28" t="s">
        <v>46</v>
      </c>
      <c r="F203" s="29" t="s">
        <v>46</v>
      </c>
      <c r="G203" s="30" t="s">
        <v>46</v>
      </c>
      <c r="H203" s="31"/>
      <c r="I203" s="31" t="s">
        <v>416</v>
      </c>
      <c r="J203" s="32" t="n">
        <v>1.0</v>
      </c>
      <c r="K203" s="33" t="n">
        <f>60350</f>
        <v>60350.0</v>
      </c>
      <c r="L203" s="34" t="s">
        <v>58</v>
      </c>
      <c r="M203" s="33" t="n">
        <f>62200</f>
        <v>62200.0</v>
      </c>
      <c r="N203" s="34" t="s">
        <v>224</v>
      </c>
      <c r="O203" s="33" t="n">
        <f>58400</f>
        <v>58400.0</v>
      </c>
      <c r="P203" s="34" t="s">
        <v>58</v>
      </c>
      <c r="Q203" s="33" t="n">
        <f>59510</f>
        <v>59510.0</v>
      </c>
      <c r="R203" s="34" t="s">
        <v>51</v>
      </c>
      <c r="S203" s="35" t="n">
        <f>59846</f>
        <v>59846.0</v>
      </c>
      <c r="T203" s="32" t="n">
        <f>59</f>
        <v>59.0</v>
      </c>
      <c r="U203" s="32" t="str">
        <f>"－"</f>
        <v>－</v>
      </c>
      <c r="V203" s="32" t="n">
        <f>3539660</f>
        <v>3539660.0</v>
      </c>
      <c r="W203" s="32" t="str">
        <f>"－"</f>
        <v>－</v>
      </c>
      <c r="X203" s="36" t="n">
        <f>10</f>
        <v>10.0</v>
      </c>
    </row>
    <row r="204">
      <c r="A204" s="27" t="s">
        <v>42</v>
      </c>
      <c r="B204" s="27" t="s">
        <v>658</v>
      </c>
      <c r="C204" s="27" t="s">
        <v>659</v>
      </c>
      <c r="D204" s="27" t="s">
        <v>660</v>
      </c>
      <c r="E204" s="28" t="s">
        <v>46</v>
      </c>
      <c r="F204" s="29" t="s">
        <v>46</v>
      </c>
      <c r="G204" s="30" t="s">
        <v>46</v>
      </c>
      <c r="H204" s="31"/>
      <c r="I204" s="31" t="s">
        <v>416</v>
      </c>
      <c r="J204" s="32" t="n">
        <v>1.0</v>
      </c>
      <c r="K204" s="33" t="n">
        <f>25075</f>
        <v>25075.0</v>
      </c>
      <c r="L204" s="34" t="s">
        <v>48</v>
      </c>
      <c r="M204" s="33" t="n">
        <f>25575</f>
        <v>25575.0</v>
      </c>
      <c r="N204" s="34" t="s">
        <v>661</v>
      </c>
      <c r="O204" s="33" t="n">
        <f>25075</f>
        <v>25075.0</v>
      </c>
      <c r="P204" s="34" t="s">
        <v>48</v>
      </c>
      <c r="Q204" s="33" t="n">
        <f>25575</f>
        <v>25575.0</v>
      </c>
      <c r="R204" s="34" t="s">
        <v>661</v>
      </c>
      <c r="S204" s="35" t="n">
        <f>25325</f>
        <v>25325.0</v>
      </c>
      <c r="T204" s="32" t="n">
        <f>60</f>
        <v>60.0</v>
      </c>
      <c r="U204" s="32" t="str">
        <f>"－"</f>
        <v>－</v>
      </c>
      <c r="V204" s="32" t="n">
        <f>1514500</f>
        <v>1514500.0</v>
      </c>
      <c r="W204" s="32" t="str">
        <f>"－"</f>
        <v>－</v>
      </c>
      <c r="X204" s="36" t="n">
        <f>2</f>
        <v>2.0</v>
      </c>
    </row>
    <row r="205">
      <c r="A205" s="27" t="s">
        <v>42</v>
      </c>
      <c r="B205" s="27" t="s">
        <v>662</v>
      </c>
      <c r="C205" s="27" t="s">
        <v>663</v>
      </c>
      <c r="D205" s="27" t="s">
        <v>664</v>
      </c>
      <c r="E205" s="28" t="s">
        <v>46</v>
      </c>
      <c r="F205" s="29" t="s">
        <v>46</v>
      </c>
      <c r="G205" s="30" t="s">
        <v>46</v>
      </c>
      <c r="H205" s="31"/>
      <c r="I205" s="31" t="s">
        <v>416</v>
      </c>
      <c r="J205" s="32" t="n">
        <v>1.0</v>
      </c>
      <c r="K205" s="33" t="n">
        <f>29285</f>
        <v>29285.0</v>
      </c>
      <c r="L205" s="34" t="s">
        <v>48</v>
      </c>
      <c r="M205" s="33" t="n">
        <f>30000</f>
        <v>30000.0</v>
      </c>
      <c r="N205" s="34" t="s">
        <v>49</v>
      </c>
      <c r="O205" s="33" t="n">
        <f>27990</f>
        <v>27990.0</v>
      </c>
      <c r="P205" s="34" t="s">
        <v>50</v>
      </c>
      <c r="Q205" s="33" t="n">
        <f>28060</f>
        <v>28060.0</v>
      </c>
      <c r="R205" s="34" t="s">
        <v>197</v>
      </c>
      <c r="S205" s="35" t="n">
        <f>28842.92</f>
        <v>28842.92</v>
      </c>
      <c r="T205" s="32" t="n">
        <f>434</f>
        <v>434.0</v>
      </c>
      <c r="U205" s="32" t="str">
        <f>"－"</f>
        <v>－</v>
      </c>
      <c r="V205" s="32" t="n">
        <f>12653635</f>
        <v>1.2653635E7</v>
      </c>
      <c r="W205" s="32" t="str">
        <f>"－"</f>
        <v>－</v>
      </c>
      <c r="X205" s="36" t="n">
        <f>12</f>
        <v>12.0</v>
      </c>
    </row>
    <row r="206">
      <c r="A206" s="27" t="s">
        <v>42</v>
      </c>
      <c r="B206" s="27" t="s">
        <v>665</v>
      </c>
      <c r="C206" s="27" t="s">
        <v>666</v>
      </c>
      <c r="D206" s="27" t="s">
        <v>667</v>
      </c>
      <c r="E206" s="28" t="s">
        <v>46</v>
      </c>
      <c r="F206" s="29" t="s">
        <v>46</v>
      </c>
      <c r="G206" s="30" t="s">
        <v>46</v>
      </c>
      <c r="H206" s="31"/>
      <c r="I206" s="31" t="s">
        <v>416</v>
      </c>
      <c r="J206" s="32" t="n">
        <v>1.0</v>
      </c>
      <c r="K206" s="33" t="n">
        <f>44350</f>
        <v>44350.0</v>
      </c>
      <c r="L206" s="34" t="s">
        <v>661</v>
      </c>
      <c r="M206" s="33" t="n">
        <f>44350</f>
        <v>44350.0</v>
      </c>
      <c r="N206" s="34" t="s">
        <v>661</v>
      </c>
      <c r="O206" s="33" t="n">
        <f>35000</f>
        <v>35000.0</v>
      </c>
      <c r="P206" s="34" t="s">
        <v>197</v>
      </c>
      <c r="Q206" s="33" t="n">
        <f>35000</f>
        <v>35000.0</v>
      </c>
      <c r="R206" s="34" t="s">
        <v>197</v>
      </c>
      <c r="S206" s="35" t="n">
        <f>40968</f>
        <v>40968.0</v>
      </c>
      <c r="T206" s="32" t="n">
        <f>333</f>
        <v>333.0</v>
      </c>
      <c r="U206" s="32" t="str">
        <f>"－"</f>
        <v>－</v>
      </c>
      <c r="V206" s="32" t="n">
        <f>14029590</f>
        <v>1.402959E7</v>
      </c>
      <c r="W206" s="32" t="str">
        <f>"－"</f>
        <v>－</v>
      </c>
      <c r="X206" s="36" t="n">
        <f>5</f>
        <v>5.0</v>
      </c>
    </row>
    <row r="207">
      <c r="A207" s="27" t="s">
        <v>42</v>
      </c>
      <c r="B207" s="27" t="s">
        <v>668</v>
      </c>
      <c r="C207" s="27" t="s">
        <v>669</v>
      </c>
      <c r="D207" s="27" t="s">
        <v>670</v>
      </c>
      <c r="E207" s="28" t="s">
        <v>46</v>
      </c>
      <c r="F207" s="29" t="s">
        <v>46</v>
      </c>
      <c r="G207" s="30" t="s">
        <v>46</v>
      </c>
      <c r="H207" s="31"/>
      <c r="I207" s="31" t="s">
        <v>416</v>
      </c>
      <c r="J207" s="32" t="n">
        <v>1.0</v>
      </c>
      <c r="K207" s="33" t="str">
        <f>"－"</f>
        <v>－</v>
      </c>
      <c r="L207" s="34"/>
      <c r="M207" s="33" t="str">
        <f>"－"</f>
        <v>－</v>
      </c>
      <c r="N207" s="34"/>
      <c r="O207" s="33" t="str">
        <f>"－"</f>
        <v>－</v>
      </c>
      <c r="P207" s="34"/>
      <c r="Q207" s="33" t="str">
        <f>"－"</f>
        <v>－</v>
      </c>
      <c r="R207" s="34"/>
      <c r="S207" s="35" t="str">
        <f>"－"</f>
        <v>－</v>
      </c>
      <c r="T207" s="32" t="str">
        <f>"－"</f>
        <v>－</v>
      </c>
      <c r="U207" s="32" t="str">
        <f>"－"</f>
        <v>－</v>
      </c>
      <c r="V207" s="32" t="str">
        <f>"－"</f>
        <v>－</v>
      </c>
      <c r="W207" s="32" t="str">
        <f>"－"</f>
        <v>－</v>
      </c>
      <c r="X207" s="36" t="str">
        <f>"－"</f>
        <v>－</v>
      </c>
    </row>
    <row r="208">
      <c r="A208" s="27" t="s">
        <v>42</v>
      </c>
      <c r="B208" s="27" t="s">
        <v>671</v>
      </c>
      <c r="C208" s="27" t="s">
        <v>672</v>
      </c>
      <c r="D208" s="27" t="s">
        <v>673</v>
      </c>
      <c r="E208" s="28" t="s">
        <v>46</v>
      </c>
      <c r="F208" s="29" t="s">
        <v>46</v>
      </c>
      <c r="G208" s="30" t="s">
        <v>46</v>
      </c>
      <c r="H208" s="31"/>
      <c r="I208" s="31" t="s">
        <v>416</v>
      </c>
      <c r="J208" s="32" t="n">
        <v>1.0</v>
      </c>
      <c r="K208" s="33" t="n">
        <f>15875</f>
        <v>15875.0</v>
      </c>
      <c r="L208" s="34" t="s">
        <v>49</v>
      </c>
      <c r="M208" s="33" t="n">
        <f>16265</f>
        <v>16265.0</v>
      </c>
      <c r="N208" s="34" t="s">
        <v>75</v>
      </c>
      <c r="O208" s="33" t="n">
        <f>15505</f>
        <v>15505.0</v>
      </c>
      <c r="P208" s="34" t="s">
        <v>160</v>
      </c>
      <c r="Q208" s="33" t="n">
        <f>16015</f>
        <v>16015.0</v>
      </c>
      <c r="R208" s="34" t="s">
        <v>51</v>
      </c>
      <c r="S208" s="35" t="n">
        <f>15765</f>
        <v>15765.0</v>
      </c>
      <c r="T208" s="32" t="n">
        <f>567</f>
        <v>567.0</v>
      </c>
      <c r="U208" s="32" t="str">
        <f>"－"</f>
        <v>－</v>
      </c>
      <c r="V208" s="32" t="n">
        <f>9065165</f>
        <v>9065165.0</v>
      </c>
      <c r="W208" s="32" t="str">
        <f>"－"</f>
        <v>－</v>
      </c>
      <c r="X208" s="36" t="n">
        <f>7</f>
        <v>7.0</v>
      </c>
    </row>
    <row r="209">
      <c r="A209" s="27" t="s">
        <v>42</v>
      </c>
      <c r="B209" s="27" t="s">
        <v>674</v>
      </c>
      <c r="C209" s="27" t="s">
        <v>675</v>
      </c>
      <c r="D209" s="27" t="s">
        <v>676</v>
      </c>
      <c r="E209" s="28" t="s">
        <v>46</v>
      </c>
      <c r="F209" s="29" t="s">
        <v>46</v>
      </c>
      <c r="G209" s="30" t="s">
        <v>46</v>
      </c>
      <c r="H209" s="31"/>
      <c r="I209" s="31" t="s">
        <v>416</v>
      </c>
      <c r="J209" s="32" t="n">
        <v>1.0</v>
      </c>
      <c r="K209" s="33" t="n">
        <f>19320</f>
        <v>19320.0</v>
      </c>
      <c r="L209" s="34" t="s">
        <v>48</v>
      </c>
      <c r="M209" s="33" t="n">
        <f>20280</f>
        <v>20280.0</v>
      </c>
      <c r="N209" s="34" t="s">
        <v>197</v>
      </c>
      <c r="O209" s="33" t="n">
        <f>19320</f>
        <v>19320.0</v>
      </c>
      <c r="P209" s="34" t="s">
        <v>48</v>
      </c>
      <c r="Q209" s="33" t="n">
        <f>20130</f>
        <v>20130.0</v>
      </c>
      <c r="R209" s="34" t="s">
        <v>51</v>
      </c>
      <c r="S209" s="35" t="n">
        <f>19847.86</f>
        <v>19847.86</v>
      </c>
      <c r="T209" s="32" t="n">
        <f>3580</f>
        <v>3580.0</v>
      </c>
      <c r="U209" s="32" t="str">
        <f>"－"</f>
        <v>－</v>
      </c>
      <c r="V209" s="32" t="n">
        <f>71223505</f>
        <v>7.1223505E7</v>
      </c>
      <c r="W209" s="32" t="str">
        <f>"－"</f>
        <v>－</v>
      </c>
      <c r="X209" s="36" t="n">
        <f>14</f>
        <v>14.0</v>
      </c>
    </row>
    <row r="210">
      <c r="A210" s="27" t="s">
        <v>42</v>
      </c>
      <c r="B210" s="27" t="s">
        <v>677</v>
      </c>
      <c r="C210" s="27" t="s">
        <v>678</v>
      </c>
      <c r="D210" s="27" t="s">
        <v>679</v>
      </c>
      <c r="E210" s="28" t="s">
        <v>46</v>
      </c>
      <c r="F210" s="29" t="s">
        <v>46</v>
      </c>
      <c r="G210" s="30" t="s">
        <v>46</v>
      </c>
      <c r="H210" s="31"/>
      <c r="I210" s="31" t="s">
        <v>416</v>
      </c>
      <c r="J210" s="32" t="n">
        <v>1.0</v>
      </c>
      <c r="K210" s="33" t="n">
        <f>21825</f>
        <v>21825.0</v>
      </c>
      <c r="L210" s="34" t="s">
        <v>48</v>
      </c>
      <c r="M210" s="33" t="n">
        <f>22475</f>
        <v>22475.0</v>
      </c>
      <c r="N210" s="34" t="s">
        <v>58</v>
      </c>
      <c r="O210" s="33" t="n">
        <f>21310</f>
        <v>21310.0</v>
      </c>
      <c r="P210" s="34" t="s">
        <v>75</v>
      </c>
      <c r="Q210" s="33" t="n">
        <f>21535</f>
        <v>21535.0</v>
      </c>
      <c r="R210" s="34" t="s">
        <v>51</v>
      </c>
      <c r="S210" s="35" t="n">
        <f>21802.78</f>
        <v>21802.78</v>
      </c>
      <c r="T210" s="32" t="n">
        <f>2232</f>
        <v>2232.0</v>
      </c>
      <c r="U210" s="32" t="str">
        <f>"－"</f>
        <v>－</v>
      </c>
      <c r="V210" s="32" t="n">
        <f>48196460</f>
        <v>4.819646E7</v>
      </c>
      <c r="W210" s="32" t="str">
        <f>"－"</f>
        <v>－</v>
      </c>
      <c r="X210" s="36" t="n">
        <f>18</f>
        <v>18.0</v>
      </c>
    </row>
    <row r="211">
      <c r="A211" s="27" t="s">
        <v>42</v>
      </c>
      <c r="B211" s="27" t="s">
        <v>680</v>
      </c>
      <c r="C211" s="27" t="s">
        <v>681</v>
      </c>
      <c r="D211" s="27" t="s">
        <v>682</v>
      </c>
      <c r="E211" s="28" t="s">
        <v>46</v>
      </c>
      <c r="F211" s="29" t="s">
        <v>46</v>
      </c>
      <c r="G211" s="30" t="s">
        <v>46</v>
      </c>
      <c r="H211" s="31"/>
      <c r="I211" s="31" t="s">
        <v>416</v>
      </c>
      <c r="J211" s="32" t="n">
        <v>1.0</v>
      </c>
      <c r="K211" s="33" t="n">
        <f>15330</f>
        <v>15330.0</v>
      </c>
      <c r="L211" s="34" t="s">
        <v>49</v>
      </c>
      <c r="M211" s="33" t="n">
        <f>15495</f>
        <v>15495.0</v>
      </c>
      <c r="N211" s="34" t="s">
        <v>62</v>
      </c>
      <c r="O211" s="33" t="n">
        <f>15210</f>
        <v>15210.0</v>
      </c>
      <c r="P211" s="34" t="s">
        <v>116</v>
      </c>
      <c r="Q211" s="33" t="n">
        <f>15480</f>
        <v>15480.0</v>
      </c>
      <c r="R211" s="34" t="s">
        <v>156</v>
      </c>
      <c r="S211" s="35" t="n">
        <f>15379</f>
        <v>15379.0</v>
      </c>
      <c r="T211" s="32" t="n">
        <f>107</f>
        <v>107.0</v>
      </c>
      <c r="U211" s="32" t="str">
        <f>"－"</f>
        <v>－</v>
      </c>
      <c r="V211" s="32" t="n">
        <f>1656775</f>
        <v>1656775.0</v>
      </c>
      <c r="W211" s="32" t="str">
        <f>"－"</f>
        <v>－</v>
      </c>
      <c r="X211" s="36" t="n">
        <f>5</f>
        <v>5.0</v>
      </c>
    </row>
    <row r="212">
      <c r="A212" s="27" t="s">
        <v>42</v>
      </c>
      <c r="B212" s="27" t="s">
        <v>683</v>
      </c>
      <c r="C212" s="27" t="s">
        <v>684</v>
      </c>
      <c r="D212" s="27" t="s">
        <v>685</v>
      </c>
      <c r="E212" s="28" t="s">
        <v>46</v>
      </c>
      <c r="F212" s="29" t="s">
        <v>46</v>
      </c>
      <c r="G212" s="30" t="s">
        <v>46</v>
      </c>
      <c r="H212" s="31"/>
      <c r="I212" s="31" t="s">
        <v>47</v>
      </c>
      <c r="J212" s="32" t="n">
        <v>1.0</v>
      </c>
      <c r="K212" s="33" t="n">
        <f>1946</f>
        <v>1946.0</v>
      </c>
      <c r="L212" s="34" t="s">
        <v>48</v>
      </c>
      <c r="M212" s="33" t="n">
        <f>2079</f>
        <v>2079.0</v>
      </c>
      <c r="N212" s="34" t="s">
        <v>62</v>
      </c>
      <c r="O212" s="33" t="n">
        <f>1929</f>
        <v>1929.0</v>
      </c>
      <c r="P212" s="34" t="s">
        <v>48</v>
      </c>
      <c r="Q212" s="33" t="n">
        <f>2030</f>
        <v>2030.0</v>
      </c>
      <c r="R212" s="34" t="s">
        <v>51</v>
      </c>
      <c r="S212" s="35" t="n">
        <f>2008.27</f>
        <v>2008.27</v>
      </c>
      <c r="T212" s="32" t="n">
        <f>823496</f>
        <v>823496.0</v>
      </c>
      <c r="U212" s="32" t="n">
        <f>54800</f>
        <v>54800.0</v>
      </c>
      <c r="V212" s="32" t="n">
        <f>1649900720</f>
        <v>1.64990072E9</v>
      </c>
      <c r="W212" s="32" t="n">
        <f>109688300</f>
        <v>1.096883E8</v>
      </c>
      <c r="X212" s="36" t="n">
        <f>22</f>
        <v>22.0</v>
      </c>
    </row>
    <row r="213">
      <c r="A213" s="27" t="s">
        <v>42</v>
      </c>
      <c r="B213" s="27" t="s">
        <v>686</v>
      </c>
      <c r="C213" s="27" t="s">
        <v>687</v>
      </c>
      <c r="D213" s="27" t="s">
        <v>688</v>
      </c>
      <c r="E213" s="28" t="s">
        <v>46</v>
      </c>
      <c r="F213" s="29" t="s">
        <v>46</v>
      </c>
      <c r="G213" s="30" t="s">
        <v>46</v>
      </c>
      <c r="H213" s="31"/>
      <c r="I213" s="31" t="s">
        <v>47</v>
      </c>
      <c r="J213" s="32" t="n">
        <v>1.0</v>
      </c>
      <c r="K213" s="33" t="n">
        <f>2135</f>
        <v>2135.0</v>
      </c>
      <c r="L213" s="34" t="s">
        <v>48</v>
      </c>
      <c r="M213" s="33" t="n">
        <f>2390</f>
        <v>2390.0</v>
      </c>
      <c r="N213" s="34" t="s">
        <v>661</v>
      </c>
      <c r="O213" s="33" t="n">
        <f>2058</f>
        <v>2058.0</v>
      </c>
      <c r="P213" s="34" t="s">
        <v>50</v>
      </c>
      <c r="Q213" s="33" t="n">
        <f>2129</f>
        <v>2129.0</v>
      </c>
      <c r="R213" s="34" t="s">
        <v>51</v>
      </c>
      <c r="S213" s="35" t="n">
        <f>2152.68</f>
        <v>2152.68</v>
      </c>
      <c r="T213" s="32" t="n">
        <f>25247</f>
        <v>25247.0</v>
      </c>
      <c r="U213" s="32" t="str">
        <f>"－"</f>
        <v>－</v>
      </c>
      <c r="V213" s="32" t="n">
        <f>54028059</f>
        <v>5.4028059E7</v>
      </c>
      <c r="W213" s="32" t="str">
        <f>"－"</f>
        <v>－</v>
      </c>
      <c r="X213" s="36" t="n">
        <f>22</f>
        <v>22.0</v>
      </c>
    </row>
    <row r="214">
      <c r="A214" s="27" t="s">
        <v>42</v>
      </c>
      <c r="B214" s="27" t="s">
        <v>689</v>
      </c>
      <c r="C214" s="27" t="s">
        <v>690</v>
      </c>
      <c r="D214" s="27" t="s">
        <v>691</v>
      </c>
      <c r="E214" s="28" t="s">
        <v>46</v>
      </c>
      <c r="F214" s="29" t="s">
        <v>46</v>
      </c>
      <c r="G214" s="30" t="s">
        <v>46</v>
      </c>
      <c r="H214" s="31"/>
      <c r="I214" s="31" t="s">
        <v>47</v>
      </c>
      <c r="J214" s="32" t="n">
        <v>1.0</v>
      </c>
      <c r="K214" s="33" t="n">
        <f>1180</f>
        <v>1180.0</v>
      </c>
      <c r="L214" s="34" t="s">
        <v>48</v>
      </c>
      <c r="M214" s="33" t="n">
        <f>1267</f>
        <v>1267.0</v>
      </c>
      <c r="N214" s="34" t="s">
        <v>207</v>
      </c>
      <c r="O214" s="33" t="n">
        <f>1180</f>
        <v>1180.0</v>
      </c>
      <c r="P214" s="34" t="s">
        <v>48</v>
      </c>
      <c r="Q214" s="33" t="n">
        <f>1264</f>
        <v>1264.0</v>
      </c>
      <c r="R214" s="34" t="s">
        <v>51</v>
      </c>
      <c r="S214" s="35" t="n">
        <f>1224.14</f>
        <v>1224.14</v>
      </c>
      <c r="T214" s="32" t="n">
        <f>4829</f>
        <v>4829.0</v>
      </c>
      <c r="U214" s="32" t="str">
        <f>"－"</f>
        <v>－</v>
      </c>
      <c r="V214" s="32" t="n">
        <f>5899876</f>
        <v>5899876.0</v>
      </c>
      <c r="W214" s="32" t="str">
        <f>"－"</f>
        <v>－</v>
      </c>
      <c r="X214" s="36" t="n">
        <f>22</f>
        <v>22.0</v>
      </c>
    </row>
    <row r="215">
      <c r="A215" s="27" t="s">
        <v>42</v>
      </c>
      <c r="B215" s="27" t="s">
        <v>692</v>
      </c>
      <c r="C215" s="27" t="s">
        <v>693</v>
      </c>
      <c r="D215" s="27" t="s">
        <v>694</v>
      </c>
      <c r="E215" s="28" t="s">
        <v>46</v>
      </c>
      <c r="F215" s="29" t="s">
        <v>46</v>
      </c>
      <c r="G215" s="30" t="s">
        <v>46</v>
      </c>
      <c r="H215" s="31"/>
      <c r="I215" s="31" t="s">
        <v>47</v>
      </c>
      <c r="J215" s="32" t="n">
        <v>1.0</v>
      </c>
      <c r="K215" s="33" t="n">
        <f>3933</f>
        <v>3933.0</v>
      </c>
      <c r="L215" s="34" t="s">
        <v>48</v>
      </c>
      <c r="M215" s="33" t="n">
        <f>4031</f>
        <v>4031.0</v>
      </c>
      <c r="N215" s="34" t="s">
        <v>51</v>
      </c>
      <c r="O215" s="33" t="n">
        <f>3750</f>
        <v>3750.0</v>
      </c>
      <c r="P215" s="34" t="s">
        <v>50</v>
      </c>
      <c r="Q215" s="33" t="n">
        <f>3925</f>
        <v>3925.0</v>
      </c>
      <c r="R215" s="34" t="s">
        <v>51</v>
      </c>
      <c r="S215" s="35" t="n">
        <f>3896.27</f>
        <v>3896.27</v>
      </c>
      <c r="T215" s="32" t="n">
        <f>152133</f>
        <v>152133.0</v>
      </c>
      <c r="U215" s="32" t="str">
        <f>"－"</f>
        <v>－</v>
      </c>
      <c r="V215" s="32" t="n">
        <f>592065406</f>
        <v>5.92065406E8</v>
      </c>
      <c r="W215" s="32" t="str">
        <f>"－"</f>
        <v>－</v>
      </c>
      <c r="X215" s="36" t="n">
        <f>22</f>
        <v>22.0</v>
      </c>
    </row>
    <row r="216">
      <c r="A216" s="27" t="s">
        <v>42</v>
      </c>
      <c r="B216" s="27" t="s">
        <v>695</v>
      </c>
      <c r="C216" s="27" t="s">
        <v>696</v>
      </c>
      <c r="D216" s="27" t="s">
        <v>697</v>
      </c>
      <c r="E216" s="28" t="s">
        <v>46</v>
      </c>
      <c r="F216" s="29" t="s">
        <v>46</v>
      </c>
      <c r="G216" s="30" t="s">
        <v>46</v>
      </c>
      <c r="H216" s="31"/>
      <c r="I216" s="31" t="s">
        <v>47</v>
      </c>
      <c r="J216" s="32" t="n">
        <v>1.0</v>
      </c>
      <c r="K216" s="33" t="n">
        <f>3769</f>
        <v>3769.0</v>
      </c>
      <c r="L216" s="34" t="s">
        <v>48</v>
      </c>
      <c r="M216" s="33" t="n">
        <f>3829</f>
        <v>3829.0</v>
      </c>
      <c r="N216" s="34" t="s">
        <v>49</v>
      </c>
      <c r="O216" s="33" t="n">
        <f>3586</f>
        <v>3586.0</v>
      </c>
      <c r="P216" s="34" t="s">
        <v>50</v>
      </c>
      <c r="Q216" s="33" t="n">
        <f>3743</f>
        <v>3743.0</v>
      </c>
      <c r="R216" s="34" t="s">
        <v>51</v>
      </c>
      <c r="S216" s="35" t="n">
        <f>3738.86</f>
        <v>3738.86</v>
      </c>
      <c r="T216" s="32" t="n">
        <f>600128</f>
        <v>600128.0</v>
      </c>
      <c r="U216" s="32" t="n">
        <f>29700</f>
        <v>29700.0</v>
      </c>
      <c r="V216" s="32" t="n">
        <f>2232611345</f>
        <v>2.232611345E9</v>
      </c>
      <c r="W216" s="32" t="n">
        <f>109154097</f>
        <v>1.09154097E8</v>
      </c>
      <c r="X216" s="36" t="n">
        <f>22</f>
        <v>22.0</v>
      </c>
    </row>
    <row r="217">
      <c r="A217" s="27" t="s">
        <v>42</v>
      </c>
      <c r="B217" s="27" t="s">
        <v>698</v>
      </c>
      <c r="C217" s="27" t="s">
        <v>699</v>
      </c>
      <c r="D217" s="27" t="s">
        <v>700</v>
      </c>
      <c r="E217" s="28" t="s">
        <v>46</v>
      </c>
      <c r="F217" s="29" t="s">
        <v>46</v>
      </c>
      <c r="G217" s="30" t="s">
        <v>46</v>
      </c>
      <c r="H217" s="31"/>
      <c r="I217" s="31" t="s">
        <v>47</v>
      </c>
      <c r="J217" s="32" t="n">
        <v>10.0</v>
      </c>
      <c r="K217" s="33" t="n">
        <f>724.2</f>
        <v>724.2</v>
      </c>
      <c r="L217" s="34" t="s">
        <v>48</v>
      </c>
      <c r="M217" s="33" t="n">
        <f>798.9</f>
        <v>798.9</v>
      </c>
      <c r="N217" s="34" t="s">
        <v>197</v>
      </c>
      <c r="O217" s="33" t="n">
        <f>715</f>
        <v>715.0</v>
      </c>
      <c r="P217" s="34" t="s">
        <v>48</v>
      </c>
      <c r="Q217" s="33" t="n">
        <f>775</f>
        <v>775.0</v>
      </c>
      <c r="R217" s="34" t="s">
        <v>51</v>
      </c>
      <c r="S217" s="35" t="n">
        <f>755.68</f>
        <v>755.68</v>
      </c>
      <c r="T217" s="32" t="n">
        <f>665430</f>
        <v>665430.0</v>
      </c>
      <c r="U217" s="32" t="n">
        <f>27510</f>
        <v>27510.0</v>
      </c>
      <c r="V217" s="32" t="n">
        <f>504481480</f>
        <v>5.0448148E8</v>
      </c>
      <c r="W217" s="32" t="n">
        <f>21064909</f>
        <v>2.1064909E7</v>
      </c>
      <c r="X217" s="36" t="n">
        <f>22</f>
        <v>22.0</v>
      </c>
    </row>
    <row r="218">
      <c r="A218" s="27" t="s">
        <v>42</v>
      </c>
      <c r="B218" s="27" t="s">
        <v>701</v>
      </c>
      <c r="C218" s="27" t="s">
        <v>702</v>
      </c>
      <c r="D218" s="27" t="s">
        <v>703</v>
      </c>
      <c r="E218" s="28" t="s">
        <v>46</v>
      </c>
      <c r="F218" s="29" t="s">
        <v>46</v>
      </c>
      <c r="G218" s="30" t="s">
        <v>46</v>
      </c>
      <c r="H218" s="31"/>
      <c r="I218" s="31" t="s">
        <v>47</v>
      </c>
      <c r="J218" s="32" t="n">
        <v>1.0</v>
      </c>
      <c r="K218" s="33" t="n">
        <f>3096</f>
        <v>3096.0</v>
      </c>
      <c r="L218" s="34" t="s">
        <v>48</v>
      </c>
      <c r="M218" s="33" t="n">
        <f>3096</f>
        <v>3096.0</v>
      </c>
      <c r="N218" s="34" t="s">
        <v>48</v>
      </c>
      <c r="O218" s="33" t="n">
        <f>2927</f>
        <v>2927.0</v>
      </c>
      <c r="P218" s="34" t="s">
        <v>197</v>
      </c>
      <c r="Q218" s="33" t="n">
        <f>2980</f>
        <v>2980.0</v>
      </c>
      <c r="R218" s="34" t="s">
        <v>51</v>
      </c>
      <c r="S218" s="35" t="n">
        <f>2987.76</f>
        <v>2987.76</v>
      </c>
      <c r="T218" s="32" t="n">
        <f>567353</f>
        <v>567353.0</v>
      </c>
      <c r="U218" s="32" t="n">
        <f>510000</f>
        <v>510000.0</v>
      </c>
      <c r="V218" s="32" t="n">
        <f>1705459506</f>
        <v>1.705459506E9</v>
      </c>
      <c r="W218" s="32" t="n">
        <f>1535930756</f>
        <v>1.535930756E9</v>
      </c>
      <c r="X218" s="36" t="n">
        <f>17</f>
        <v>17.0</v>
      </c>
    </row>
    <row r="219">
      <c r="A219" s="27" t="s">
        <v>42</v>
      </c>
      <c r="B219" s="27" t="s">
        <v>704</v>
      </c>
      <c r="C219" s="27" t="s">
        <v>705</v>
      </c>
      <c r="D219" s="27" t="s">
        <v>706</v>
      </c>
      <c r="E219" s="28" t="s">
        <v>46</v>
      </c>
      <c r="F219" s="29" t="s">
        <v>46</v>
      </c>
      <c r="G219" s="30" t="s">
        <v>46</v>
      </c>
      <c r="H219" s="31"/>
      <c r="I219" s="31" t="s">
        <v>47</v>
      </c>
      <c r="J219" s="32" t="n">
        <v>1.0</v>
      </c>
      <c r="K219" s="33" t="n">
        <f>3545</f>
        <v>3545.0</v>
      </c>
      <c r="L219" s="34" t="s">
        <v>48</v>
      </c>
      <c r="M219" s="33" t="n">
        <f>3545</f>
        <v>3545.0</v>
      </c>
      <c r="N219" s="34" t="s">
        <v>48</v>
      </c>
      <c r="O219" s="33" t="n">
        <f>3199</f>
        <v>3199.0</v>
      </c>
      <c r="P219" s="34" t="s">
        <v>197</v>
      </c>
      <c r="Q219" s="33" t="n">
        <f>3335</f>
        <v>3335.0</v>
      </c>
      <c r="R219" s="34" t="s">
        <v>51</v>
      </c>
      <c r="S219" s="35" t="n">
        <f>3410.05</f>
        <v>3410.05</v>
      </c>
      <c r="T219" s="32" t="n">
        <f>225990</f>
        <v>225990.0</v>
      </c>
      <c r="U219" s="32" t="str">
        <f>"－"</f>
        <v>－</v>
      </c>
      <c r="V219" s="32" t="n">
        <f>753378548</f>
        <v>7.53378548E8</v>
      </c>
      <c r="W219" s="32" t="str">
        <f>"－"</f>
        <v>－</v>
      </c>
      <c r="X219" s="36" t="n">
        <f>21</f>
        <v>21.0</v>
      </c>
    </row>
    <row r="220">
      <c r="A220" s="27" t="s">
        <v>42</v>
      </c>
      <c r="B220" s="27" t="s">
        <v>707</v>
      </c>
      <c r="C220" s="27" t="s">
        <v>708</v>
      </c>
      <c r="D220" s="27" t="s">
        <v>709</v>
      </c>
      <c r="E220" s="28" t="s">
        <v>46</v>
      </c>
      <c r="F220" s="29" t="s">
        <v>46</v>
      </c>
      <c r="G220" s="30" t="s">
        <v>46</v>
      </c>
      <c r="H220" s="31"/>
      <c r="I220" s="31" t="s">
        <v>47</v>
      </c>
      <c r="J220" s="32" t="n">
        <v>1.0</v>
      </c>
      <c r="K220" s="33" t="n">
        <f>2625</f>
        <v>2625.0</v>
      </c>
      <c r="L220" s="34" t="s">
        <v>48</v>
      </c>
      <c r="M220" s="33" t="n">
        <f>2675</f>
        <v>2675.0</v>
      </c>
      <c r="N220" s="34" t="s">
        <v>49</v>
      </c>
      <c r="O220" s="33" t="n">
        <f>2592</f>
        <v>2592.0</v>
      </c>
      <c r="P220" s="34" t="s">
        <v>197</v>
      </c>
      <c r="Q220" s="33" t="n">
        <f>2638</f>
        <v>2638.0</v>
      </c>
      <c r="R220" s="34" t="s">
        <v>51</v>
      </c>
      <c r="S220" s="35" t="n">
        <f>2636.83</f>
        <v>2636.83</v>
      </c>
      <c r="T220" s="32" t="n">
        <f>388121</f>
        <v>388121.0</v>
      </c>
      <c r="U220" s="32" t="n">
        <f>192238</f>
        <v>192238.0</v>
      </c>
      <c r="V220" s="32" t="n">
        <f>1013905511</f>
        <v>1.013905511E9</v>
      </c>
      <c r="W220" s="32" t="n">
        <f>499999503</f>
        <v>4.99999503E8</v>
      </c>
      <c r="X220" s="36" t="n">
        <f>18</f>
        <v>18.0</v>
      </c>
    </row>
    <row r="221">
      <c r="A221" s="27" t="s">
        <v>42</v>
      </c>
      <c r="B221" s="27" t="s">
        <v>710</v>
      </c>
      <c r="C221" s="27" t="s">
        <v>711</v>
      </c>
      <c r="D221" s="27" t="s">
        <v>712</v>
      </c>
      <c r="E221" s="28" t="s">
        <v>46</v>
      </c>
      <c r="F221" s="29" t="s">
        <v>46</v>
      </c>
      <c r="G221" s="30" t="s">
        <v>46</v>
      </c>
      <c r="H221" s="31"/>
      <c r="I221" s="31" t="s">
        <v>47</v>
      </c>
      <c r="J221" s="32" t="n">
        <v>1.0</v>
      </c>
      <c r="K221" s="33" t="n">
        <f>2788</f>
        <v>2788.0</v>
      </c>
      <c r="L221" s="34" t="s">
        <v>48</v>
      </c>
      <c r="M221" s="33" t="n">
        <f>2859</f>
        <v>2859.0</v>
      </c>
      <c r="N221" s="34" t="s">
        <v>58</v>
      </c>
      <c r="O221" s="33" t="n">
        <f>2735</f>
        <v>2735.0</v>
      </c>
      <c r="P221" s="34" t="s">
        <v>116</v>
      </c>
      <c r="Q221" s="33" t="n">
        <f>2844</f>
        <v>2844.0</v>
      </c>
      <c r="R221" s="34" t="s">
        <v>51</v>
      </c>
      <c r="S221" s="35" t="n">
        <f>2795.6</f>
        <v>2795.6</v>
      </c>
      <c r="T221" s="32" t="n">
        <f>20495</f>
        <v>20495.0</v>
      </c>
      <c r="U221" s="32" t="str">
        <f>"－"</f>
        <v>－</v>
      </c>
      <c r="V221" s="32" t="n">
        <f>56441699</f>
        <v>5.6441699E7</v>
      </c>
      <c r="W221" s="32" t="str">
        <f>"－"</f>
        <v>－</v>
      </c>
      <c r="X221" s="36" t="n">
        <f>15</f>
        <v>15.0</v>
      </c>
    </row>
    <row r="222">
      <c r="A222" s="27" t="s">
        <v>42</v>
      </c>
      <c r="B222" s="27" t="s">
        <v>713</v>
      </c>
      <c r="C222" s="27" t="s">
        <v>714</v>
      </c>
      <c r="D222" s="27" t="s">
        <v>715</v>
      </c>
      <c r="E222" s="28" t="s">
        <v>46</v>
      </c>
      <c r="F222" s="29" t="s">
        <v>46</v>
      </c>
      <c r="G222" s="30" t="s">
        <v>46</v>
      </c>
      <c r="H222" s="31"/>
      <c r="I222" s="31" t="s">
        <v>47</v>
      </c>
      <c r="J222" s="32" t="n">
        <v>1.0</v>
      </c>
      <c r="K222" s="33" t="n">
        <f>4372</f>
        <v>4372.0</v>
      </c>
      <c r="L222" s="34" t="s">
        <v>48</v>
      </c>
      <c r="M222" s="33" t="n">
        <f>4417</f>
        <v>4417.0</v>
      </c>
      <c r="N222" s="34" t="s">
        <v>70</v>
      </c>
      <c r="O222" s="33" t="n">
        <f>4280</f>
        <v>4280.0</v>
      </c>
      <c r="P222" s="34" t="s">
        <v>51</v>
      </c>
      <c r="Q222" s="33" t="n">
        <f>4337</f>
        <v>4337.0</v>
      </c>
      <c r="R222" s="34" t="s">
        <v>51</v>
      </c>
      <c r="S222" s="35" t="n">
        <f>4339.29</f>
        <v>4339.29</v>
      </c>
      <c r="T222" s="32" t="n">
        <f>543585</f>
        <v>543585.0</v>
      </c>
      <c r="U222" s="32" t="str">
        <f>"－"</f>
        <v>－</v>
      </c>
      <c r="V222" s="32" t="n">
        <f>2362560408</f>
        <v>2.362560408E9</v>
      </c>
      <c r="W222" s="32" t="str">
        <f>"－"</f>
        <v>－</v>
      </c>
      <c r="X222" s="36" t="n">
        <f>21</f>
        <v>21.0</v>
      </c>
    </row>
    <row r="223">
      <c r="A223" s="27" t="s">
        <v>42</v>
      </c>
      <c r="B223" s="27" t="s">
        <v>716</v>
      </c>
      <c r="C223" s="27" t="s">
        <v>717</v>
      </c>
      <c r="D223" s="27" t="s">
        <v>718</v>
      </c>
      <c r="E223" s="28" t="s">
        <v>46</v>
      </c>
      <c r="F223" s="29" t="s">
        <v>46</v>
      </c>
      <c r="G223" s="30" t="s">
        <v>46</v>
      </c>
      <c r="H223" s="31"/>
      <c r="I223" s="31" t="s">
        <v>47</v>
      </c>
      <c r="J223" s="32" t="n">
        <v>1.0</v>
      </c>
      <c r="K223" s="33" t="n">
        <f>4605</f>
        <v>4605.0</v>
      </c>
      <c r="L223" s="34" t="s">
        <v>48</v>
      </c>
      <c r="M223" s="33" t="n">
        <f>4767</f>
        <v>4767.0</v>
      </c>
      <c r="N223" s="34" t="s">
        <v>207</v>
      </c>
      <c r="O223" s="33" t="n">
        <f>4500</f>
        <v>4500.0</v>
      </c>
      <c r="P223" s="34" t="s">
        <v>474</v>
      </c>
      <c r="Q223" s="33" t="n">
        <f>4529</f>
        <v>4529.0</v>
      </c>
      <c r="R223" s="34" t="s">
        <v>51</v>
      </c>
      <c r="S223" s="35" t="n">
        <f>4540.43</f>
        <v>4540.43</v>
      </c>
      <c r="T223" s="32" t="n">
        <f>12744</f>
        <v>12744.0</v>
      </c>
      <c r="U223" s="32" t="str">
        <f>"－"</f>
        <v>－</v>
      </c>
      <c r="V223" s="32" t="n">
        <f>58198321</f>
        <v>5.8198321E7</v>
      </c>
      <c r="W223" s="32" t="str">
        <f>"－"</f>
        <v>－</v>
      </c>
      <c r="X223" s="36" t="n">
        <f>21</f>
        <v>21.0</v>
      </c>
    </row>
    <row r="224">
      <c r="A224" s="27" t="s">
        <v>42</v>
      </c>
      <c r="B224" s="27" t="s">
        <v>719</v>
      </c>
      <c r="C224" s="27" t="s">
        <v>720</v>
      </c>
      <c r="D224" s="27" t="s">
        <v>721</v>
      </c>
      <c r="E224" s="28" t="s">
        <v>46</v>
      </c>
      <c r="F224" s="29" t="s">
        <v>46</v>
      </c>
      <c r="G224" s="30" t="s">
        <v>46</v>
      </c>
      <c r="H224" s="31"/>
      <c r="I224" s="31" t="s">
        <v>47</v>
      </c>
      <c r="J224" s="32" t="n">
        <v>1.0</v>
      </c>
      <c r="K224" s="33" t="n">
        <f>4753</f>
        <v>4753.0</v>
      </c>
      <c r="L224" s="34" t="s">
        <v>48</v>
      </c>
      <c r="M224" s="33" t="n">
        <f>4753</f>
        <v>4753.0</v>
      </c>
      <c r="N224" s="34" t="s">
        <v>48</v>
      </c>
      <c r="O224" s="33" t="n">
        <f>4560</f>
        <v>4560.0</v>
      </c>
      <c r="P224" s="34" t="s">
        <v>71</v>
      </c>
      <c r="Q224" s="33" t="n">
        <f>4588</f>
        <v>4588.0</v>
      </c>
      <c r="R224" s="34" t="s">
        <v>51</v>
      </c>
      <c r="S224" s="35" t="n">
        <f>4603.71</f>
        <v>4603.71</v>
      </c>
      <c r="T224" s="32" t="n">
        <f>3880</f>
        <v>3880.0</v>
      </c>
      <c r="U224" s="32" t="str">
        <f>"－"</f>
        <v>－</v>
      </c>
      <c r="V224" s="32" t="n">
        <f>17891866</f>
        <v>1.7891866E7</v>
      </c>
      <c r="W224" s="32" t="str">
        <f>"－"</f>
        <v>－</v>
      </c>
      <c r="X224" s="36" t="n">
        <f>21</f>
        <v>21.0</v>
      </c>
    </row>
    <row r="225">
      <c r="A225" s="27" t="s">
        <v>42</v>
      </c>
      <c r="B225" s="27" t="s">
        <v>722</v>
      </c>
      <c r="C225" s="27" t="s">
        <v>723</v>
      </c>
      <c r="D225" s="27" t="s">
        <v>724</v>
      </c>
      <c r="E225" s="28" t="s">
        <v>46</v>
      </c>
      <c r="F225" s="29" t="s">
        <v>46</v>
      </c>
      <c r="G225" s="30" t="s">
        <v>46</v>
      </c>
      <c r="H225" s="31"/>
      <c r="I225" s="31" t="s">
        <v>47</v>
      </c>
      <c r="J225" s="32" t="n">
        <v>1.0</v>
      </c>
      <c r="K225" s="33" t="n">
        <f>5416</f>
        <v>5416.0</v>
      </c>
      <c r="L225" s="34" t="s">
        <v>48</v>
      </c>
      <c r="M225" s="33" t="n">
        <f>5516</f>
        <v>5516.0</v>
      </c>
      <c r="N225" s="34" t="s">
        <v>69</v>
      </c>
      <c r="O225" s="33" t="n">
        <f>5349</f>
        <v>5349.0</v>
      </c>
      <c r="P225" s="34" t="s">
        <v>51</v>
      </c>
      <c r="Q225" s="33" t="n">
        <f>5355</f>
        <v>5355.0</v>
      </c>
      <c r="R225" s="34" t="s">
        <v>51</v>
      </c>
      <c r="S225" s="35" t="n">
        <f>5418.23</f>
        <v>5418.23</v>
      </c>
      <c r="T225" s="32" t="n">
        <f>856976</f>
        <v>856976.0</v>
      </c>
      <c r="U225" s="32" t="n">
        <f>612500</f>
        <v>612500.0</v>
      </c>
      <c r="V225" s="32" t="n">
        <f>4616918272</f>
        <v>4.616918272E9</v>
      </c>
      <c r="W225" s="32" t="n">
        <f>3291521288</f>
        <v>3.291521288E9</v>
      </c>
      <c r="X225" s="36" t="n">
        <f>22</f>
        <v>22.0</v>
      </c>
    </row>
    <row r="226">
      <c r="A226" s="27" t="s">
        <v>42</v>
      </c>
      <c r="B226" s="27" t="s">
        <v>725</v>
      </c>
      <c r="C226" s="27" t="s">
        <v>726</v>
      </c>
      <c r="D226" s="27" t="s">
        <v>727</v>
      </c>
      <c r="E226" s="28" t="s">
        <v>46</v>
      </c>
      <c r="F226" s="29" t="s">
        <v>46</v>
      </c>
      <c r="G226" s="30" t="s">
        <v>46</v>
      </c>
      <c r="H226" s="31"/>
      <c r="I226" s="31" t="s">
        <v>47</v>
      </c>
      <c r="J226" s="32" t="n">
        <v>1.0</v>
      </c>
      <c r="K226" s="33" t="n">
        <f>789</f>
        <v>789.0</v>
      </c>
      <c r="L226" s="34" t="s">
        <v>48</v>
      </c>
      <c r="M226" s="33" t="n">
        <f>797</f>
        <v>797.0</v>
      </c>
      <c r="N226" s="34" t="s">
        <v>48</v>
      </c>
      <c r="O226" s="33" t="n">
        <f>743</f>
        <v>743.0</v>
      </c>
      <c r="P226" s="34" t="s">
        <v>75</v>
      </c>
      <c r="Q226" s="33" t="n">
        <f>762</f>
        <v>762.0</v>
      </c>
      <c r="R226" s="34" t="s">
        <v>51</v>
      </c>
      <c r="S226" s="35" t="n">
        <f>768.14</f>
        <v>768.14</v>
      </c>
      <c r="T226" s="32" t="n">
        <f>643437</f>
        <v>643437.0</v>
      </c>
      <c r="U226" s="32" t="str">
        <f>"－"</f>
        <v>－</v>
      </c>
      <c r="V226" s="32" t="n">
        <f>487425095</f>
        <v>4.87425095E8</v>
      </c>
      <c r="W226" s="32" t="str">
        <f>"－"</f>
        <v>－</v>
      </c>
      <c r="X226" s="36" t="n">
        <f>22</f>
        <v>22.0</v>
      </c>
    </row>
    <row r="227">
      <c r="A227" s="27" t="s">
        <v>42</v>
      </c>
      <c r="B227" s="27" t="s">
        <v>728</v>
      </c>
      <c r="C227" s="27" t="s">
        <v>729</v>
      </c>
      <c r="D227" s="27" t="s">
        <v>730</v>
      </c>
      <c r="E227" s="28" t="s">
        <v>46</v>
      </c>
      <c r="F227" s="29" t="s">
        <v>46</v>
      </c>
      <c r="G227" s="30" t="s">
        <v>46</v>
      </c>
      <c r="H227" s="31"/>
      <c r="I227" s="31" t="s">
        <v>47</v>
      </c>
      <c r="J227" s="32" t="n">
        <v>1.0</v>
      </c>
      <c r="K227" s="33" t="n">
        <f>1164</f>
        <v>1164.0</v>
      </c>
      <c r="L227" s="34" t="s">
        <v>48</v>
      </c>
      <c r="M227" s="33" t="n">
        <f>1202</f>
        <v>1202.0</v>
      </c>
      <c r="N227" s="34" t="s">
        <v>75</v>
      </c>
      <c r="O227" s="33" t="n">
        <f>1153</f>
        <v>1153.0</v>
      </c>
      <c r="P227" s="34" t="s">
        <v>249</v>
      </c>
      <c r="Q227" s="33" t="n">
        <f>1176</f>
        <v>1176.0</v>
      </c>
      <c r="R227" s="34" t="s">
        <v>51</v>
      </c>
      <c r="S227" s="35" t="n">
        <f>1173.32</f>
        <v>1173.32</v>
      </c>
      <c r="T227" s="32" t="n">
        <f>212122</f>
        <v>212122.0</v>
      </c>
      <c r="U227" s="32" t="str">
        <f>"－"</f>
        <v>－</v>
      </c>
      <c r="V227" s="32" t="n">
        <f>248919123</f>
        <v>2.48919123E8</v>
      </c>
      <c r="W227" s="32" t="str">
        <f>"－"</f>
        <v>－</v>
      </c>
      <c r="X227" s="36" t="n">
        <f>22</f>
        <v>22.0</v>
      </c>
    </row>
    <row r="228">
      <c r="A228" s="27" t="s">
        <v>42</v>
      </c>
      <c r="B228" s="27" t="s">
        <v>731</v>
      </c>
      <c r="C228" s="27" t="s">
        <v>732</v>
      </c>
      <c r="D228" s="27" t="s">
        <v>733</v>
      </c>
      <c r="E228" s="28" t="s">
        <v>46</v>
      </c>
      <c r="F228" s="29" t="s">
        <v>46</v>
      </c>
      <c r="G228" s="30" t="s">
        <v>46</v>
      </c>
      <c r="H228" s="31"/>
      <c r="I228" s="31" t="s">
        <v>47</v>
      </c>
      <c r="J228" s="32" t="n">
        <v>1.0</v>
      </c>
      <c r="K228" s="33" t="n">
        <f>1030</f>
        <v>1030.0</v>
      </c>
      <c r="L228" s="34" t="s">
        <v>48</v>
      </c>
      <c r="M228" s="33" t="n">
        <f>1100</f>
        <v>1100.0</v>
      </c>
      <c r="N228" s="34" t="s">
        <v>156</v>
      </c>
      <c r="O228" s="33" t="n">
        <f>1000</f>
        <v>1000.0</v>
      </c>
      <c r="P228" s="34" t="s">
        <v>48</v>
      </c>
      <c r="Q228" s="33" t="n">
        <f>1063</f>
        <v>1063.0</v>
      </c>
      <c r="R228" s="34" t="s">
        <v>51</v>
      </c>
      <c r="S228" s="35" t="n">
        <f>1045.59</f>
        <v>1045.59</v>
      </c>
      <c r="T228" s="32" t="n">
        <f>609731</f>
        <v>609731.0</v>
      </c>
      <c r="U228" s="32" t="n">
        <f>144772</f>
        <v>144772.0</v>
      </c>
      <c r="V228" s="32" t="n">
        <f>637072491</f>
        <v>6.37072491E8</v>
      </c>
      <c r="W228" s="32" t="n">
        <f>149999716</f>
        <v>1.49999716E8</v>
      </c>
      <c r="X228" s="36" t="n">
        <f>22</f>
        <v>22.0</v>
      </c>
    </row>
    <row r="229">
      <c r="A229" s="27" t="s">
        <v>42</v>
      </c>
      <c r="B229" s="27" t="s">
        <v>734</v>
      </c>
      <c r="C229" s="27" t="s">
        <v>735</v>
      </c>
      <c r="D229" s="27" t="s">
        <v>736</v>
      </c>
      <c r="E229" s="28" t="s">
        <v>46</v>
      </c>
      <c r="F229" s="29" t="s">
        <v>46</v>
      </c>
      <c r="G229" s="30" t="s">
        <v>46</v>
      </c>
      <c r="H229" s="31"/>
      <c r="I229" s="31" t="s">
        <v>47</v>
      </c>
      <c r="J229" s="32" t="n">
        <v>1.0</v>
      </c>
      <c r="K229" s="33" t="n">
        <f>968</f>
        <v>968.0</v>
      </c>
      <c r="L229" s="34" t="s">
        <v>48</v>
      </c>
      <c r="M229" s="33" t="n">
        <f>997</f>
        <v>997.0</v>
      </c>
      <c r="N229" s="34" t="s">
        <v>224</v>
      </c>
      <c r="O229" s="33" t="n">
        <f>956</f>
        <v>956.0</v>
      </c>
      <c r="P229" s="34" t="s">
        <v>48</v>
      </c>
      <c r="Q229" s="33" t="n">
        <f>970</f>
        <v>970.0</v>
      </c>
      <c r="R229" s="34" t="s">
        <v>51</v>
      </c>
      <c r="S229" s="35" t="n">
        <f>972.55</f>
        <v>972.55</v>
      </c>
      <c r="T229" s="32" t="n">
        <f>1540158</f>
        <v>1540158.0</v>
      </c>
      <c r="U229" s="32" t="n">
        <f>461029</f>
        <v>461029.0</v>
      </c>
      <c r="V229" s="32" t="n">
        <f>1498868988</f>
        <v>1.498868988E9</v>
      </c>
      <c r="W229" s="32" t="n">
        <f>449998606</f>
        <v>4.49998606E8</v>
      </c>
      <c r="X229" s="36" t="n">
        <f>22</f>
        <v>22.0</v>
      </c>
    </row>
    <row r="230">
      <c r="A230" s="27" t="s">
        <v>42</v>
      </c>
      <c r="B230" s="27" t="s">
        <v>737</v>
      </c>
      <c r="C230" s="27" t="s">
        <v>738</v>
      </c>
      <c r="D230" s="27" t="s">
        <v>739</v>
      </c>
      <c r="E230" s="28" t="s">
        <v>46</v>
      </c>
      <c r="F230" s="29" t="s">
        <v>46</v>
      </c>
      <c r="G230" s="30" t="s">
        <v>46</v>
      </c>
      <c r="H230" s="31"/>
      <c r="I230" s="31" t="s">
        <v>47</v>
      </c>
      <c r="J230" s="32" t="n">
        <v>1.0</v>
      </c>
      <c r="K230" s="33" t="n">
        <f>983</f>
        <v>983.0</v>
      </c>
      <c r="L230" s="34" t="s">
        <v>48</v>
      </c>
      <c r="M230" s="33" t="n">
        <f>1021</f>
        <v>1021.0</v>
      </c>
      <c r="N230" s="34" t="s">
        <v>156</v>
      </c>
      <c r="O230" s="33" t="n">
        <f>964</f>
        <v>964.0</v>
      </c>
      <c r="P230" s="34" t="s">
        <v>48</v>
      </c>
      <c r="Q230" s="33" t="n">
        <f>1012</f>
        <v>1012.0</v>
      </c>
      <c r="R230" s="34" t="s">
        <v>51</v>
      </c>
      <c r="S230" s="35" t="n">
        <f>994.27</f>
        <v>994.27</v>
      </c>
      <c r="T230" s="32" t="n">
        <f>181703</f>
        <v>181703.0</v>
      </c>
      <c r="U230" s="32" t="str">
        <f>"－"</f>
        <v>－</v>
      </c>
      <c r="V230" s="32" t="n">
        <f>180081781</f>
        <v>1.80081781E8</v>
      </c>
      <c r="W230" s="32" t="str">
        <f>"－"</f>
        <v>－</v>
      </c>
      <c r="X230" s="36" t="n">
        <f>22</f>
        <v>22.0</v>
      </c>
    </row>
    <row r="231">
      <c r="A231" s="27" t="s">
        <v>42</v>
      </c>
      <c r="B231" s="27" t="s">
        <v>740</v>
      </c>
      <c r="C231" s="27" t="s">
        <v>741</v>
      </c>
      <c r="D231" s="27" t="s">
        <v>742</v>
      </c>
      <c r="E231" s="28" t="s">
        <v>46</v>
      </c>
      <c r="F231" s="29" t="s">
        <v>46</v>
      </c>
      <c r="G231" s="30" t="s">
        <v>46</v>
      </c>
      <c r="H231" s="31"/>
      <c r="I231" s="31" t="s">
        <v>47</v>
      </c>
      <c r="J231" s="32" t="n">
        <v>1.0</v>
      </c>
      <c r="K231" s="33" t="n">
        <f>1618</f>
        <v>1618.0</v>
      </c>
      <c r="L231" s="34" t="s">
        <v>48</v>
      </c>
      <c r="M231" s="33" t="n">
        <f>1675</f>
        <v>1675.0</v>
      </c>
      <c r="N231" s="34" t="s">
        <v>75</v>
      </c>
      <c r="O231" s="33" t="n">
        <f>1580</f>
        <v>1580.0</v>
      </c>
      <c r="P231" s="34" t="s">
        <v>48</v>
      </c>
      <c r="Q231" s="33" t="n">
        <f>1675</f>
        <v>1675.0</v>
      </c>
      <c r="R231" s="34" t="s">
        <v>51</v>
      </c>
      <c r="S231" s="35" t="n">
        <f>1624.77</f>
        <v>1624.77</v>
      </c>
      <c r="T231" s="32" t="n">
        <f>1281088</f>
        <v>1281088.0</v>
      </c>
      <c r="U231" s="32" t="n">
        <f>690528</f>
        <v>690528.0</v>
      </c>
      <c r="V231" s="32" t="n">
        <f>2072431672</f>
        <v>2.072431672E9</v>
      </c>
      <c r="W231" s="32" t="n">
        <f>1110368158</f>
        <v>1.110368158E9</v>
      </c>
      <c r="X231" s="36" t="n">
        <f>22</f>
        <v>22.0</v>
      </c>
    </row>
    <row r="232">
      <c r="A232" s="27" t="s">
        <v>42</v>
      </c>
      <c r="B232" s="27" t="s">
        <v>743</v>
      </c>
      <c r="C232" s="27" t="s">
        <v>744</v>
      </c>
      <c r="D232" s="27" t="s">
        <v>745</v>
      </c>
      <c r="E232" s="28" t="s">
        <v>46</v>
      </c>
      <c r="F232" s="29" t="s">
        <v>46</v>
      </c>
      <c r="G232" s="30" t="s">
        <v>46</v>
      </c>
      <c r="H232" s="31"/>
      <c r="I232" s="31" t="s">
        <v>47</v>
      </c>
      <c r="J232" s="32" t="n">
        <v>10.0</v>
      </c>
      <c r="K232" s="33" t="n">
        <f>568.7</f>
        <v>568.7</v>
      </c>
      <c r="L232" s="34" t="s">
        <v>48</v>
      </c>
      <c r="M232" s="33" t="n">
        <f>568.9</f>
        <v>568.9</v>
      </c>
      <c r="N232" s="34" t="s">
        <v>48</v>
      </c>
      <c r="O232" s="33" t="n">
        <f>329</f>
        <v>329.0</v>
      </c>
      <c r="P232" s="34" t="s">
        <v>75</v>
      </c>
      <c r="Q232" s="33" t="n">
        <f>403</f>
        <v>403.0</v>
      </c>
      <c r="R232" s="34" t="s">
        <v>51</v>
      </c>
      <c r="S232" s="35" t="n">
        <f>455.82</f>
        <v>455.82</v>
      </c>
      <c r="T232" s="32" t="n">
        <f>64156790</f>
        <v>6.415679E7</v>
      </c>
      <c r="U232" s="32" t="n">
        <f>2821370</f>
        <v>2821370.0</v>
      </c>
      <c r="V232" s="32" t="n">
        <f>28503489591</f>
        <v>2.8503489591E10</v>
      </c>
      <c r="W232" s="32" t="n">
        <f>1084753404</f>
        <v>1.084753404E9</v>
      </c>
      <c r="X232" s="36" t="n">
        <f>22</f>
        <v>22.0</v>
      </c>
    </row>
    <row r="233">
      <c r="A233" s="27" t="s">
        <v>42</v>
      </c>
      <c r="B233" s="27" t="s">
        <v>746</v>
      </c>
      <c r="C233" s="27" t="s">
        <v>747</v>
      </c>
      <c r="D233" s="27" t="s">
        <v>748</v>
      </c>
      <c r="E233" s="28" t="s">
        <v>46</v>
      </c>
      <c r="F233" s="29" t="s">
        <v>46</v>
      </c>
      <c r="G233" s="30" t="s">
        <v>46</v>
      </c>
      <c r="H233" s="31"/>
      <c r="I233" s="31" t="s">
        <v>47</v>
      </c>
      <c r="J233" s="32" t="n">
        <v>10.0</v>
      </c>
      <c r="K233" s="33" t="n">
        <f>1589.5</f>
        <v>1589.5</v>
      </c>
      <c r="L233" s="34" t="s">
        <v>48</v>
      </c>
      <c r="M233" s="33" t="n">
        <f>1602.5</f>
        <v>1602.5</v>
      </c>
      <c r="N233" s="34" t="s">
        <v>48</v>
      </c>
      <c r="O233" s="33" t="n">
        <f>929.1</f>
        <v>929.1</v>
      </c>
      <c r="P233" s="34" t="s">
        <v>75</v>
      </c>
      <c r="Q233" s="33" t="n">
        <f>1122</f>
        <v>1122.0</v>
      </c>
      <c r="R233" s="34" t="s">
        <v>51</v>
      </c>
      <c r="S233" s="35" t="n">
        <f>1286.9</f>
        <v>1286.9</v>
      </c>
      <c r="T233" s="32" t="n">
        <f>14568300</f>
        <v>1.45683E7</v>
      </c>
      <c r="U233" s="32" t="n">
        <f>671770</f>
        <v>671770.0</v>
      </c>
      <c r="V233" s="32" t="n">
        <f>18214549935</f>
        <v>1.8214549935E10</v>
      </c>
      <c r="W233" s="32" t="n">
        <f>923734427</f>
        <v>9.23734427E8</v>
      </c>
      <c r="X233" s="36" t="n">
        <f>22</f>
        <v>22.0</v>
      </c>
    </row>
    <row r="234">
      <c r="A234" s="27" t="s">
        <v>42</v>
      </c>
      <c r="B234" s="27" t="s">
        <v>749</v>
      </c>
      <c r="C234" s="27" t="s">
        <v>750</v>
      </c>
      <c r="D234" s="27" t="s">
        <v>751</v>
      </c>
      <c r="E234" s="28" t="s">
        <v>46</v>
      </c>
      <c r="F234" s="29" t="s">
        <v>46</v>
      </c>
      <c r="G234" s="30" t="s">
        <v>46</v>
      </c>
      <c r="H234" s="31"/>
      <c r="I234" s="31" t="s">
        <v>47</v>
      </c>
      <c r="J234" s="32" t="n">
        <v>1.0</v>
      </c>
      <c r="K234" s="33" t="n">
        <f>3727</f>
        <v>3727.0</v>
      </c>
      <c r="L234" s="34" t="s">
        <v>48</v>
      </c>
      <c r="M234" s="33" t="n">
        <f>3755</f>
        <v>3755.0</v>
      </c>
      <c r="N234" s="34" t="s">
        <v>49</v>
      </c>
      <c r="O234" s="33" t="n">
        <f>3630</f>
        <v>3630.0</v>
      </c>
      <c r="P234" s="34" t="s">
        <v>51</v>
      </c>
      <c r="Q234" s="33" t="n">
        <f>3643</f>
        <v>3643.0</v>
      </c>
      <c r="R234" s="34" t="s">
        <v>51</v>
      </c>
      <c r="S234" s="35" t="n">
        <f>3690.73</f>
        <v>3690.73</v>
      </c>
      <c r="T234" s="32" t="n">
        <f>48441</f>
        <v>48441.0</v>
      </c>
      <c r="U234" s="32" t="n">
        <f>20</f>
        <v>20.0</v>
      </c>
      <c r="V234" s="32" t="n">
        <f>178816249</f>
        <v>1.78816249E8</v>
      </c>
      <c r="W234" s="32" t="n">
        <f>73232</f>
        <v>73232.0</v>
      </c>
      <c r="X234" s="36" t="n">
        <f>22</f>
        <v>22.0</v>
      </c>
    </row>
    <row r="235">
      <c r="A235" s="27" t="s">
        <v>42</v>
      </c>
      <c r="B235" s="27" t="s">
        <v>752</v>
      </c>
      <c r="C235" s="27" t="s">
        <v>753</v>
      </c>
      <c r="D235" s="27" t="s">
        <v>754</v>
      </c>
      <c r="E235" s="28" t="s">
        <v>46</v>
      </c>
      <c r="F235" s="29" t="s">
        <v>46</v>
      </c>
      <c r="G235" s="30" t="s">
        <v>46</v>
      </c>
      <c r="H235" s="31"/>
      <c r="I235" s="31" t="s">
        <v>47</v>
      </c>
      <c r="J235" s="32" t="n">
        <v>1.0</v>
      </c>
      <c r="K235" s="33" t="n">
        <f>1509</f>
        <v>1509.0</v>
      </c>
      <c r="L235" s="34" t="s">
        <v>48</v>
      </c>
      <c r="M235" s="33" t="n">
        <f>1561</f>
        <v>1561.0</v>
      </c>
      <c r="N235" s="34" t="s">
        <v>75</v>
      </c>
      <c r="O235" s="33" t="n">
        <f>1485</f>
        <v>1485.0</v>
      </c>
      <c r="P235" s="34" t="s">
        <v>207</v>
      </c>
      <c r="Q235" s="33" t="n">
        <f>1496</f>
        <v>1496.0</v>
      </c>
      <c r="R235" s="34" t="s">
        <v>51</v>
      </c>
      <c r="S235" s="35" t="n">
        <f>1512.64</f>
        <v>1512.64</v>
      </c>
      <c r="T235" s="32" t="n">
        <f>1050932</f>
        <v>1050932.0</v>
      </c>
      <c r="U235" s="32" t="n">
        <f>60000</f>
        <v>60000.0</v>
      </c>
      <c r="V235" s="32" t="n">
        <f>1595053196</f>
        <v>1.595053196E9</v>
      </c>
      <c r="W235" s="32" t="n">
        <f>90217200</f>
        <v>9.02172E7</v>
      </c>
      <c r="X235" s="36" t="n">
        <f>22</f>
        <v>22.0</v>
      </c>
    </row>
    <row r="236">
      <c r="A236" s="27" t="s">
        <v>42</v>
      </c>
      <c r="B236" s="27" t="s">
        <v>755</v>
      </c>
      <c r="C236" s="27" t="s">
        <v>756</v>
      </c>
      <c r="D236" s="27" t="s">
        <v>757</v>
      </c>
      <c r="E236" s="28" t="s">
        <v>758</v>
      </c>
      <c r="F236" s="29" t="s">
        <v>759</v>
      </c>
      <c r="G236" s="30" t="s">
        <v>46</v>
      </c>
      <c r="H236" s="31"/>
      <c r="I236" s="31" t="s">
        <v>47</v>
      </c>
      <c r="J236" s="32" t="n">
        <v>1.0</v>
      </c>
      <c r="K236" s="33" t="n">
        <f>118700</f>
        <v>118700.0</v>
      </c>
      <c r="L236" s="34" t="s">
        <v>48</v>
      </c>
      <c r="M236" s="33" t="n">
        <f>118700</f>
        <v>118700.0</v>
      </c>
      <c r="N236" s="34" t="s">
        <v>48</v>
      </c>
      <c r="O236" s="33" t="n">
        <f>117650</f>
        <v>117650.0</v>
      </c>
      <c r="P236" s="34" t="s">
        <v>48</v>
      </c>
      <c r="Q236" s="33" t="n">
        <f>118100</f>
        <v>118100.0</v>
      </c>
      <c r="R236" s="34" t="s">
        <v>69</v>
      </c>
      <c r="S236" s="35" t="n">
        <f>117975</f>
        <v>117975.0</v>
      </c>
      <c r="T236" s="32" t="n">
        <f>2394</f>
        <v>2394.0</v>
      </c>
      <c r="U236" s="32" t="n">
        <f>11</f>
        <v>11.0</v>
      </c>
      <c r="V236" s="32" t="n">
        <f>283281060</f>
        <v>2.8328106E8</v>
      </c>
      <c r="W236" s="32" t="n">
        <f>1296910</f>
        <v>1296910.0</v>
      </c>
      <c r="X236" s="36" t="n">
        <f>2</f>
        <v>2.0</v>
      </c>
    </row>
    <row r="237">
      <c r="A237" s="27" t="s">
        <v>42</v>
      </c>
      <c r="B237" s="27" t="s">
        <v>755</v>
      </c>
      <c r="C237" s="27" t="s">
        <v>756</v>
      </c>
      <c r="D237" s="27" t="s">
        <v>757</v>
      </c>
      <c r="E237" s="28" t="s">
        <v>758</v>
      </c>
      <c r="F237" s="29" t="s">
        <v>759</v>
      </c>
      <c r="G237" s="30" t="s">
        <v>46</v>
      </c>
      <c r="H237" s="31"/>
      <c r="I237" s="31" t="s">
        <v>47</v>
      </c>
      <c r="J237" s="32" t="n">
        <v>1.0</v>
      </c>
      <c r="K237" s="33" t="n">
        <f>2387</f>
        <v>2387.0</v>
      </c>
      <c r="L237" s="34" t="s">
        <v>214</v>
      </c>
      <c r="M237" s="33" t="n">
        <f>2419</f>
        <v>2419.0</v>
      </c>
      <c r="N237" s="34" t="s">
        <v>249</v>
      </c>
      <c r="O237" s="33" t="n">
        <f>2250</f>
        <v>2250.0</v>
      </c>
      <c r="P237" s="34" t="s">
        <v>197</v>
      </c>
      <c r="Q237" s="33" t="n">
        <f>2340</f>
        <v>2340.0</v>
      </c>
      <c r="R237" s="34" t="s">
        <v>51</v>
      </c>
      <c r="S237" s="35" t="n">
        <f>2349.45</f>
        <v>2349.45</v>
      </c>
      <c r="T237" s="32" t="n">
        <f>232889</f>
        <v>232889.0</v>
      </c>
      <c r="U237" s="32" t="n">
        <f>4950</f>
        <v>4950.0</v>
      </c>
      <c r="V237" s="32" t="n">
        <f>548064279</f>
        <v>5.48064279E8</v>
      </c>
      <c r="W237" s="32" t="n">
        <f>11833590</f>
        <v>1.183359E7</v>
      </c>
      <c r="X237" s="36" t="n">
        <f>20</f>
        <v>20.0</v>
      </c>
    </row>
    <row r="238">
      <c r="A238" s="27" t="s">
        <v>42</v>
      </c>
      <c r="B238" s="27" t="s">
        <v>760</v>
      </c>
      <c r="C238" s="27" t="s">
        <v>761</v>
      </c>
      <c r="D238" s="27" t="s">
        <v>762</v>
      </c>
      <c r="E238" s="28" t="s">
        <v>46</v>
      </c>
      <c r="F238" s="29" t="s">
        <v>46</v>
      </c>
      <c r="G238" s="30" t="s">
        <v>46</v>
      </c>
      <c r="H238" s="31"/>
      <c r="I238" s="31" t="s">
        <v>47</v>
      </c>
      <c r="J238" s="32" t="n">
        <v>1.0</v>
      </c>
      <c r="K238" s="33" t="n">
        <f>5344</f>
        <v>5344.0</v>
      </c>
      <c r="L238" s="34" t="s">
        <v>48</v>
      </c>
      <c r="M238" s="33" t="n">
        <f>5482</f>
        <v>5482.0</v>
      </c>
      <c r="N238" s="34" t="s">
        <v>197</v>
      </c>
      <c r="O238" s="33" t="n">
        <f>5291</f>
        <v>5291.0</v>
      </c>
      <c r="P238" s="34" t="s">
        <v>249</v>
      </c>
      <c r="Q238" s="33" t="n">
        <f>5374</f>
        <v>5374.0</v>
      </c>
      <c r="R238" s="34" t="s">
        <v>51</v>
      </c>
      <c r="S238" s="35" t="n">
        <f>5368.05</f>
        <v>5368.05</v>
      </c>
      <c r="T238" s="32" t="n">
        <f>90860</f>
        <v>90860.0</v>
      </c>
      <c r="U238" s="32" t="n">
        <f>120</f>
        <v>120.0</v>
      </c>
      <c r="V238" s="32" t="n">
        <f>486851131</f>
        <v>4.86851131E8</v>
      </c>
      <c r="W238" s="32" t="n">
        <f>648182</f>
        <v>648182.0</v>
      </c>
      <c r="X238" s="36" t="n">
        <f>22</f>
        <v>22.0</v>
      </c>
    </row>
    <row r="239">
      <c r="A239" s="27" t="s">
        <v>42</v>
      </c>
      <c r="B239" s="27" t="s">
        <v>763</v>
      </c>
      <c r="C239" s="27" t="s">
        <v>764</v>
      </c>
      <c r="D239" s="27" t="s">
        <v>765</v>
      </c>
      <c r="E239" s="28" t="s">
        <v>46</v>
      </c>
      <c r="F239" s="29" t="s">
        <v>46</v>
      </c>
      <c r="G239" s="30" t="s">
        <v>46</v>
      </c>
      <c r="H239" s="31"/>
      <c r="I239" s="31" t="s">
        <v>47</v>
      </c>
      <c r="J239" s="32" t="n">
        <v>1.0</v>
      </c>
      <c r="K239" s="33" t="n">
        <f>25755</f>
        <v>25755.0</v>
      </c>
      <c r="L239" s="34" t="s">
        <v>48</v>
      </c>
      <c r="M239" s="33" t="n">
        <f>26360</f>
        <v>26360.0</v>
      </c>
      <c r="N239" s="34" t="s">
        <v>249</v>
      </c>
      <c r="O239" s="33" t="n">
        <f>24480</f>
        <v>24480.0</v>
      </c>
      <c r="P239" s="34" t="s">
        <v>197</v>
      </c>
      <c r="Q239" s="33" t="n">
        <f>25455</f>
        <v>25455.0</v>
      </c>
      <c r="R239" s="34" t="s">
        <v>51</v>
      </c>
      <c r="S239" s="35" t="n">
        <f>25621.36</f>
        <v>25621.36</v>
      </c>
      <c r="T239" s="32" t="n">
        <f>30775</f>
        <v>30775.0</v>
      </c>
      <c r="U239" s="32" t="n">
        <f>982</f>
        <v>982.0</v>
      </c>
      <c r="V239" s="32" t="n">
        <f>786816318</f>
        <v>7.86816318E8</v>
      </c>
      <c r="W239" s="32" t="n">
        <f>25139578</f>
        <v>2.5139578E7</v>
      </c>
      <c r="X239" s="36" t="n">
        <f>22</f>
        <v>22.0</v>
      </c>
    </row>
    <row r="240">
      <c r="A240" s="27" t="s">
        <v>42</v>
      </c>
      <c r="B240" s="27" t="s">
        <v>766</v>
      </c>
      <c r="C240" s="27" t="s">
        <v>767</v>
      </c>
      <c r="D240" s="27" t="s">
        <v>768</v>
      </c>
      <c r="E240" s="28" t="s">
        <v>46</v>
      </c>
      <c r="F240" s="29" t="s">
        <v>46</v>
      </c>
      <c r="G240" s="30" t="s">
        <v>46</v>
      </c>
      <c r="H240" s="31"/>
      <c r="I240" s="31" t="s">
        <v>47</v>
      </c>
      <c r="J240" s="32" t="n">
        <v>1.0</v>
      </c>
      <c r="K240" s="33" t="n">
        <f>1910</f>
        <v>1910.0</v>
      </c>
      <c r="L240" s="34" t="s">
        <v>48</v>
      </c>
      <c r="M240" s="33" t="n">
        <f>1910</f>
        <v>1910.0</v>
      </c>
      <c r="N240" s="34" t="s">
        <v>48</v>
      </c>
      <c r="O240" s="33" t="n">
        <f>1628</f>
        <v>1628.0</v>
      </c>
      <c r="P240" s="34" t="s">
        <v>197</v>
      </c>
      <c r="Q240" s="33" t="n">
        <f>1734</f>
        <v>1734.0</v>
      </c>
      <c r="R240" s="34" t="s">
        <v>51</v>
      </c>
      <c r="S240" s="35" t="n">
        <f>1770.14</f>
        <v>1770.14</v>
      </c>
      <c r="T240" s="32" t="n">
        <f>762143</f>
        <v>762143.0</v>
      </c>
      <c r="U240" s="32" t="n">
        <f>134</f>
        <v>134.0</v>
      </c>
      <c r="V240" s="32" t="n">
        <f>1330465239</f>
        <v>1.330465239E9</v>
      </c>
      <c r="W240" s="32" t="n">
        <f>246275</f>
        <v>246275.0</v>
      </c>
      <c r="X240" s="36" t="n">
        <f>22</f>
        <v>22.0</v>
      </c>
    </row>
    <row r="241">
      <c r="A241" s="27" t="s">
        <v>42</v>
      </c>
      <c r="B241" s="27" t="s">
        <v>769</v>
      </c>
      <c r="C241" s="27" t="s">
        <v>770</v>
      </c>
      <c r="D241" s="27" t="s">
        <v>771</v>
      </c>
      <c r="E241" s="28" t="s">
        <v>46</v>
      </c>
      <c r="F241" s="29" t="s">
        <v>46</v>
      </c>
      <c r="G241" s="30" t="s">
        <v>46</v>
      </c>
      <c r="H241" s="31"/>
      <c r="I241" s="31" t="s">
        <v>47</v>
      </c>
      <c r="J241" s="32" t="n">
        <v>1.0</v>
      </c>
      <c r="K241" s="33" t="n">
        <f>5411</f>
        <v>5411.0</v>
      </c>
      <c r="L241" s="34" t="s">
        <v>48</v>
      </c>
      <c r="M241" s="33" t="n">
        <f>5594</f>
        <v>5594.0</v>
      </c>
      <c r="N241" s="34" t="s">
        <v>75</v>
      </c>
      <c r="O241" s="33" t="n">
        <f>5350</f>
        <v>5350.0</v>
      </c>
      <c r="P241" s="34" t="s">
        <v>249</v>
      </c>
      <c r="Q241" s="33" t="n">
        <f>5435</f>
        <v>5435.0</v>
      </c>
      <c r="R241" s="34" t="s">
        <v>51</v>
      </c>
      <c r="S241" s="35" t="n">
        <f>5428.82</f>
        <v>5428.82</v>
      </c>
      <c r="T241" s="32" t="n">
        <f>7441</f>
        <v>7441.0</v>
      </c>
      <c r="U241" s="32" t="str">
        <f>"－"</f>
        <v>－</v>
      </c>
      <c r="V241" s="32" t="n">
        <f>40378757</f>
        <v>4.0378757E7</v>
      </c>
      <c r="W241" s="32" t="str">
        <f>"－"</f>
        <v>－</v>
      </c>
      <c r="X241" s="36" t="n">
        <f>22</f>
        <v>22.0</v>
      </c>
    </row>
    <row r="242">
      <c r="A242" s="27" t="s">
        <v>42</v>
      </c>
      <c r="B242" s="27" t="s">
        <v>772</v>
      </c>
      <c r="C242" s="27" t="s">
        <v>773</v>
      </c>
      <c r="D242" s="27" t="s">
        <v>774</v>
      </c>
      <c r="E242" s="28" t="s">
        <v>46</v>
      </c>
      <c r="F242" s="29" t="s">
        <v>46</v>
      </c>
      <c r="G242" s="30" t="s">
        <v>46</v>
      </c>
      <c r="H242" s="31"/>
      <c r="I242" s="31" t="s">
        <v>47</v>
      </c>
      <c r="J242" s="32" t="n">
        <v>10.0</v>
      </c>
      <c r="K242" s="33" t="n">
        <f>943</f>
        <v>943.0</v>
      </c>
      <c r="L242" s="34" t="s">
        <v>48</v>
      </c>
      <c r="M242" s="33" t="n">
        <f>965.9</f>
        <v>965.9</v>
      </c>
      <c r="N242" s="34" t="s">
        <v>50</v>
      </c>
      <c r="O242" s="33" t="n">
        <f>930.8</f>
        <v>930.8</v>
      </c>
      <c r="P242" s="34" t="s">
        <v>51</v>
      </c>
      <c r="Q242" s="33" t="n">
        <f>935.7</f>
        <v>935.7</v>
      </c>
      <c r="R242" s="34" t="s">
        <v>51</v>
      </c>
      <c r="S242" s="35" t="n">
        <f>947.71</f>
        <v>947.71</v>
      </c>
      <c r="T242" s="32" t="n">
        <f>610500</f>
        <v>610500.0</v>
      </c>
      <c r="U242" s="32" t="n">
        <f>126900</f>
        <v>126900.0</v>
      </c>
      <c r="V242" s="32" t="n">
        <f>579278014</f>
        <v>5.79278014E8</v>
      </c>
      <c r="W242" s="32" t="n">
        <f>121186270</f>
        <v>1.2118627E8</v>
      </c>
      <c r="X242" s="36" t="n">
        <f>22</f>
        <v>22.0</v>
      </c>
    </row>
    <row r="243">
      <c r="A243" s="27" t="s">
        <v>42</v>
      </c>
      <c r="B243" s="27" t="s">
        <v>775</v>
      </c>
      <c r="C243" s="27" t="s">
        <v>776</v>
      </c>
      <c r="D243" s="27" t="s">
        <v>777</v>
      </c>
      <c r="E243" s="28" t="s">
        <v>46</v>
      </c>
      <c r="F243" s="29" t="s">
        <v>46</v>
      </c>
      <c r="G243" s="30" t="s">
        <v>46</v>
      </c>
      <c r="H243" s="31"/>
      <c r="I243" s="31" t="s">
        <v>47</v>
      </c>
      <c r="J243" s="32" t="n">
        <v>10.0</v>
      </c>
      <c r="K243" s="33" t="n">
        <f>673</f>
        <v>673.0</v>
      </c>
      <c r="L243" s="34" t="s">
        <v>48</v>
      </c>
      <c r="M243" s="33" t="n">
        <f>684.8</f>
        <v>684.8</v>
      </c>
      <c r="N243" s="34" t="s">
        <v>214</v>
      </c>
      <c r="O243" s="33" t="n">
        <f>663.5</f>
        <v>663.5</v>
      </c>
      <c r="P243" s="34" t="s">
        <v>197</v>
      </c>
      <c r="Q243" s="33" t="n">
        <f>675.6</f>
        <v>675.6</v>
      </c>
      <c r="R243" s="34" t="s">
        <v>51</v>
      </c>
      <c r="S243" s="35" t="n">
        <f>674.84</f>
        <v>674.84</v>
      </c>
      <c r="T243" s="32" t="n">
        <f>1714240</f>
        <v>1714240.0</v>
      </c>
      <c r="U243" s="32" t="n">
        <f>1641670</f>
        <v>1641670.0</v>
      </c>
      <c r="V243" s="32" t="n">
        <f>1156350641</f>
        <v>1.156350641E9</v>
      </c>
      <c r="W243" s="32" t="n">
        <f>1107223252</f>
        <v>1.107223252E9</v>
      </c>
      <c r="X243" s="36" t="n">
        <f>22</f>
        <v>22.0</v>
      </c>
    </row>
    <row r="244">
      <c r="A244" s="27" t="s">
        <v>42</v>
      </c>
      <c r="B244" s="27" t="s">
        <v>778</v>
      </c>
      <c r="C244" s="27" t="s">
        <v>779</v>
      </c>
      <c r="D244" s="27" t="s">
        <v>780</v>
      </c>
      <c r="E244" s="28" t="s">
        <v>46</v>
      </c>
      <c r="F244" s="29" t="s">
        <v>46</v>
      </c>
      <c r="G244" s="30" t="s">
        <v>46</v>
      </c>
      <c r="H244" s="31"/>
      <c r="I244" s="31" t="s">
        <v>47</v>
      </c>
      <c r="J244" s="32" t="n">
        <v>1.0</v>
      </c>
      <c r="K244" s="33" t="n">
        <f>5521</f>
        <v>5521.0</v>
      </c>
      <c r="L244" s="34" t="s">
        <v>48</v>
      </c>
      <c r="M244" s="33" t="n">
        <f>5521</f>
        <v>5521.0</v>
      </c>
      <c r="N244" s="34" t="s">
        <v>48</v>
      </c>
      <c r="O244" s="33" t="n">
        <f>4041</f>
        <v>4041.0</v>
      </c>
      <c r="P244" s="34" t="s">
        <v>197</v>
      </c>
      <c r="Q244" s="33" t="n">
        <f>4445</f>
        <v>4445.0</v>
      </c>
      <c r="R244" s="34" t="s">
        <v>51</v>
      </c>
      <c r="S244" s="35" t="n">
        <f>4738.86</f>
        <v>4738.86</v>
      </c>
      <c r="T244" s="32" t="n">
        <f>12153312</f>
        <v>1.2153312E7</v>
      </c>
      <c r="U244" s="32" t="n">
        <f>497243</f>
        <v>497243.0</v>
      </c>
      <c r="V244" s="32" t="n">
        <f>57207110743</f>
        <v>5.7207110743E10</v>
      </c>
      <c r="W244" s="32" t="n">
        <f>2289233827</f>
        <v>2.289233827E9</v>
      </c>
      <c r="X244" s="36" t="n">
        <f>22</f>
        <v>22.0</v>
      </c>
    </row>
    <row r="245">
      <c r="A245" s="27" t="s">
        <v>42</v>
      </c>
      <c r="B245" s="27" t="s">
        <v>781</v>
      </c>
      <c r="C245" s="27" t="s">
        <v>782</v>
      </c>
      <c r="D245" s="27" t="s">
        <v>783</v>
      </c>
      <c r="E245" s="28" t="s">
        <v>46</v>
      </c>
      <c r="F245" s="29" t="s">
        <v>46</v>
      </c>
      <c r="G245" s="30" t="s">
        <v>46</v>
      </c>
      <c r="H245" s="31"/>
      <c r="I245" s="31" t="s">
        <v>47</v>
      </c>
      <c r="J245" s="32" t="n">
        <v>1.0</v>
      </c>
      <c r="K245" s="33" t="n">
        <f>3658</f>
        <v>3658.0</v>
      </c>
      <c r="L245" s="34" t="s">
        <v>48</v>
      </c>
      <c r="M245" s="33" t="n">
        <f>3684</f>
        <v>3684.0</v>
      </c>
      <c r="N245" s="34" t="s">
        <v>249</v>
      </c>
      <c r="O245" s="33" t="n">
        <f>3332</f>
        <v>3332.0</v>
      </c>
      <c r="P245" s="34" t="s">
        <v>197</v>
      </c>
      <c r="Q245" s="33" t="n">
        <f>3418</f>
        <v>3418.0</v>
      </c>
      <c r="R245" s="34" t="s">
        <v>51</v>
      </c>
      <c r="S245" s="35" t="n">
        <f>3558.23</f>
        <v>3558.23</v>
      </c>
      <c r="T245" s="32" t="n">
        <f>3041149</f>
        <v>3041149.0</v>
      </c>
      <c r="U245" s="32" t="n">
        <f>98018</f>
        <v>98018.0</v>
      </c>
      <c r="V245" s="32" t="n">
        <f>10818948411</f>
        <v>1.0818948411E10</v>
      </c>
      <c r="W245" s="32" t="n">
        <f>348469932</f>
        <v>3.48469932E8</v>
      </c>
      <c r="X245" s="36" t="n">
        <f>22</f>
        <v>22.0</v>
      </c>
    </row>
    <row r="246">
      <c r="A246" s="27" t="s">
        <v>42</v>
      </c>
      <c r="B246" s="27" t="s">
        <v>784</v>
      </c>
      <c r="C246" s="27" t="s">
        <v>785</v>
      </c>
      <c r="D246" s="27" t="s">
        <v>786</v>
      </c>
      <c r="E246" s="28" t="s">
        <v>46</v>
      </c>
      <c r="F246" s="29" t="s">
        <v>46</v>
      </c>
      <c r="G246" s="30" t="s">
        <v>46</v>
      </c>
      <c r="H246" s="31"/>
      <c r="I246" s="31" t="s">
        <v>47</v>
      </c>
      <c r="J246" s="32" t="n">
        <v>10.0</v>
      </c>
      <c r="K246" s="33" t="n">
        <f>719.8</f>
        <v>719.8</v>
      </c>
      <c r="L246" s="34" t="s">
        <v>48</v>
      </c>
      <c r="M246" s="33" t="n">
        <f>723</f>
        <v>723.0</v>
      </c>
      <c r="N246" s="34" t="s">
        <v>661</v>
      </c>
      <c r="O246" s="33" t="n">
        <f>702.6</f>
        <v>702.6</v>
      </c>
      <c r="P246" s="34" t="s">
        <v>71</v>
      </c>
      <c r="Q246" s="33" t="n">
        <f>705.9</f>
        <v>705.9</v>
      </c>
      <c r="R246" s="34" t="s">
        <v>197</v>
      </c>
      <c r="S246" s="35" t="n">
        <f>709.16</f>
        <v>709.16</v>
      </c>
      <c r="T246" s="32" t="n">
        <f>113610</f>
        <v>113610.0</v>
      </c>
      <c r="U246" s="32" t="str">
        <f>"－"</f>
        <v>－</v>
      </c>
      <c r="V246" s="32" t="n">
        <f>80427598</f>
        <v>8.0427598E7</v>
      </c>
      <c r="W246" s="32" t="str">
        <f>"－"</f>
        <v>－</v>
      </c>
      <c r="X246" s="36" t="n">
        <f>17</f>
        <v>17.0</v>
      </c>
    </row>
    <row r="247">
      <c r="A247" s="27" t="s">
        <v>42</v>
      </c>
      <c r="B247" s="27" t="s">
        <v>787</v>
      </c>
      <c r="C247" s="27" t="s">
        <v>788</v>
      </c>
      <c r="D247" s="27" t="s">
        <v>789</v>
      </c>
      <c r="E247" s="28" t="s">
        <v>46</v>
      </c>
      <c r="F247" s="29" t="s">
        <v>46</v>
      </c>
      <c r="G247" s="30" t="s">
        <v>46</v>
      </c>
      <c r="H247" s="31"/>
      <c r="I247" s="31" t="s">
        <v>47</v>
      </c>
      <c r="J247" s="32" t="n">
        <v>1.0</v>
      </c>
      <c r="K247" s="33" t="n">
        <f>2298</f>
        <v>2298.0</v>
      </c>
      <c r="L247" s="34" t="s">
        <v>48</v>
      </c>
      <c r="M247" s="33" t="n">
        <f>2318</f>
        <v>2318.0</v>
      </c>
      <c r="N247" s="34" t="s">
        <v>160</v>
      </c>
      <c r="O247" s="33" t="n">
        <f>2250</f>
        <v>2250.0</v>
      </c>
      <c r="P247" s="34" t="s">
        <v>51</v>
      </c>
      <c r="Q247" s="33" t="n">
        <f>2303</f>
        <v>2303.0</v>
      </c>
      <c r="R247" s="34" t="s">
        <v>51</v>
      </c>
      <c r="S247" s="35" t="n">
        <f>2293.18</f>
        <v>2293.18</v>
      </c>
      <c r="T247" s="32" t="n">
        <f>1552641</f>
        <v>1552641.0</v>
      </c>
      <c r="U247" s="32" t="n">
        <f>608050</f>
        <v>608050.0</v>
      </c>
      <c r="V247" s="32" t="n">
        <f>3555304038</f>
        <v>3.555304038E9</v>
      </c>
      <c r="W247" s="32" t="n">
        <f>1394355035</f>
        <v>1.394355035E9</v>
      </c>
      <c r="X247" s="36" t="n">
        <f>22</f>
        <v>22.0</v>
      </c>
    </row>
    <row r="248">
      <c r="A248" s="27" t="s">
        <v>42</v>
      </c>
      <c r="B248" s="27" t="s">
        <v>790</v>
      </c>
      <c r="C248" s="27" t="s">
        <v>791</v>
      </c>
      <c r="D248" s="27" t="s">
        <v>792</v>
      </c>
      <c r="E248" s="28" t="s">
        <v>46</v>
      </c>
      <c r="F248" s="29" t="s">
        <v>46</v>
      </c>
      <c r="G248" s="30" t="s">
        <v>46</v>
      </c>
      <c r="H248" s="31"/>
      <c r="I248" s="31" t="s">
        <v>47</v>
      </c>
      <c r="J248" s="32" t="n">
        <v>1.0</v>
      </c>
      <c r="K248" s="33" t="n">
        <f>2708</f>
        <v>2708.0</v>
      </c>
      <c r="L248" s="34" t="s">
        <v>48</v>
      </c>
      <c r="M248" s="33" t="n">
        <f>2734</f>
        <v>2734.0</v>
      </c>
      <c r="N248" s="34" t="s">
        <v>249</v>
      </c>
      <c r="O248" s="33" t="n">
        <f>2643</f>
        <v>2643.0</v>
      </c>
      <c r="P248" s="34" t="s">
        <v>197</v>
      </c>
      <c r="Q248" s="33" t="n">
        <f>2695</f>
        <v>2695.0</v>
      </c>
      <c r="R248" s="34" t="s">
        <v>51</v>
      </c>
      <c r="S248" s="35" t="n">
        <f>2698.18</f>
        <v>2698.18</v>
      </c>
      <c r="T248" s="32" t="n">
        <f>474169</f>
        <v>474169.0</v>
      </c>
      <c r="U248" s="32" t="n">
        <f>322980</f>
        <v>322980.0</v>
      </c>
      <c r="V248" s="32" t="n">
        <f>1269725632</f>
        <v>1.269725632E9</v>
      </c>
      <c r="W248" s="32" t="n">
        <f>861391974</f>
        <v>8.61391974E8</v>
      </c>
      <c r="X248" s="36" t="n">
        <f>22</f>
        <v>22.0</v>
      </c>
    </row>
    <row r="249">
      <c r="A249" s="27" t="s">
        <v>42</v>
      </c>
      <c r="B249" s="27" t="s">
        <v>793</v>
      </c>
      <c r="C249" s="27" t="s">
        <v>794</v>
      </c>
      <c r="D249" s="27" t="s">
        <v>795</v>
      </c>
      <c r="E249" s="28" t="s">
        <v>46</v>
      </c>
      <c r="F249" s="29" t="s">
        <v>46</v>
      </c>
      <c r="G249" s="30" t="s">
        <v>46</v>
      </c>
      <c r="H249" s="31"/>
      <c r="I249" s="31" t="s">
        <v>47</v>
      </c>
      <c r="J249" s="32" t="n">
        <v>1.0</v>
      </c>
      <c r="K249" s="33" t="n">
        <f>9899</f>
        <v>9899.0</v>
      </c>
      <c r="L249" s="34" t="s">
        <v>48</v>
      </c>
      <c r="M249" s="33" t="n">
        <f>10285</f>
        <v>10285.0</v>
      </c>
      <c r="N249" s="34" t="s">
        <v>197</v>
      </c>
      <c r="O249" s="33" t="n">
        <f>9600</f>
        <v>9600.0</v>
      </c>
      <c r="P249" s="34" t="s">
        <v>249</v>
      </c>
      <c r="Q249" s="33" t="n">
        <f>9883</f>
        <v>9883.0</v>
      </c>
      <c r="R249" s="34" t="s">
        <v>51</v>
      </c>
      <c r="S249" s="35" t="n">
        <f>9863.86</f>
        <v>9863.86</v>
      </c>
      <c r="T249" s="32" t="n">
        <f>77596</f>
        <v>77596.0</v>
      </c>
      <c r="U249" s="32" t="n">
        <f>298</f>
        <v>298.0</v>
      </c>
      <c r="V249" s="32" t="n">
        <f>767001168</f>
        <v>7.67001168E8</v>
      </c>
      <c r="W249" s="32" t="n">
        <f>2941411</f>
        <v>2941411.0</v>
      </c>
      <c r="X249" s="36" t="n">
        <f>22</f>
        <v>22.0</v>
      </c>
    </row>
    <row r="250">
      <c r="A250" s="27" t="s">
        <v>42</v>
      </c>
      <c r="B250" s="27" t="s">
        <v>796</v>
      </c>
      <c r="C250" s="27" t="s">
        <v>797</v>
      </c>
      <c r="D250" s="27" t="s">
        <v>798</v>
      </c>
      <c r="E250" s="28" t="s">
        <v>46</v>
      </c>
      <c r="F250" s="29" t="s">
        <v>46</v>
      </c>
      <c r="G250" s="30" t="s">
        <v>46</v>
      </c>
      <c r="H250" s="31"/>
      <c r="I250" s="31" t="s">
        <v>47</v>
      </c>
      <c r="J250" s="32" t="n">
        <v>1.0</v>
      </c>
      <c r="K250" s="33" t="n">
        <f>1626</f>
        <v>1626.0</v>
      </c>
      <c r="L250" s="34" t="s">
        <v>48</v>
      </c>
      <c r="M250" s="33" t="n">
        <f>1642</f>
        <v>1642.0</v>
      </c>
      <c r="N250" s="34" t="s">
        <v>58</v>
      </c>
      <c r="O250" s="33" t="n">
        <f>1409</f>
        <v>1409.0</v>
      </c>
      <c r="P250" s="34" t="s">
        <v>197</v>
      </c>
      <c r="Q250" s="33" t="n">
        <f>1480</f>
        <v>1480.0</v>
      </c>
      <c r="R250" s="34" t="s">
        <v>51</v>
      </c>
      <c r="S250" s="35" t="n">
        <f>1533.18</f>
        <v>1533.18</v>
      </c>
      <c r="T250" s="32" t="n">
        <f>323482</f>
        <v>323482.0</v>
      </c>
      <c r="U250" s="32" t="str">
        <f>"－"</f>
        <v>－</v>
      </c>
      <c r="V250" s="32" t="n">
        <f>495502681</f>
        <v>4.95502681E8</v>
      </c>
      <c r="W250" s="32" t="str">
        <f>"－"</f>
        <v>－</v>
      </c>
      <c r="X250" s="36" t="n">
        <f>22</f>
        <v>22.0</v>
      </c>
    </row>
    <row r="251">
      <c r="A251" s="27" t="s">
        <v>42</v>
      </c>
      <c r="B251" s="27" t="s">
        <v>799</v>
      </c>
      <c r="C251" s="27" t="s">
        <v>800</v>
      </c>
      <c r="D251" s="27" t="s">
        <v>801</v>
      </c>
      <c r="E251" s="28" t="s">
        <v>46</v>
      </c>
      <c r="F251" s="29" t="s">
        <v>46</v>
      </c>
      <c r="G251" s="30" t="s">
        <v>46</v>
      </c>
      <c r="H251" s="31"/>
      <c r="I251" s="31" t="s">
        <v>47</v>
      </c>
      <c r="J251" s="32" t="n">
        <v>10.0</v>
      </c>
      <c r="K251" s="33" t="n">
        <f>377.7</f>
        <v>377.7</v>
      </c>
      <c r="L251" s="34" t="s">
        <v>48</v>
      </c>
      <c r="M251" s="33" t="n">
        <f>387.7</f>
        <v>387.7</v>
      </c>
      <c r="N251" s="34" t="s">
        <v>62</v>
      </c>
      <c r="O251" s="33" t="n">
        <f>354.6</f>
        <v>354.6</v>
      </c>
      <c r="P251" s="34" t="s">
        <v>50</v>
      </c>
      <c r="Q251" s="33" t="n">
        <f>363</f>
        <v>363.0</v>
      </c>
      <c r="R251" s="34" t="s">
        <v>51</v>
      </c>
      <c r="S251" s="35" t="n">
        <f>369.48</f>
        <v>369.48</v>
      </c>
      <c r="T251" s="32" t="n">
        <f>133810</f>
        <v>133810.0</v>
      </c>
      <c r="U251" s="32" t="n">
        <f>140</f>
        <v>140.0</v>
      </c>
      <c r="V251" s="32" t="n">
        <f>48705259</f>
        <v>4.8705259E7</v>
      </c>
      <c r="W251" s="32" t="n">
        <f>51198</f>
        <v>51198.0</v>
      </c>
      <c r="X251" s="36" t="n">
        <f>22</f>
        <v>22.0</v>
      </c>
    </row>
    <row r="252">
      <c r="A252" s="27" t="s">
        <v>42</v>
      </c>
      <c r="B252" s="27" t="s">
        <v>802</v>
      </c>
      <c r="C252" s="27" t="s">
        <v>803</v>
      </c>
      <c r="D252" s="27" t="s">
        <v>804</v>
      </c>
      <c r="E252" s="28" t="s">
        <v>46</v>
      </c>
      <c r="F252" s="29" t="s">
        <v>46</v>
      </c>
      <c r="G252" s="30" t="s">
        <v>46</v>
      </c>
      <c r="H252" s="31"/>
      <c r="I252" s="31" t="s">
        <v>47</v>
      </c>
      <c r="J252" s="32" t="n">
        <v>10.0</v>
      </c>
      <c r="K252" s="33" t="n">
        <f>887.5</f>
        <v>887.5</v>
      </c>
      <c r="L252" s="34" t="s">
        <v>48</v>
      </c>
      <c r="M252" s="33" t="n">
        <f>903.9</f>
        <v>903.9</v>
      </c>
      <c r="N252" s="34" t="s">
        <v>70</v>
      </c>
      <c r="O252" s="33" t="n">
        <f>879.3</f>
        <v>879.3</v>
      </c>
      <c r="P252" s="34" t="s">
        <v>274</v>
      </c>
      <c r="Q252" s="33" t="n">
        <f>900</f>
        <v>900.0</v>
      </c>
      <c r="R252" s="34" t="s">
        <v>51</v>
      </c>
      <c r="S252" s="35" t="n">
        <f>891.25</f>
        <v>891.25</v>
      </c>
      <c r="T252" s="32" t="n">
        <f>1606480</f>
        <v>1606480.0</v>
      </c>
      <c r="U252" s="32" t="n">
        <f>203290</f>
        <v>203290.0</v>
      </c>
      <c r="V252" s="32" t="n">
        <f>1433434607</f>
        <v>1.433434607E9</v>
      </c>
      <c r="W252" s="32" t="n">
        <f>180906283</f>
        <v>1.80906283E8</v>
      </c>
      <c r="X252" s="36" t="n">
        <f>22</f>
        <v>22.0</v>
      </c>
    </row>
    <row r="253">
      <c r="A253" s="27" t="s">
        <v>42</v>
      </c>
      <c r="B253" s="27" t="s">
        <v>805</v>
      </c>
      <c r="C253" s="27" t="s">
        <v>806</v>
      </c>
      <c r="D253" s="27" t="s">
        <v>807</v>
      </c>
      <c r="E253" s="28" t="s">
        <v>46</v>
      </c>
      <c r="F253" s="29" t="s">
        <v>46</v>
      </c>
      <c r="G253" s="30" t="s">
        <v>46</v>
      </c>
      <c r="H253" s="31"/>
      <c r="I253" s="31" t="s">
        <v>47</v>
      </c>
      <c r="J253" s="32" t="n">
        <v>1.0</v>
      </c>
      <c r="K253" s="33" t="n">
        <f>1552</f>
        <v>1552.0</v>
      </c>
      <c r="L253" s="34" t="s">
        <v>48</v>
      </c>
      <c r="M253" s="33" t="n">
        <f>1552</f>
        <v>1552.0</v>
      </c>
      <c r="N253" s="34" t="s">
        <v>48</v>
      </c>
      <c r="O253" s="33" t="n">
        <f>1445</f>
        <v>1445.0</v>
      </c>
      <c r="P253" s="34" t="s">
        <v>207</v>
      </c>
      <c r="Q253" s="33" t="n">
        <f>1472</f>
        <v>1472.0</v>
      </c>
      <c r="R253" s="34" t="s">
        <v>51</v>
      </c>
      <c r="S253" s="35" t="n">
        <f>1465.68</f>
        <v>1465.68</v>
      </c>
      <c r="T253" s="32" t="n">
        <f>44353</f>
        <v>44353.0</v>
      </c>
      <c r="U253" s="32" t="str">
        <f>"－"</f>
        <v>－</v>
      </c>
      <c r="V253" s="32" t="n">
        <f>64904873</f>
        <v>6.4904873E7</v>
      </c>
      <c r="W253" s="32" t="str">
        <f>"－"</f>
        <v>－</v>
      </c>
      <c r="X253" s="36" t="n">
        <f>22</f>
        <v>22.0</v>
      </c>
    </row>
    <row r="254">
      <c r="A254" s="27" t="s">
        <v>42</v>
      </c>
      <c r="B254" s="27" t="s">
        <v>808</v>
      </c>
      <c r="C254" s="27" t="s">
        <v>809</v>
      </c>
      <c r="D254" s="27" t="s">
        <v>810</v>
      </c>
      <c r="E254" s="28" t="s">
        <v>46</v>
      </c>
      <c r="F254" s="29" t="s">
        <v>46</v>
      </c>
      <c r="G254" s="30" t="s">
        <v>46</v>
      </c>
      <c r="H254" s="31"/>
      <c r="I254" s="31" t="s">
        <v>47</v>
      </c>
      <c r="J254" s="32" t="n">
        <v>1.0</v>
      </c>
      <c r="K254" s="33" t="n">
        <f>1326</f>
        <v>1326.0</v>
      </c>
      <c r="L254" s="34" t="s">
        <v>48</v>
      </c>
      <c r="M254" s="33" t="n">
        <f>1411</f>
        <v>1411.0</v>
      </c>
      <c r="N254" s="34" t="s">
        <v>75</v>
      </c>
      <c r="O254" s="33" t="n">
        <f>1326</f>
        <v>1326.0</v>
      </c>
      <c r="P254" s="34" t="s">
        <v>48</v>
      </c>
      <c r="Q254" s="33" t="n">
        <f>1356</f>
        <v>1356.0</v>
      </c>
      <c r="R254" s="34" t="s">
        <v>51</v>
      </c>
      <c r="S254" s="35" t="n">
        <f>1368.45</f>
        <v>1368.45</v>
      </c>
      <c r="T254" s="32" t="n">
        <f>299172</f>
        <v>299172.0</v>
      </c>
      <c r="U254" s="32" t="str">
        <f>"－"</f>
        <v>－</v>
      </c>
      <c r="V254" s="32" t="n">
        <f>411044752</f>
        <v>4.11044752E8</v>
      </c>
      <c r="W254" s="32" t="str">
        <f>"－"</f>
        <v>－</v>
      </c>
      <c r="X254" s="36" t="n">
        <f>22</f>
        <v>22.0</v>
      </c>
    </row>
    <row r="255">
      <c r="A255" s="27" t="s">
        <v>42</v>
      </c>
      <c r="B255" s="27" t="s">
        <v>811</v>
      </c>
      <c r="C255" s="27" t="s">
        <v>812</v>
      </c>
      <c r="D255" s="27" t="s">
        <v>813</v>
      </c>
      <c r="E255" s="28" t="s">
        <v>46</v>
      </c>
      <c r="F255" s="29" t="s">
        <v>46</v>
      </c>
      <c r="G255" s="30" t="s">
        <v>46</v>
      </c>
      <c r="H255" s="31"/>
      <c r="I255" s="31" t="s">
        <v>47</v>
      </c>
      <c r="J255" s="32" t="n">
        <v>1.0</v>
      </c>
      <c r="K255" s="33" t="n">
        <f>1191</f>
        <v>1191.0</v>
      </c>
      <c r="L255" s="34" t="s">
        <v>48</v>
      </c>
      <c r="M255" s="33" t="n">
        <f>1230</f>
        <v>1230.0</v>
      </c>
      <c r="N255" s="34" t="s">
        <v>58</v>
      </c>
      <c r="O255" s="33" t="n">
        <f>1074</f>
        <v>1074.0</v>
      </c>
      <c r="P255" s="34" t="s">
        <v>160</v>
      </c>
      <c r="Q255" s="33" t="n">
        <f>1134</f>
        <v>1134.0</v>
      </c>
      <c r="R255" s="34" t="s">
        <v>51</v>
      </c>
      <c r="S255" s="35" t="n">
        <f>1133.09</f>
        <v>1133.09</v>
      </c>
      <c r="T255" s="32" t="n">
        <f>1489104</f>
        <v>1489104.0</v>
      </c>
      <c r="U255" s="32" t="str">
        <f>"－"</f>
        <v>－</v>
      </c>
      <c r="V255" s="32" t="n">
        <f>1696350413</f>
        <v>1.696350413E9</v>
      </c>
      <c r="W255" s="32" t="str">
        <f>"－"</f>
        <v>－</v>
      </c>
      <c r="X255" s="36" t="n">
        <f>22</f>
        <v>22.0</v>
      </c>
    </row>
    <row r="256">
      <c r="A256" s="27" t="s">
        <v>42</v>
      </c>
      <c r="B256" s="27" t="s">
        <v>814</v>
      </c>
      <c r="C256" s="27" t="s">
        <v>815</v>
      </c>
      <c r="D256" s="27" t="s">
        <v>816</v>
      </c>
      <c r="E256" s="28" t="s">
        <v>46</v>
      </c>
      <c r="F256" s="29" t="s">
        <v>46</v>
      </c>
      <c r="G256" s="30" t="s">
        <v>46</v>
      </c>
      <c r="H256" s="31"/>
      <c r="I256" s="31" t="s">
        <v>47</v>
      </c>
      <c r="J256" s="32" t="n">
        <v>10.0</v>
      </c>
      <c r="K256" s="33" t="n">
        <f>216.5</f>
        <v>216.5</v>
      </c>
      <c r="L256" s="34" t="s">
        <v>48</v>
      </c>
      <c r="M256" s="33" t="n">
        <f>216.5</f>
        <v>216.5</v>
      </c>
      <c r="N256" s="34" t="s">
        <v>48</v>
      </c>
      <c r="O256" s="33" t="n">
        <f>202</f>
        <v>202.0</v>
      </c>
      <c r="P256" s="34" t="s">
        <v>51</v>
      </c>
      <c r="Q256" s="33" t="n">
        <f>203.5</f>
        <v>203.5</v>
      </c>
      <c r="R256" s="34" t="s">
        <v>51</v>
      </c>
      <c r="S256" s="35" t="n">
        <f>209.36</f>
        <v>209.36</v>
      </c>
      <c r="T256" s="32" t="n">
        <f>5025500</f>
        <v>5025500.0</v>
      </c>
      <c r="U256" s="32" t="n">
        <f>252590</f>
        <v>252590.0</v>
      </c>
      <c r="V256" s="32" t="n">
        <f>1050638125</f>
        <v>1.050638125E9</v>
      </c>
      <c r="W256" s="32" t="n">
        <f>52448698</f>
        <v>5.2448698E7</v>
      </c>
      <c r="X256" s="36" t="n">
        <f>22</f>
        <v>22.0</v>
      </c>
    </row>
    <row r="257">
      <c r="A257" s="27" t="s">
        <v>42</v>
      </c>
      <c r="B257" s="27" t="s">
        <v>817</v>
      </c>
      <c r="C257" s="27" t="s">
        <v>818</v>
      </c>
      <c r="D257" s="27" t="s">
        <v>819</v>
      </c>
      <c r="E257" s="28" t="s">
        <v>46</v>
      </c>
      <c r="F257" s="29" t="s">
        <v>46</v>
      </c>
      <c r="G257" s="30" t="s">
        <v>46</v>
      </c>
      <c r="H257" s="31"/>
      <c r="I257" s="31" t="s">
        <v>47</v>
      </c>
      <c r="J257" s="32" t="n">
        <v>10.0</v>
      </c>
      <c r="K257" s="33" t="n">
        <f>235</f>
        <v>235.0</v>
      </c>
      <c r="L257" s="34" t="s">
        <v>48</v>
      </c>
      <c r="M257" s="33" t="n">
        <f>235</f>
        <v>235.0</v>
      </c>
      <c r="N257" s="34" t="s">
        <v>48</v>
      </c>
      <c r="O257" s="33" t="n">
        <f>222</f>
        <v>222.0</v>
      </c>
      <c r="P257" s="34" t="s">
        <v>51</v>
      </c>
      <c r="Q257" s="33" t="n">
        <f>222.8</f>
        <v>222.8</v>
      </c>
      <c r="R257" s="34" t="s">
        <v>51</v>
      </c>
      <c r="S257" s="35" t="n">
        <f>226.8</f>
        <v>226.8</v>
      </c>
      <c r="T257" s="32" t="n">
        <f>1357060</f>
        <v>1357060.0</v>
      </c>
      <c r="U257" s="32" t="n">
        <f>75370</f>
        <v>75370.0</v>
      </c>
      <c r="V257" s="32" t="n">
        <f>308348971</f>
        <v>3.08348971E8</v>
      </c>
      <c r="W257" s="32" t="n">
        <f>17046632</f>
        <v>1.7046632E7</v>
      </c>
      <c r="X257" s="36" t="n">
        <f>22</f>
        <v>22.0</v>
      </c>
    </row>
    <row r="258">
      <c r="A258" s="27" t="s">
        <v>42</v>
      </c>
      <c r="B258" s="27" t="s">
        <v>820</v>
      </c>
      <c r="C258" s="27" t="s">
        <v>821</v>
      </c>
      <c r="D258" s="27" t="s">
        <v>822</v>
      </c>
      <c r="E258" s="28" t="s">
        <v>46</v>
      </c>
      <c r="F258" s="29" t="s">
        <v>46</v>
      </c>
      <c r="G258" s="30" t="s">
        <v>46</v>
      </c>
      <c r="H258" s="31"/>
      <c r="I258" s="31" t="s">
        <v>47</v>
      </c>
      <c r="J258" s="32" t="n">
        <v>10.0</v>
      </c>
      <c r="K258" s="33" t="n">
        <f>236</f>
        <v>236.0</v>
      </c>
      <c r="L258" s="34" t="s">
        <v>48</v>
      </c>
      <c r="M258" s="33" t="n">
        <f>236.5</f>
        <v>236.5</v>
      </c>
      <c r="N258" s="34" t="s">
        <v>58</v>
      </c>
      <c r="O258" s="33" t="n">
        <f>223</f>
        <v>223.0</v>
      </c>
      <c r="P258" s="34" t="s">
        <v>51</v>
      </c>
      <c r="Q258" s="33" t="n">
        <f>224.2</f>
        <v>224.2</v>
      </c>
      <c r="R258" s="34" t="s">
        <v>51</v>
      </c>
      <c r="S258" s="35" t="n">
        <f>228.23</f>
        <v>228.23</v>
      </c>
      <c r="T258" s="32" t="n">
        <f>2180960</f>
        <v>2180960.0</v>
      </c>
      <c r="U258" s="32" t="n">
        <f>1420070</f>
        <v>1420070.0</v>
      </c>
      <c r="V258" s="32" t="n">
        <f>492649694</f>
        <v>4.92649694E8</v>
      </c>
      <c r="W258" s="32" t="n">
        <f>318609374</f>
        <v>3.18609374E8</v>
      </c>
      <c r="X258" s="36" t="n">
        <f>22</f>
        <v>22.0</v>
      </c>
    </row>
    <row r="259">
      <c r="A259" s="27" t="s">
        <v>42</v>
      </c>
      <c r="B259" s="27" t="s">
        <v>823</v>
      </c>
      <c r="C259" s="27" t="s">
        <v>824</v>
      </c>
      <c r="D259" s="27" t="s">
        <v>825</v>
      </c>
      <c r="E259" s="28" t="s">
        <v>46</v>
      </c>
      <c r="F259" s="29" t="s">
        <v>46</v>
      </c>
      <c r="G259" s="30" t="s">
        <v>46</v>
      </c>
      <c r="H259" s="31"/>
      <c r="I259" s="31" t="s">
        <v>47</v>
      </c>
      <c r="J259" s="32" t="n">
        <v>10.0</v>
      </c>
      <c r="K259" s="33" t="n">
        <f>231.5</f>
        <v>231.5</v>
      </c>
      <c r="L259" s="34" t="s">
        <v>48</v>
      </c>
      <c r="M259" s="33" t="n">
        <f>234.9</f>
        <v>234.9</v>
      </c>
      <c r="N259" s="34" t="s">
        <v>214</v>
      </c>
      <c r="O259" s="33" t="n">
        <f>226.8</f>
        <v>226.8</v>
      </c>
      <c r="P259" s="34" t="s">
        <v>51</v>
      </c>
      <c r="Q259" s="33" t="n">
        <f>227.4</f>
        <v>227.4</v>
      </c>
      <c r="R259" s="34" t="s">
        <v>51</v>
      </c>
      <c r="S259" s="35" t="n">
        <f>230.89</f>
        <v>230.89</v>
      </c>
      <c r="T259" s="32" t="n">
        <f>3630180</f>
        <v>3630180.0</v>
      </c>
      <c r="U259" s="32" t="n">
        <f>25600</f>
        <v>25600.0</v>
      </c>
      <c r="V259" s="32" t="n">
        <f>838592517</f>
        <v>8.38592517E8</v>
      </c>
      <c r="W259" s="32" t="n">
        <f>5866557</f>
        <v>5866557.0</v>
      </c>
      <c r="X259" s="36" t="n">
        <f>22</f>
        <v>22.0</v>
      </c>
    </row>
    <row r="260">
      <c r="A260" s="27" t="s">
        <v>42</v>
      </c>
      <c r="B260" s="27" t="s">
        <v>826</v>
      </c>
      <c r="C260" s="27" t="s">
        <v>827</v>
      </c>
      <c r="D260" s="27" t="s">
        <v>828</v>
      </c>
      <c r="E260" s="28" t="s">
        <v>46</v>
      </c>
      <c r="F260" s="29" t="s">
        <v>46</v>
      </c>
      <c r="G260" s="30" t="s">
        <v>46</v>
      </c>
      <c r="H260" s="31"/>
      <c r="I260" s="31" t="s">
        <v>47</v>
      </c>
      <c r="J260" s="32" t="n">
        <v>10.0</v>
      </c>
      <c r="K260" s="33" t="n">
        <f>188</f>
        <v>188.0</v>
      </c>
      <c r="L260" s="34" t="s">
        <v>48</v>
      </c>
      <c r="M260" s="33" t="n">
        <f>188.5</f>
        <v>188.5</v>
      </c>
      <c r="N260" s="34" t="s">
        <v>214</v>
      </c>
      <c r="O260" s="33" t="n">
        <f>179.8</f>
        <v>179.8</v>
      </c>
      <c r="P260" s="34" t="s">
        <v>71</v>
      </c>
      <c r="Q260" s="33" t="n">
        <f>181.5</f>
        <v>181.5</v>
      </c>
      <c r="R260" s="34" t="s">
        <v>51</v>
      </c>
      <c r="S260" s="35" t="n">
        <f>182.84</f>
        <v>182.84</v>
      </c>
      <c r="T260" s="32" t="n">
        <f>986640</f>
        <v>986640.0</v>
      </c>
      <c r="U260" s="32" t="n">
        <f>2390</f>
        <v>2390.0</v>
      </c>
      <c r="V260" s="32" t="n">
        <f>179880173</f>
        <v>1.79880173E8</v>
      </c>
      <c r="W260" s="32" t="n">
        <f>433055</f>
        <v>433055.0</v>
      </c>
      <c r="X260" s="36" t="n">
        <f>22</f>
        <v>22.0</v>
      </c>
    </row>
    <row r="261">
      <c r="A261" s="27" t="s">
        <v>42</v>
      </c>
      <c r="B261" s="27" t="s">
        <v>829</v>
      </c>
      <c r="C261" s="27" t="s">
        <v>830</v>
      </c>
      <c r="D261" s="27" t="s">
        <v>831</v>
      </c>
      <c r="E261" s="28" t="s">
        <v>46</v>
      </c>
      <c r="F261" s="29" t="s">
        <v>46</v>
      </c>
      <c r="G261" s="30" t="s">
        <v>46</v>
      </c>
      <c r="H261" s="31"/>
      <c r="I261" s="31" t="s">
        <v>47</v>
      </c>
      <c r="J261" s="32" t="n">
        <v>1.0</v>
      </c>
      <c r="K261" s="33" t="n">
        <f>1938</f>
        <v>1938.0</v>
      </c>
      <c r="L261" s="34" t="s">
        <v>48</v>
      </c>
      <c r="M261" s="33" t="n">
        <f>1949</f>
        <v>1949.0</v>
      </c>
      <c r="N261" s="34" t="s">
        <v>49</v>
      </c>
      <c r="O261" s="33" t="n">
        <f>1864</f>
        <v>1864.0</v>
      </c>
      <c r="P261" s="34" t="s">
        <v>71</v>
      </c>
      <c r="Q261" s="33" t="n">
        <f>1920</f>
        <v>1920.0</v>
      </c>
      <c r="R261" s="34" t="s">
        <v>51</v>
      </c>
      <c r="S261" s="35" t="n">
        <f>1909.45</f>
        <v>1909.45</v>
      </c>
      <c r="T261" s="32" t="n">
        <f>306063</f>
        <v>306063.0</v>
      </c>
      <c r="U261" s="32" t="n">
        <f>52527</f>
        <v>52527.0</v>
      </c>
      <c r="V261" s="32" t="n">
        <f>585001492</f>
        <v>5.85001492E8</v>
      </c>
      <c r="W261" s="32" t="n">
        <f>100388094</f>
        <v>1.00388094E8</v>
      </c>
      <c r="X261" s="36" t="n">
        <f>22</f>
        <v>22.0</v>
      </c>
    </row>
    <row r="262">
      <c r="A262" s="27" t="s">
        <v>42</v>
      </c>
      <c r="B262" s="27" t="s">
        <v>832</v>
      </c>
      <c r="C262" s="27" t="s">
        <v>833</v>
      </c>
      <c r="D262" s="27" t="s">
        <v>834</v>
      </c>
      <c r="E262" s="28" t="s">
        <v>46</v>
      </c>
      <c r="F262" s="29" t="s">
        <v>46</v>
      </c>
      <c r="G262" s="30" t="s">
        <v>46</v>
      </c>
      <c r="H262" s="31"/>
      <c r="I262" s="31" t="s">
        <v>47</v>
      </c>
      <c r="J262" s="32" t="n">
        <v>1.0</v>
      </c>
      <c r="K262" s="33" t="n">
        <f>1387</f>
        <v>1387.0</v>
      </c>
      <c r="L262" s="34" t="s">
        <v>48</v>
      </c>
      <c r="M262" s="33" t="n">
        <f>1558</f>
        <v>1558.0</v>
      </c>
      <c r="N262" s="34" t="s">
        <v>75</v>
      </c>
      <c r="O262" s="33" t="n">
        <f>1361</f>
        <v>1361.0</v>
      </c>
      <c r="P262" s="34" t="s">
        <v>48</v>
      </c>
      <c r="Q262" s="33" t="n">
        <f>1472</f>
        <v>1472.0</v>
      </c>
      <c r="R262" s="34" t="s">
        <v>51</v>
      </c>
      <c r="S262" s="35" t="n">
        <f>1453.41</f>
        <v>1453.41</v>
      </c>
      <c r="T262" s="32" t="n">
        <f>228712</f>
        <v>228712.0</v>
      </c>
      <c r="U262" s="32" t="n">
        <f>490</f>
        <v>490.0</v>
      </c>
      <c r="V262" s="32" t="n">
        <f>337421013</f>
        <v>3.37421013E8</v>
      </c>
      <c r="W262" s="32" t="n">
        <f>712198</f>
        <v>712198.0</v>
      </c>
      <c r="X262" s="36" t="n">
        <f>22</f>
        <v>22.0</v>
      </c>
    </row>
    <row r="263">
      <c r="A263" s="27" t="s">
        <v>42</v>
      </c>
      <c r="B263" s="27" t="s">
        <v>835</v>
      </c>
      <c r="C263" s="27" t="s">
        <v>836</v>
      </c>
      <c r="D263" s="27" t="s">
        <v>837</v>
      </c>
      <c r="E263" s="28" t="s">
        <v>46</v>
      </c>
      <c r="F263" s="29" t="s">
        <v>46</v>
      </c>
      <c r="G263" s="30" t="s">
        <v>46</v>
      </c>
      <c r="H263" s="31"/>
      <c r="I263" s="31" t="s">
        <v>47</v>
      </c>
      <c r="J263" s="32" t="n">
        <v>1.0</v>
      </c>
      <c r="K263" s="33" t="n">
        <f>1320</f>
        <v>1320.0</v>
      </c>
      <c r="L263" s="34" t="s">
        <v>48</v>
      </c>
      <c r="M263" s="33" t="n">
        <f>1451</f>
        <v>1451.0</v>
      </c>
      <c r="N263" s="34" t="s">
        <v>75</v>
      </c>
      <c r="O263" s="33" t="n">
        <f>1298</f>
        <v>1298.0</v>
      </c>
      <c r="P263" s="34" t="s">
        <v>48</v>
      </c>
      <c r="Q263" s="33" t="n">
        <f>1392</f>
        <v>1392.0</v>
      </c>
      <c r="R263" s="34" t="s">
        <v>51</v>
      </c>
      <c r="S263" s="35" t="n">
        <f>1366.45</f>
        <v>1366.45</v>
      </c>
      <c r="T263" s="32" t="n">
        <f>1172557</f>
        <v>1172557.0</v>
      </c>
      <c r="U263" s="32" t="n">
        <f>324480</f>
        <v>324480.0</v>
      </c>
      <c r="V263" s="32" t="n">
        <f>1616410614</f>
        <v>1.616410614E9</v>
      </c>
      <c r="W263" s="32" t="n">
        <f>444664177</f>
        <v>4.44664177E8</v>
      </c>
      <c r="X263" s="36" t="n">
        <f>22</f>
        <v>22.0</v>
      </c>
    </row>
    <row r="264">
      <c r="A264" s="27" t="s">
        <v>42</v>
      </c>
      <c r="B264" s="27" t="s">
        <v>838</v>
      </c>
      <c r="C264" s="27" t="s">
        <v>839</v>
      </c>
      <c r="D264" s="27" t="s">
        <v>840</v>
      </c>
      <c r="E264" s="28" t="s">
        <v>46</v>
      </c>
      <c r="F264" s="29" t="s">
        <v>46</v>
      </c>
      <c r="G264" s="30" t="s">
        <v>46</v>
      </c>
      <c r="H264" s="31"/>
      <c r="I264" s="31" t="s">
        <v>47</v>
      </c>
      <c r="J264" s="32" t="n">
        <v>10.0</v>
      </c>
      <c r="K264" s="33" t="n">
        <f>443.9</f>
        <v>443.9</v>
      </c>
      <c r="L264" s="34" t="s">
        <v>48</v>
      </c>
      <c r="M264" s="33" t="n">
        <f>446</f>
        <v>446.0</v>
      </c>
      <c r="N264" s="34" t="s">
        <v>224</v>
      </c>
      <c r="O264" s="33" t="n">
        <f>437.8</f>
        <v>437.8</v>
      </c>
      <c r="P264" s="34" t="s">
        <v>70</v>
      </c>
      <c r="Q264" s="33" t="n">
        <f>440.6</f>
        <v>440.6</v>
      </c>
      <c r="R264" s="34" t="s">
        <v>51</v>
      </c>
      <c r="S264" s="35" t="n">
        <f>441.9</f>
        <v>441.9</v>
      </c>
      <c r="T264" s="32" t="n">
        <f>12068540</f>
        <v>1.206854E7</v>
      </c>
      <c r="U264" s="32" t="n">
        <f>9996140</f>
        <v>9996140.0</v>
      </c>
      <c r="V264" s="32" t="n">
        <f>5315526798</f>
        <v>5.315526798E9</v>
      </c>
      <c r="W264" s="32" t="n">
        <f>4398903600</f>
        <v>4.3989036E9</v>
      </c>
      <c r="X264" s="36" t="n">
        <f>22</f>
        <v>22.0</v>
      </c>
    </row>
    <row r="265">
      <c r="A265" s="27" t="s">
        <v>42</v>
      </c>
      <c r="B265" s="27" t="s">
        <v>841</v>
      </c>
      <c r="C265" s="27" t="s">
        <v>842</v>
      </c>
      <c r="D265" s="27" t="s">
        <v>843</v>
      </c>
      <c r="E265" s="28" t="s">
        <v>46</v>
      </c>
      <c r="F265" s="29" t="s">
        <v>46</v>
      </c>
      <c r="G265" s="30" t="s">
        <v>46</v>
      </c>
      <c r="H265" s="31"/>
      <c r="I265" s="31" t="s">
        <v>47</v>
      </c>
      <c r="J265" s="32" t="n">
        <v>10.0</v>
      </c>
      <c r="K265" s="33" t="n">
        <f>169.1</f>
        <v>169.1</v>
      </c>
      <c r="L265" s="34" t="s">
        <v>48</v>
      </c>
      <c r="M265" s="33" t="n">
        <f>169.1</f>
        <v>169.1</v>
      </c>
      <c r="N265" s="34" t="s">
        <v>48</v>
      </c>
      <c r="O265" s="33" t="n">
        <f>148.4</f>
        <v>148.4</v>
      </c>
      <c r="P265" s="34" t="s">
        <v>51</v>
      </c>
      <c r="Q265" s="33" t="n">
        <f>150</f>
        <v>150.0</v>
      </c>
      <c r="R265" s="34" t="s">
        <v>51</v>
      </c>
      <c r="S265" s="35" t="n">
        <f>157.12</f>
        <v>157.12</v>
      </c>
      <c r="T265" s="32" t="n">
        <f>11416610</f>
        <v>1.141661E7</v>
      </c>
      <c r="U265" s="32" t="str">
        <f>"－"</f>
        <v>－</v>
      </c>
      <c r="V265" s="32" t="n">
        <f>1775095017</f>
        <v>1.775095017E9</v>
      </c>
      <c r="W265" s="32" t="str">
        <f>"－"</f>
        <v>－</v>
      </c>
      <c r="X265" s="36" t="n">
        <f>22</f>
        <v>22.0</v>
      </c>
    </row>
    <row r="266">
      <c r="A266" s="27" t="s">
        <v>42</v>
      </c>
      <c r="B266" s="27" t="s">
        <v>844</v>
      </c>
      <c r="C266" s="27" t="s">
        <v>845</v>
      </c>
      <c r="D266" s="27" t="s">
        <v>846</v>
      </c>
      <c r="E266" s="28" t="s">
        <v>46</v>
      </c>
      <c r="F266" s="29" t="s">
        <v>46</v>
      </c>
      <c r="G266" s="30" t="s">
        <v>46</v>
      </c>
      <c r="H266" s="31"/>
      <c r="I266" s="31" t="s">
        <v>47</v>
      </c>
      <c r="J266" s="32" t="n">
        <v>10.0</v>
      </c>
      <c r="K266" s="33" t="n">
        <f>137</f>
        <v>137.0</v>
      </c>
      <c r="L266" s="34" t="s">
        <v>48</v>
      </c>
      <c r="M266" s="33" t="n">
        <f>137</f>
        <v>137.0</v>
      </c>
      <c r="N266" s="34" t="s">
        <v>48</v>
      </c>
      <c r="O266" s="33" t="n">
        <f>121.5</f>
        <v>121.5</v>
      </c>
      <c r="P266" s="34" t="s">
        <v>197</v>
      </c>
      <c r="Q266" s="33" t="n">
        <f>122.8</f>
        <v>122.8</v>
      </c>
      <c r="R266" s="34" t="s">
        <v>51</v>
      </c>
      <c r="S266" s="35" t="n">
        <f>127.12</f>
        <v>127.12</v>
      </c>
      <c r="T266" s="32" t="n">
        <f>12108150</f>
        <v>1.210815E7</v>
      </c>
      <c r="U266" s="32" t="n">
        <f>3020</f>
        <v>3020.0</v>
      </c>
      <c r="V266" s="32" t="n">
        <f>1535811977</f>
        <v>1.535811977E9</v>
      </c>
      <c r="W266" s="32" t="n">
        <f>379024</f>
        <v>379024.0</v>
      </c>
      <c r="X266" s="36" t="n">
        <f>22</f>
        <v>22.0</v>
      </c>
    </row>
    <row r="267">
      <c r="A267" s="27" t="s">
        <v>42</v>
      </c>
      <c r="B267" s="27" t="s">
        <v>847</v>
      </c>
      <c r="C267" s="27" t="s">
        <v>848</v>
      </c>
      <c r="D267" s="27" t="s">
        <v>849</v>
      </c>
      <c r="E267" s="28" t="s">
        <v>46</v>
      </c>
      <c r="F267" s="29" t="s">
        <v>46</v>
      </c>
      <c r="G267" s="30" t="s">
        <v>46</v>
      </c>
      <c r="H267" s="31"/>
      <c r="I267" s="31" t="s">
        <v>47</v>
      </c>
      <c r="J267" s="32" t="n">
        <v>10.0</v>
      </c>
      <c r="K267" s="33" t="n">
        <f>811.4</f>
        <v>811.4</v>
      </c>
      <c r="L267" s="34" t="s">
        <v>48</v>
      </c>
      <c r="M267" s="33" t="n">
        <f>814.4</f>
        <v>814.4</v>
      </c>
      <c r="N267" s="34" t="s">
        <v>274</v>
      </c>
      <c r="O267" s="33" t="n">
        <f>801.1</f>
        <v>801.1</v>
      </c>
      <c r="P267" s="34" t="s">
        <v>70</v>
      </c>
      <c r="Q267" s="33" t="n">
        <f>808.6</f>
        <v>808.6</v>
      </c>
      <c r="R267" s="34" t="s">
        <v>51</v>
      </c>
      <c r="S267" s="35" t="n">
        <f>808.06</f>
        <v>808.06</v>
      </c>
      <c r="T267" s="32" t="n">
        <f>9328010</f>
        <v>9328010.0</v>
      </c>
      <c r="U267" s="32" t="n">
        <f>7349800</f>
        <v>7349800.0</v>
      </c>
      <c r="V267" s="32" t="n">
        <f>7537121691</f>
        <v>7.537121691E9</v>
      </c>
      <c r="W267" s="32" t="n">
        <f>5938819634</f>
        <v>5.938819634E9</v>
      </c>
      <c r="X267" s="36" t="n">
        <f>22</f>
        <v>22.0</v>
      </c>
    </row>
    <row r="268">
      <c r="A268" s="27" t="s">
        <v>42</v>
      </c>
      <c r="B268" s="27" t="s">
        <v>850</v>
      </c>
      <c r="C268" s="27" t="s">
        <v>851</v>
      </c>
      <c r="D268" s="27" t="s">
        <v>852</v>
      </c>
      <c r="E268" s="28" t="s">
        <v>46</v>
      </c>
      <c r="F268" s="29" t="s">
        <v>46</v>
      </c>
      <c r="G268" s="30" t="s">
        <v>46</v>
      </c>
      <c r="H268" s="31"/>
      <c r="I268" s="31" t="s">
        <v>47</v>
      </c>
      <c r="J268" s="32" t="n">
        <v>10.0</v>
      </c>
      <c r="K268" s="33" t="n">
        <f>1209</f>
        <v>1209.0</v>
      </c>
      <c r="L268" s="34" t="s">
        <v>48</v>
      </c>
      <c r="M268" s="33" t="n">
        <f>1209.5</f>
        <v>1209.5</v>
      </c>
      <c r="N268" s="34" t="s">
        <v>48</v>
      </c>
      <c r="O268" s="33" t="n">
        <f>1189</f>
        <v>1189.0</v>
      </c>
      <c r="P268" s="34" t="s">
        <v>51</v>
      </c>
      <c r="Q268" s="33" t="n">
        <f>1193.5</f>
        <v>1193.5</v>
      </c>
      <c r="R268" s="34" t="s">
        <v>51</v>
      </c>
      <c r="S268" s="35" t="n">
        <f>1202.34</f>
        <v>1202.34</v>
      </c>
      <c r="T268" s="32" t="n">
        <f>5093750</f>
        <v>5093750.0</v>
      </c>
      <c r="U268" s="32" t="n">
        <f>2527150</f>
        <v>2527150.0</v>
      </c>
      <c r="V268" s="32" t="n">
        <f>6116272147</f>
        <v>6.116272147E9</v>
      </c>
      <c r="W268" s="32" t="n">
        <f>3032950257</f>
        <v>3.032950257E9</v>
      </c>
      <c r="X268" s="36" t="n">
        <f>22</f>
        <v>22.0</v>
      </c>
    </row>
    <row r="269">
      <c r="A269" s="27" t="s">
        <v>42</v>
      </c>
      <c r="B269" s="27" t="s">
        <v>853</v>
      </c>
      <c r="C269" s="27" t="s">
        <v>854</v>
      </c>
      <c r="D269" s="27" t="s">
        <v>855</v>
      </c>
      <c r="E269" s="28" t="s">
        <v>46</v>
      </c>
      <c r="F269" s="29" t="s">
        <v>46</v>
      </c>
      <c r="G269" s="30" t="s">
        <v>46</v>
      </c>
      <c r="H269" s="31"/>
      <c r="I269" s="31" t="s">
        <v>47</v>
      </c>
      <c r="J269" s="32" t="n">
        <v>10.0</v>
      </c>
      <c r="K269" s="33" t="n">
        <f>737.8</f>
        <v>737.8</v>
      </c>
      <c r="L269" s="34" t="s">
        <v>48</v>
      </c>
      <c r="M269" s="33" t="n">
        <f>739.9</f>
        <v>739.9</v>
      </c>
      <c r="N269" s="34" t="s">
        <v>224</v>
      </c>
      <c r="O269" s="33" t="n">
        <f>727</f>
        <v>727.0</v>
      </c>
      <c r="P269" s="34" t="s">
        <v>51</v>
      </c>
      <c r="Q269" s="33" t="n">
        <f>731.1</f>
        <v>731.1</v>
      </c>
      <c r="R269" s="34" t="s">
        <v>51</v>
      </c>
      <c r="S269" s="35" t="n">
        <f>732.43</f>
        <v>732.43</v>
      </c>
      <c r="T269" s="32" t="n">
        <f>6766030</f>
        <v>6766030.0</v>
      </c>
      <c r="U269" s="32" t="n">
        <f>3186850</f>
        <v>3186850.0</v>
      </c>
      <c r="V269" s="32" t="n">
        <f>4962129390</f>
        <v>4.96212939E9</v>
      </c>
      <c r="W269" s="32" t="n">
        <f>2335551871</f>
        <v>2.335551871E9</v>
      </c>
      <c r="X269" s="36" t="n">
        <f>22</f>
        <v>22.0</v>
      </c>
    </row>
    <row r="270">
      <c r="A270" s="27" t="s">
        <v>42</v>
      </c>
      <c r="B270" s="27" t="s">
        <v>856</v>
      </c>
      <c r="C270" s="27" t="s">
        <v>857</v>
      </c>
      <c r="D270" s="27" t="s">
        <v>858</v>
      </c>
      <c r="E270" s="28" t="s">
        <v>46</v>
      </c>
      <c r="F270" s="29" t="s">
        <v>46</v>
      </c>
      <c r="G270" s="30" t="s">
        <v>46</v>
      </c>
      <c r="H270" s="31"/>
      <c r="I270" s="31" t="s">
        <v>47</v>
      </c>
      <c r="J270" s="32" t="n">
        <v>1.0</v>
      </c>
      <c r="K270" s="33" t="n">
        <f>3577</f>
        <v>3577.0</v>
      </c>
      <c r="L270" s="34" t="s">
        <v>48</v>
      </c>
      <c r="M270" s="33" t="n">
        <f>3750</f>
        <v>3750.0</v>
      </c>
      <c r="N270" s="34" t="s">
        <v>214</v>
      </c>
      <c r="O270" s="33" t="n">
        <f>3562</f>
        <v>3562.0</v>
      </c>
      <c r="P270" s="34" t="s">
        <v>197</v>
      </c>
      <c r="Q270" s="33" t="n">
        <f>3573</f>
        <v>3573.0</v>
      </c>
      <c r="R270" s="34" t="s">
        <v>51</v>
      </c>
      <c r="S270" s="35" t="n">
        <f>3606.36</f>
        <v>3606.36</v>
      </c>
      <c r="T270" s="32" t="n">
        <f>3587423</f>
        <v>3587423.0</v>
      </c>
      <c r="U270" s="32" t="n">
        <f>2912146</f>
        <v>2912146.0</v>
      </c>
      <c r="V270" s="32" t="n">
        <f>12967757920</f>
        <v>1.296775792E10</v>
      </c>
      <c r="W270" s="32" t="n">
        <f>10539775421</f>
        <v>1.0539775421E10</v>
      </c>
      <c r="X270" s="36" t="n">
        <f>22</f>
        <v>22.0</v>
      </c>
    </row>
    <row r="271">
      <c r="A271" s="27" t="s">
        <v>42</v>
      </c>
      <c r="B271" s="27" t="s">
        <v>859</v>
      </c>
      <c r="C271" s="27" t="s">
        <v>860</v>
      </c>
      <c r="D271" s="27" t="s">
        <v>861</v>
      </c>
      <c r="E271" s="28" t="s">
        <v>46</v>
      </c>
      <c r="F271" s="29" t="s">
        <v>46</v>
      </c>
      <c r="G271" s="30" t="s">
        <v>46</v>
      </c>
      <c r="H271" s="31"/>
      <c r="I271" s="31" t="s">
        <v>47</v>
      </c>
      <c r="J271" s="32" t="n">
        <v>1.0</v>
      </c>
      <c r="K271" s="33" t="n">
        <f>2000</f>
        <v>2000.0</v>
      </c>
      <c r="L271" s="34" t="s">
        <v>48</v>
      </c>
      <c r="M271" s="33" t="n">
        <f>2083</f>
        <v>2083.0</v>
      </c>
      <c r="N271" s="34" t="s">
        <v>214</v>
      </c>
      <c r="O271" s="33" t="n">
        <f>1975</f>
        <v>1975.0</v>
      </c>
      <c r="P271" s="34" t="s">
        <v>197</v>
      </c>
      <c r="Q271" s="33" t="n">
        <f>2006</f>
        <v>2006.0</v>
      </c>
      <c r="R271" s="34" t="s">
        <v>51</v>
      </c>
      <c r="S271" s="35" t="n">
        <f>2005.36</f>
        <v>2005.36</v>
      </c>
      <c r="T271" s="32" t="n">
        <f>1223436</f>
        <v>1223436.0</v>
      </c>
      <c r="U271" s="32" t="n">
        <f>998000</f>
        <v>998000.0</v>
      </c>
      <c r="V271" s="32" t="n">
        <f>2469196708</f>
        <v>2.469196708E9</v>
      </c>
      <c r="W271" s="32" t="n">
        <f>2017853607</f>
        <v>2.017853607E9</v>
      </c>
      <c r="X271" s="36" t="n">
        <f>22</f>
        <v>22.0</v>
      </c>
    </row>
    <row r="272">
      <c r="A272" s="27" t="s">
        <v>42</v>
      </c>
      <c r="B272" s="27" t="s">
        <v>862</v>
      </c>
      <c r="C272" s="27" t="s">
        <v>863</v>
      </c>
      <c r="D272" s="27" t="s">
        <v>864</v>
      </c>
      <c r="E272" s="28" t="s">
        <v>46</v>
      </c>
      <c r="F272" s="29" t="s">
        <v>46</v>
      </c>
      <c r="G272" s="30" t="s">
        <v>46</v>
      </c>
      <c r="H272" s="31"/>
      <c r="I272" s="31" t="s">
        <v>47</v>
      </c>
      <c r="J272" s="32" t="n">
        <v>1.0</v>
      </c>
      <c r="K272" s="33" t="n">
        <f>1716</f>
        <v>1716.0</v>
      </c>
      <c r="L272" s="34" t="s">
        <v>48</v>
      </c>
      <c r="M272" s="33" t="n">
        <f>1820</f>
        <v>1820.0</v>
      </c>
      <c r="N272" s="34" t="s">
        <v>156</v>
      </c>
      <c r="O272" s="33" t="n">
        <f>1708</f>
        <v>1708.0</v>
      </c>
      <c r="P272" s="34" t="s">
        <v>48</v>
      </c>
      <c r="Q272" s="33" t="n">
        <f>1759</f>
        <v>1759.0</v>
      </c>
      <c r="R272" s="34" t="s">
        <v>51</v>
      </c>
      <c r="S272" s="35" t="n">
        <f>1754</f>
        <v>1754.0</v>
      </c>
      <c r="T272" s="32" t="n">
        <f>897947</f>
        <v>897947.0</v>
      </c>
      <c r="U272" s="32" t="n">
        <f>421924</f>
        <v>421924.0</v>
      </c>
      <c r="V272" s="32" t="n">
        <f>1567021621</f>
        <v>1.567021621E9</v>
      </c>
      <c r="W272" s="32" t="n">
        <f>732944363</f>
        <v>7.32944363E8</v>
      </c>
      <c r="X272" s="36" t="n">
        <f>22</f>
        <v>22.0</v>
      </c>
    </row>
    <row r="273">
      <c r="A273" s="27" t="s">
        <v>42</v>
      </c>
      <c r="B273" s="27" t="s">
        <v>865</v>
      </c>
      <c r="C273" s="27" t="s">
        <v>866</v>
      </c>
      <c r="D273" s="27" t="s">
        <v>867</v>
      </c>
      <c r="E273" s="28" t="s">
        <v>46</v>
      </c>
      <c r="F273" s="29" t="s">
        <v>46</v>
      </c>
      <c r="G273" s="30" t="s">
        <v>46</v>
      </c>
      <c r="H273" s="31"/>
      <c r="I273" s="31" t="s">
        <v>47</v>
      </c>
      <c r="J273" s="32" t="n">
        <v>10.0</v>
      </c>
      <c r="K273" s="33" t="n">
        <f>562.3</f>
        <v>562.3</v>
      </c>
      <c r="L273" s="34" t="s">
        <v>48</v>
      </c>
      <c r="M273" s="33" t="n">
        <f>595.1</f>
        <v>595.1</v>
      </c>
      <c r="N273" s="34" t="s">
        <v>58</v>
      </c>
      <c r="O273" s="33" t="n">
        <f>524.3</f>
        <v>524.3</v>
      </c>
      <c r="P273" s="34" t="s">
        <v>75</v>
      </c>
      <c r="Q273" s="33" t="n">
        <f>547.6</f>
        <v>547.6</v>
      </c>
      <c r="R273" s="34" t="s">
        <v>51</v>
      </c>
      <c r="S273" s="35" t="n">
        <f>560.01</f>
        <v>560.01</v>
      </c>
      <c r="T273" s="32" t="n">
        <f>8410940</f>
        <v>8410940.0</v>
      </c>
      <c r="U273" s="32" t="n">
        <f>241940</f>
        <v>241940.0</v>
      </c>
      <c r="V273" s="32" t="n">
        <f>4717348461</f>
        <v>4.717348461E9</v>
      </c>
      <c r="W273" s="32" t="n">
        <f>143270837</f>
        <v>1.43270837E8</v>
      </c>
      <c r="X273" s="36" t="n">
        <f>22</f>
        <v>22.0</v>
      </c>
    </row>
    <row r="274">
      <c r="A274" s="27" t="s">
        <v>42</v>
      </c>
      <c r="B274" s="27" t="s">
        <v>868</v>
      </c>
      <c r="C274" s="27" t="s">
        <v>869</v>
      </c>
      <c r="D274" s="27" t="s">
        <v>870</v>
      </c>
      <c r="E274" s="28" t="s">
        <v>46</v>
      </c>
      <c r="F274" s="29" t="s">
        <v>46</v>
      </c>
      <c r="G274" s="30" t="s">
        <v>46</v>
      </c>
      <c r="H274" s="31"/>
      <c r="I274" s="31" t="s">
        <v>47</v>
      </c>
      <c r="J274" s="32" t="n">
        <v>10.0</v>
      </c>
      <c r="K274" s="33" t="n">
        <f>1119.5</f>
        <v>1119.5</v>
      </c>
      <c r="L274" s="34" t="s">
        <v>48</v>
      </c>
      <c r="M274" s="33" t="n">
        <f>1166</f>
        <v>1166.0</v>
      </c>
      <c r="N274" s="34" t="s">
        <v>75</v>
      </c>
      <c r="O274" s="33" t="n">
        <f>1092.5</f>
        <v>1092.5</v>
      </c>
      <c r="P274" s="34" t="s">
        <v>48</v>
      </c>
      <c r="Q274" s="33" t="n">
        <f>1140</f>
        <v>1140.0</v>
      </c>
      <c r="R274" s="34" t="s">
        <v>51</v>
      </c>
      <c r="S274" s="35" t="n">
        <f>1129.73</f>
        <v>1129.73</v>
      </c>
      <c r="T274" s="32" t="n">
        <f>2779060</f>
        <v>2779060.0</v>
      </c>
      <c r="U274" s="32" t="n">
        <f>2098750</f>
        <v>2098750.0</v>
      </c>
      <c r="V274" s="32" t="n">
        <f>3185027456</f>
        <v>3.185027456E9</v>
      </c>
      <c r="W274" s="32" t="n">
        <f>2413165986</f>
        <v>2.413165986E9</v>
      </c>
      <c r="X274" s="36" t="n">
        <f>22</f>
        <v>22.0</v>
      </c>
    </row>
    <row r="275">
      <c r="A275" s="27" t="s">
        <v>42</v>
      </c>
      <c r="B275" s="27" t="s">
        <v>871</v>
      </c>
      <c r="C275" s="27" t="s">
        <v>872</v>
      </c>
      <c r="D275" s="27" t="s">
        <v>873</v>
      </c>
      <c r="E275" s="28" t="s">
        <v>46</v>
      </c>
      <c r="F275" s="29" t="s">
        <v>46</v>
      </c>
      <c r="G275" s="30" t="s">
        <v>46</v>
      </c>
      <c r="H275" s="31"/>
      <c r="I275" s="31" t="s">
        <v>47</v>
      </c>
      <c r="J275" s="32" t="n">
        <v>1.0</v>
      </c>
      <c r="K275" s="33" t="n">
        <f>2422</f>
        <v>2422.0</v>
      </c>
      <c r="L275" s="34" t="s">
        <v>48</v>
      </c>
      <c r="M275" s="33" t="n">
        <f>2509</f>
        <v>2509.0</v>
      </c>
      <c r="N275" s="34" t="s">
        <v>274</v>
      </c>
      <c r="O275" s="33" t="n">
        <f>2309</f>
        <v>2309.0</v>
      </c>
      <c r="P275" s="34" t="s">
        <v>50</v>
      </c>
      <c r="Q275" s="33" t="n">
        <f>2365</f>
        <v>2365.0</v>
      </c>
      <c r="R275" s="34" t="s">
        <v>51</v>
      </c>
      <c r="S275" s="35" t="n">
        <f>2399.55</f>
        <v>2399.55</v>
      </c>
      <c r="T275" s="32" t="n">
        <f>78678</f>
        <v>78678.0</v>
      </c>
      <c r="U275" s="32" t="str">
        <f>"－"</f>
        <v>－</v>
      </c>
      <c r="V275" s="32" t="n">
        <f>188792208</f>
        <v>1.88792208E8</v>
      </c>
      <c r="W275" s="32" t="str">
        <f>"－"</f>
        <v>－</v>
      </c>
      <c r="X275" s="36" t="n">
        <f>22</f>
        <v>22.0</v>
      </c>
    </row>
    <row r="276">
      <c r="A276" s="27" t="s">
        <v>42</v>
      </c>
      <c r="B276" s="27" t="s">
        <v>874</v>
      </c>
      <c r="C276" s="27" t="s">
        <v>875</v>
      </c>
      <c r="D276" s="27" t="s">
        <v>876</v>
      </c>
      <c r="E276" s="28" t="s">
        <v>46</v>
      </c>
      <c r="F276" s="29" t="s">
        <v>46</v>
      </c>
      <c r="G276" s="30" t="s">
        <v>46</v>
      </c>
      <c r="H276" s="31"/>
      <c r="I276" s="31" t="s">
        <v>47</v>
      </c>
      <c r="J276" s="32" t="n">
        <v>10.0</v>
      </c>
      <c r="K276" s="33" t="n">
        <f>1271.5</f>
        <v>1271.5</v>
      </c>
      <c r="L276" s="34" t="s">
        <v>48</v>
      </c>
      <c r="M276" s="33" t="n">
        <f>1271.5</f>
        <v>1271.5</v>
      </c>
      <c r="N276" s="34" t="s">
        <v>48</v>
      </c>
      <c r="O276" s="33" t="n">
        <f>1195.5</f>
        <v>1195.5</v>
      </c>
      <c r="P276" s="34" t="s">
        <v>51</v>
      </c>
      <c r="Q276" s="33" t="n">
        <f>1200</f>
        <v>1200.0</v>
      </c>
      <c r="R276" s="34" t="s">
        <v>51</v>
      </c>
      <c r="S276" s="35" t="n">
        <f>1226.11</f>
        <v>1226.11</v>
      </c>
      <c r="T276" s="32" t="n">
        <f>123220</f>
        <v>123220.0</v>
      </c>
      <c r="U276" s="32" t="n">
        <f>15640</f>
        <v>15640.0</v>
      </c>
      <c r="V276" s="32" t="n">
        <f>151261027</f>
        <v>1.51261027E8</v>
      </c>
      <c r="W276" s="32" t="n">
        <f>19123302</f>
        <v>1.9123302E7</v>
      </c>
      <c r="X276" s="36" t="n">
        <f>22</f>
        <v>22.0</v>
      </c>
    </row>
    <row r="277">
      <c r="A277" s="27" t="s">
        <v>42</v>
      </c>
      <c r="B277" s="27" t="s">
        <v>877</v>
      </c>
      <c r="C277" s="27" t="s">
        <v>878</v>
      </c>
      <c r="D277" s="27" t="s">
        <v>879</v>
      </c>
      <c r="E277" s="28" t="s">
        <v>46</v>
      </c>
      <c r="F277" s="29" t="s">
        <v>46</v>
      </c>
      <c r="G277" s="30" t="s">
        <v>46</v>
      </c>
      <c r="H277" s="31"/>
      <c r="I277" s="31" t="s">
        <v>47</v>
      </c>
      <c r="J277" s="32" t="n">
        <v>1.0</v>
      </c>
      <c r="K277" s="33" t="n">
        <f>2479</f>
        <v>2479.0</v>
      </c>
      <c r="L277" s="34" t="s">
        <v>48</v>
      </c>
      <c r="M277" s="33" t="n">
        <f>2479</f>
        <v>2479.0</v>
      </c>
      <c r="N277" s="34" t="s">
        <v>48</v>
      </c>
      <c r="O277" s="33" t="n">
        <f>2196</f>
        <v>2196.0</v>
      </c>
      <c r="P277" s="34" t="s">
        <v>75</v>
      </c>
      <c r="Q277" s="33" t="n">
        <f>2338</f>
        <v>2338.0</v>
      </c>
      <c r="R277" s="34" t="s">
        <v>51</v>
      </c>
      <c r="S277" s="35" t="n">
        <f>2356.68</f>
        <v>2356.68</v>
      </c>
      <c r="T277" s="32" t="n">
        <f>216431</f>
        <v>216431.0</v>
      </c>
      <c r="U277" s="32" t="n">
        <f>4266</f>
        <v>4266.0</v>
      </c>
      <c r="V277" s="32" t="n">
        <f>510844581</f>
        <v>5.10844581E8</v>
      </c>
      <c r="W277" s="32" t="n">
        <f>9988502</f>
        <v>9988502.0</v>
      </c>
      <c r="X277" s="36" t="n">
        <f>22</f>
        <v>22.0</v>
      </c>
    </row>
    <row r="278">
      <c r="A278" s="27" t="s">
        <v>42</v>
      </c>
      <c r="B278" s="27" t="s">
        <v>880</v>
      </c>
      <c r="C278" s="27" t="s">
        <v>881</v>
      </c>
      <c r="D278" s="27" t="s">
        <v>882</v>
      </c>
      <c r="E278" s="28" t="s">
        <v>46</v>
      </c>
      <c r="F278" s="29" t="s">
        <v>46</v>
      </c>
      <c r="G278" s="30" t="s">
        <v>46</v>
      </c>
      <c r="H278" s="31"/>
      <c r="I278" s="31" t="s">
        <v>47</v>
      </c>
      <c r="J278" s="32" t="n">
        <v>1.0</v>
      </c>
      <c r="K278" s="33" t="n">
        <f>2120</f>
        <v>2120.0</v>
      </c>
      <c r="L278" s="34" t="s">
        <v>48</v>
      </c>
      <c r="M278" s="33" t="n">
        <f>2150</f>
        <v>2150.0</v>
      </c>
      <c r="N278" s="34" t="s">
        <v>274</v>
      </c>
      <c r="O278" s="33" t="n">
        <f>2069</f>
        <v>2069.0</v>
      </c>
      <c r="P278" s="34" t="s">
        <v>156</v>
      </c>
      <c r="Q278" s="33" t="n">
        <f>2114</f>
        <v>2114.0</v>
      </c>
      <c r="R278" s="34" t="s">
        <v>51</v>
      </c>
      <c r="S278" s="35" t="n">
        <f>2117.45</f>
        <v>2117.45</v>
      </c>
      <c r="T278" s="32" t="n">
        <f>1536711</f>
        <v>1536711.0</v>
      </c>
      <c r="U278" s="32" t="n">
        <f>1064896</f>
        <v>1064896.0</v>
      </c>
      <c r="V278" s="32" t="n">
        <f>3245176551</f>
        <v>3.245176551E9</v>
      </c>
      <c r="W278" s="32" t="n">
        <f>2243224697</f>
        <v>2.243224697E9</v>
      </c>
      <c r="X278" s="36" t="n">
        <f>22</f>
        <v>22.0</v>
      </c>
    </row>
    <row r="279">
      <c r="A279" s="27" t="s">
        <v>42</v>
      </c>
      <c r="B279" s="27" t="s">
        <v>883</v>
      </c>
      <c r="C279" s="27" t="s">
        <v>884</v>
      </c>
      <c r="D279" s="27" t="s">
        <v>885</v>
      </c>
      <c r="E279" s="28" t="s">
        <v>46</v>
      </c>
      <c r="F279" s="29" t="s">
        <v>46</v>
      </c>
      <c r="G279" s="30" t="s">
        <v>46</v>
      </c>
      <c r="H279" s="31"/>
      <c r="I279" s="31" t="s">
        <v>47</v>
      </c>
      <c r="J279" s="32" t="n">
        <v>1.0</v>
      </c>
      <c r="K279" s="33" t="n">
        <f>9442</f>
        <v>9442.0</v>
      </c>
      <c r="L279" s="34" t="s">
        <v>48</v>
      </c>
      <c r="M279" s="33" t="n">
        <f>9442</f>
        <v>9442.0</v>
      </c>
      <c r="N279" s="34" t="s">
        <v>48</v>
      </c>
      <c r="O279" s="33" t="n">
        <f>8236</f>
        <v>8236.0</v>
      </c>
      <c r="P279" s="34" t="s">
        <v>75</v>
      </c>
      <c r="Q279" s="33" t="n">
        <f>8719</f>
        <v>8719.0</v>
      </c>
      <c r="R279" s="34" t="s">
        <v>51</v>
      </c>
      <c r="S279" s="35" t="n">
        <f>8706.27</f>
        <v>8706.27</v>
      </c>
      <c r="T279" s="32" t="n">
        <f>98562</f>
        <v>98562.0</v>
      </c>
      <c r="U279" s="32" t="str">
        <f>"－"</f>
        <v>－</v>
      </c>
      <c r="V279" s="32" t="n">
        <f>863553637</f>
        <v>8.63553637E8</v>
      </c>
      <c r="W279" s="32" t="str">
        <f>"－"</f>
        <v>－</v>
      </c>
      <c r="X279" s="36" t="n">
        <f>22</f>
        <v>22.0</v>
      </c>
    </row>
    <row r="280">
      <c r="A280" s="27" t="s">
        <v>42</v>
      </c>
      <c r="B280" s="27" t="s">
        <v>886</v>
      </c>
      <c r="C280" s="27" t="s">
        <v>887</v>
      </c>
      <c r="D280" s="27" t="s">
        <v>888</v>
      </c>
      <c r="E280" s="28" t="s">
        <v>46</v>
      </c>
      <c r="F280" s="29" t="s">
        <v>46</v>
      </c>
      <c r="G280" s="30" t="s">
        <v>46</v>
      </c>
      <c r="H280" s="31"/>
      <c r="I280" s="31" t="s">
        <v>47</v>
      </c>
      <c r="J280" s="32" t="n">
        <v>10.0</v>
      </c>
      <c r="K280" s="33" t="n">
        <f>3200</f>
        <v>3200.0</v>
      </c>
      <c r="L280" s="34" t="s">
        <v>49</v>
      </c>
      <c r="M280" s="33" t="n">
        <f>3469</f>
        <v>3469.0</v>
      </c>
      <c r="N280" s="34" t="s">
        <v>62</v>
      </c>
      <c r="O280" s="33" t="n">
        <f>2937</f>
        <v>2937.0</v>
      </c>
      <c r="P280" s="34" t="s">
        <v>156</v>
      </c>
      <c r="Q280" s="33" t="n">
        <f>3247</f>
        <v>3247.0</v>
      </c>
      <c r="R280" s="34" t="s">
        <v>51</v>
      </c>
      <c r="S280" s="35" t="n">
        <f>3175.22</f>
        <v>3175.22</v>
      </c>
      <c r="T280" s="32" t="n">
        <f>2850</f>
        <v>2850.0</v>
      </c>
      <c r="U280" s="32" t="str">
        <f>"－"</f>
        <v>－</v>
      </c>
      <c r="V280" s="32" t="n">
        <f>9187620</f>
        <v>9187620.0</v>
      </c>
      <c r="W280" s="32" t="str">
        <f>"－"</f>
        <v>－</v>
      </c>
      <c r="X280" s="36" t="n">
        <f>9</f>
        <v>9.0</v>
      </c>
    </row>
    <row r="281">
      <c r="A281" s="27" t="s">
        <v>42</v>
      </c>
      <c r="B281" s="27" t="s">
        <v>889</v>
      </c>
      <c r="C281" s="27" t="s">
        <v>890</v>
      </c>
      <c r="D281" s="27" t="s">
        <v>891</v>
      </c>
      <c r="E281" s="28" t="s">
        <v>46</v>
      </c>
      <c r="F281" s="29" t="s">
        <v>46</v>
      </c>
      <c r="G281" s="30" t="s">
        <v>46</v>
      </c>
      <c r="H281" s="31"/>
      <c r="I281" s="31" t="s">
        <v>47</v>
      </c>
      <c r="J281" s="32" t="n">
        <v>1.0</v>
      </c>
      <c r="K281" s="33" t="n">
        <f>4142</f>
        <v>4142.0</v>
      </c>
      <c r="L281" s="34" t="s">
        <v>48</v>
      </c>
      <c r="M281" s="33" t="n">
        <f>4269</f>
        <v>4269.0</v>
      </c>
      <c r="N281" s="34" t="s">
        <v>49</v>
      </c>
      <c r="O281" s="33" t="n">
        <f>3984</f>
        <v>3984.0</v>
      </c>
      <c r="P281" s="34" t="s">
        <v>50</v>
      </c>
      <c r="Q281" s="33" t="n">
        <f>4199</f>
        <v>4199.0</v>
      </c>
      <c r="R281" s="34" t="s">
        <v>51</v>
      </c>
      <c r="S281" s="35" t="n">
        <f>4165.14</f>
        <v>4165.14</v>
      </c>
      <c r="T281" s="32" t="n">
        <f>4014918</f>
        <v>4014918.0</v>
      </c>
      <c r="U281" s="32" t="n">
        <f>2366194</f>
        <v>2366194.0</v>
      </c>
      <c r="V281" s="32" t="n">
        <f>16620669913</f>
        <v>1.6620669913E10</v>
      </c>
      <c r="W281" s="32" t="n">
        <f>9747316237</f>
        <v>9.747316237E9</v>
      </c>
      <c r="X281" s="36" t="n">
        <f>22</f>
        <v>22.0</v>
      </c>
    </row>
    <row r="282">
      <c r="A282" s="27" t="s">
        <v>42</v>
      </c>
      <c r="B282" s="27" t="s">
        <v>892</v>
      </c>
      <c r="C282" s="27" t="s">
        <v>893</v>
      </c>
      <c r="D282" s="27" t="s">
        <v>894</v>
      </c>
      <c r="E282" s="28" t="s">
        <v>46</v>
      </c>
      <c r="F282" s="29" t="s">
        <v>46</v>
      </c>
      <c r="G282" s="30" t="s">
        <v>46</v>
      </c>
      <c r="H282" s="31"/>
      <c r="I282" s="31" t="s">
        <v>47</v>
      </c>
      <c r="J282" s="32" t="n">
        <v>1.0</v>
      </c>
      <c r="K282" s="33" t="n">
        <f>72220</f>
        <v>72220.0</v>
      </c>
      <c r="L282" s="34" t="s">
        <v>48</v>
      </c>
      <c r="M282" s="33" t="n">
        <f>72720</f>
        <v>72720.0</v>
      </c>
      <c r="N282" s="34" t="s">
        <v>48</v>
      </c>
      <c r="O282" s="33" t="n">
        <f>61320</f>
        <v>61320.0</v>
      </c>
      <c r="P282" s="34" t="s">
        <v>75</v>
      </c>
      <c r="Q282" s="33" t="n">
        <f>65190</f>
        <v>65190.0</v>
      </c>
      <c r="R282" s="34" t="s">
        <v>51</v>
      </c>
      <c r="S282" s="35" t="n">
        <f>67385.91</f>
        <v>67385.91</v>
      </c>
      <c r="T282" s="32" t="n">
        <f>365043</f>
        <v>365043.0</v>
      </c>
      <c r="U282" s="32" t="n">
        <f>155920</f>
        <v>155920.0</v>
      </c>
      <c r="V282" s="32" t="n">
        <f>24671491556</f>
        <v>2.4671491556E10</v>
      </c>
      <c r="W282" s="32" t="n">
        <f>10508618596</f>
        <v>1.0508618596E10</v>
      </c>
      <c r="X282" s="36" t="n">
        <f>22</f>
        <v>22.0</v>
      </c>
    </row>
    <row r="283">
      <c r="A283" s="27" t="s">
        <v>42</v>
      </c>
      <c r="B283" s="27" t="s">
        <v>895</v>
      </c>
      <c r="C283" s="27" t="s">
        <v>896</v>
      </c>
      <c r="D283" s="27" t="s">
        <v>897</v>
      </c>
      <c r="E283" s="28" t="s">
        <v>46</v>
      </c>
      <c r="F283" s="29" t="s">
        <v>46</v>
      </c>
      <c r="G283" s="30" t="s">
        <v>46</v>
      </c>
      <c r="H283" s="31"/>
      <c r="I283" s="31" t="s">
        <v>47</v>
      </c>
      <c r="J283" s="32" t="n">
        <v>1.0</v>
      </c>
      <c r="K283" s="33" t="n">
        <f>37640</f>
        <v>37640.0</v>
      </c>
      <c r="L283" s="34" t="s">
        <v>48</v>
      </c>
      <c r="M283" s="33" t="n">
        <f>38230</f>
        <v>38230.0</v>
      </c>
      <c r="N283" s="34" t="s">
        <v>49</v>
      </c>
      <c r="O283" s="33" t="n">
        <f>36350</f>
        <v>36350.0</v>
      </c>
      <c r="P283" s="34" t="s">
        <v>197</v>
      </c>
      <c r="Q283" s="33" t="n">
        <f>37110</f>
        <v>37110.0</v>
      </c>
      <c r="R283" s="34" t="s">
        <v>51</v>
      </c>
      <c r="S283" s="35" t="n">
        <f>37202.78</f>
        <v>37202.78</v>
      </c>
      <c r="T283" s="32" t="n">
        <f>84543</f>
        <v>84543.0</v>
      </c>
      <c r="U283" s="32" t="n">
        <f>32208</f>
        <v>32208.0</v>
      </c>
      <c r="V283" s="32" t="n">
        <f>3133980227</f>
        <v>3.133980227E9</v>
      </c>
      <c r="W283" s="32" t="n">
        <f>1191652677</f>
        <v>1.191652677E9</v>
      </c>
      <c r="X283" s="36" t="n">
        <f>18</f>
        <v>18.0</v>
      </c>
    </row>
    <row r="284">
      <c r="A284" s="27" t="s">
        <v>42</v>
      </c>
      <c r="B284" s="27" t="s">
        <v>898</v>
      </c>
      <c r="C284" s="27" t="s">
        <v>899</v>
      </c>
      <c r="D284" s="27" t="s">
        <v>900</v>
      </c>
      <c r="E284" s="28" t="s">
        <v>46</v>
      </c>
      <c r="F284" s="29" t="s">
        <v>46</v>
      </c>
      <c r="G284" s="30" t="s">
        <v>46</v>
      </c>
      <c r="H284" s="31"/>
      <c r="I284" s="31" t="s">
        <v>47</v>
      </c>
      <c r="J284" s="32" t="n">
        <v>1.0</v>
      </c>
      <c r="K284" s="33" t="n">
        <f>1125</f>
        <v>1125.0</v>
      </c>
      <c r="L284" s="34" t="s">
        <v>48</v>
      </c>
      <c r="M284" s="33" t="n">
        <f>1202</f>
        <v>1202.0</v>
      </c>
      <c r="N284" s="34" t="s">
        <v>224</v>
      </c>
      <c r="O284" s="33" t="n">
        <f>1110</f>
        <v>1110.0</v>
      </c>
      <c r="P284" s="34" t="s">
        <v>70</v>
      </c>
      <c r="Q284" s="33" t="n">
        <f>1154</f>
        <v>1154.0</v>
      </c>
      <c r="R284" s="34" t="s">
        <v>51</v>
      </c>
      <c r="S284" s="35" t="n">
        <f>1140.59</f>
        <v>1140.59</v>
      </c>
      <c r="T284" s="32" t="n">
        <f>3141700</f>
        <v>3141700.0</v>
      </c>
      <c r="U284" s="32" t="n">
        <f>1582573</f>
        <v>1582573.0</v>
      </c>
      <c r="V284" s="32" t="n">
        <f>3586977653</f>
        <v>3.586977653E9</v>
      </c>
      <c r="W284" s="32" t="n">
        <f>1805928019</f>
        <v>1.805928019E9</v>
      </c>
      <c r="X284" s="36" t="n">
        <f>22</f>
        <v>22.0</v>
      </c>
    </row>
    <row r="285">
      <c r="A285" s="27" t="s">
        <v>42</v>
      </c>
      <c r="B285" s="27" t="s">
        <v>901</v>
      </c>
      <c r="C285" s="27" t="s">
        <v>902</v>
      </c>
      <c r="D285" s="27" t="s">
        <v>903</v>
      </c>
      <c r="E285" s="28" t="s">
        <v>46</v>
      </c>
      <c r="F285" s="29" t="s">
        <v>46</v>
      </c>
      <c r="G285" s="30" t="s">
        <v>46</v>
      </c>
      <c r="H285" s="31"/>
      <c r="I285" s="31" t="s">
        <v>47</v>
      </c>
      <c r="J285" s="32" t="n">
        <v>1.0</v>
      </c>
      <c r="K285" s="33" t="n">
        <f>1101</f>
        <v>1101.0</v>
      </c>
      <c r="L285" s="34" t="s">
        <v>48</v>
      </c>
      <c r="M285" s="33" t="n">
        <f>1160</f>
        <v>1160.0</v>
      </c>
      <c r="N285" s="34" t="s">
        <v>75</v>
      </c>
      <c r="O285" s="33" t="n">
        <f>1090</f>
        <v>1090.0</v>
      </c>
      <c r="P285" s="34" t="s">
        <v>48</v>
      </c>
      <c r="Q285" s="33" t="n">
        <f>1135</f>
        <v>1135.0</v>
      </c>
      <c r="R285" s="34" t="s">
        <v>51</v>
      </c>
      <c r="S285" s="35" t="n">
        <f>1124</f>
        <v>1124.0</v>
      </c>
      <c r="T285" s="32" t="n">
        <f>1064328</f>
        <v>1064328.0</v>
      </c>
      <c r="U285" s="32" t="n">
        <f>522635</f>
        <v>522635.0</v>
      </c>
      <c r="V285" s="32" t="n">
        <f>1207314142</f>
        <v>1.207314142E9</v>
      </c>
      <c r="W285" s="32" t="n">
        <f>594357492</f>
        <v>5.94357492E8</v>
      </c>
      <c r="X285" s="36" t="n">
        <f>22</f>
        <v>22.0</v>
      </c>
    </row>
    <row r="286">
      <c r="A286" s="27" t="s">
        <v>42</v>
      </c>
      <c r="B286" s="27" t="s">
        <v>904</v>
      </c>
      <c r="C286" s="27" t="s">
        <v>905</v>
      </c>
      <c r="D286" s="27" t="s">
        <v>906</v>
      </c>
      <c r="E286" s="28" t="s">
        <v>46</v>
      </c>
      <c r="F286" s="29" t="s">
        <v>46</v>
      </c>
      <c r="G286" s="30" t="s">
        <v>46</v>
      </c>
      <c r="H286" s="31"/>
      <c r="I286" s="31" t="s">
        <v>47</v>
      </c>
      <c r="J286" s="32" t="n">
        <v>1.0</v>
      </c>
      <c r="K286" s="33" t="n">
        <f>2200</f>
        <v>2200.0</v>
      </c>
      <c r="L286" s="34" t="s">
        <v>48</v>
      </c>
      <c r="M286" s="33" t="n">
        <f>2350</f>
        <v>2350.0</v>
      </c>
      <c r="N286" s="34" t="s">
        <v>75</v>
      </c>
      <c r="O286" s="33" t="n">
        <f>2167</f>
        <v>2167.0</v>
      </c>
      <c r="P286" s="34" t="s">
        <v>48</v>
      </c>
      <c r="Q286" s="33" t="n">
        <f>2297</f>
        <v>2297.0</v>
      </c>
      <c r="R286" s="34" t="s">
        <v>51</v>
      </c>
      <c r="S286" s="35" t="n">
        <f>2256.68</f>
        <v>2256.68</v>
      </c>
      <c r="T286" s="32" t="n">
        <f>442230</f>
        <v>442230.0</v>
      </c>
      <c r="U286" s="32" t="n">
        <f>136440</f>
        <v>136440.0</v>
      </c>
      <c r="V286" s="32" t="n">
        <f>997731761</f>
        <v>9.97731761E8</v>
      </c>
      <c r="W286" s="32" t="n">
        <f>310688981</f>
        <v>3.10688981E8</v>
      </c>
      <c r="X286" s="36" t="n">
        <f>22</f>
        <v>22.0</v>
      </c>
    </row>
    <row r="287">
      <c r="A287" s="27" t="s">
        <v>42</v>
      </c>
      <c r="B287" s="27" t="s">
        <v>907</v>
      </c>
      <c r="C287" s="27" t="s">
        <v>908</v>
      </c>
      <c r="D287" s="27" t="s">
        <v>909</v>
      </c>
      <c r="E287" s="28" t="s">
        <v>46</v>
      </c>
      <c r="F287" s="29" t="s">
        <v>46</v>
      </c>
      <c r="G287" s="30" t="s">
        <v>46</v>
      </c>
      <c r="H287" s="31"/>
      <c r="I287" s="31" t="s">
        <v>47</v>
      </c>
      <c r="J287" s="32" t="n">
        <v>1.0</v>
      </c>
      <c r="K287" s="33" t="n">
        <f>18530</f>
        <v>18530.0</v>
      </c>
      <c r="L287" s="34" t="s">
        <v>48</v>
      </c>
      <c r="M287" s="33" t="n">
        <f>18530</f>
        <v>18530.0</v>
      </c>
      <c r="N287" s="34" t="s">
        <v>48</v>
      </c>
      <c r="O287" s="33" t="n">
        <f>17020</f>
        <v>17020.0</v>
      </c>
      <c r="P287" s="34" t="s">
        <v>50</v>
      </c>
      <c r="Q287" s="33" t="n">
        <f>17670</f>
        <v>17670.0</v>
      </c>
      <c r="R287" s="34" t="s">
        <v>51</v>
      </c>
      <c r="S287" s="35" t="n">
        <f>17869.77</f>
        <v>17869.77</v>
      </c>
      <c r="T287" s="32" t="n">
        <f>1197</f>
        <v>1197.0</v>
      </c>
      <c r="U287" s="32" t="str">
        <f>"－"</f>
        <v>－</v>
      </c>
      <c r="V287" s="32" t="n">
        <f>21481565</f>
        <v>2.1481565E7</v>
      </c>
      <c r="W287" s="32" t="str">
        <f>"－"</f>
        <v>－</v>
      </c>
      <c r="X287" s="36" t="n">
        <f>22</f>
        <v>22.0</v>
      </c>
    </row>
    <row r="288">
      <c r="A288" s="27" t="s">
        <v>42</v>
      </c>
      <c r="B288" s="27" t="s">
        <v>910</v>
      </c>
      <c r="C288" s="27" t="s">
        <v>911</v>
      </c>
      <c r="D288" s="27" t="s">
        <v>912</v>
      </c>
      <c r="E288" s="28" t="s">
        <v>46</v>
      </c>
      <c r="F288" s="29" t="s">
        <v>46</v>
      </c>
      <c r="G288" s="30" t="s">
        <v>46</v>
      </c>
      <c r="H288" s="31"/>
      <c r="I288" s="31" t="s">
        <v>47</v>
      </c>
      <c r="J288" s="32" t="n">
        <v>1.0</v>
      </c>
      <c r="K288" s="33" t="n">
        <f>1959</f>
        <v>1959.0</v>
      </c>
      <c r="L288" s="34" t="s">
        <v>48</v>
      </c>
      <c r="M288" s="33" t="n">
        <f>2061</f>
        <v>2061.0</v>
      </c>
      <c r="N288" s="34" t="s">
        <v>197</v>
      </c>
      <c r="O288" s="33" t="n">
        <f>1924</f>
        <v>1924.0</v>
      </c>
      <c r="P288" s="34" t="s">
        <v>69</v>
      </c>
      <c r="Q288" s="33" t="n">
        <f>2013</f>
        <v>2013.0</v>
      </c>
      <c r="R288" s="34" t="s">
        <v>51</v>
      </c>
      <c r="S288" s="35" t="n">
        <f>1987.55</f>
        <v>1987.55</v>
      </c>
      <c r="T288" s="32" t="n">
        <f>133764</f>
        <v>133764.0</v>
      </c>
      <c r="U288" s="32" t="str">
        <f>"－"</f>
        <v>－</v>
      </c>
      <c r="V288" s="32" t="n">
        <f>268245675</f>
        <v>2.68245675E8</v>
      </c>
      <c r="W288" s="32" t="str">
        <f>"－"</f>
        <v>－</v>
      </c>
      <c r="X288" s="36" t="n">
        <f>22</f>
        <v>22.0</v>
      </c>
    </row>
    <row r="289">
      <c r="A289" s="27" t="s">
        <v>42</v>
      </c>
      <c r="B289" s="27" t="s">
        <v>913</v>
      </c>
      <c r="C289" s="27" t="s">
        <v>914</v>
      </c>
      <c r="D289" s="27" t="s">
        <v>915</v>
      </c>
      <c r="E289" s="28" t="s">
        <v>46</v>
      </c>
      <c r="F289" s="29" t="s">
        <v>46</v>
      </c>
      <c r="G289" s="30" t="s">
        <v>46</v>
      </c>
      <c r="H289" s="31"/>
      <c r="I289" s="31" t="s">
        <v>47</v>
      </c>
      <c r="J289" s="32" t="n">
        <v>10.0</v>
      </c>
      <c r="K289" s="33" t="n">
        <f>2781</f>
        <v>2781.0</v>
      </c>
      <c r="L289" s="34" t="s">
        <v>48</v>
      </c>
      <c r="M289" s="33" t="n">
        <f>2850</f>
        <v>2850.0</v>
      </c>
      <c r="N289" s="34" t="s">
        <v>69</v>
      </c>
      <c r="O289" s="33" t="n">
        <f>2296</f>
        <v>2296.0</v>
      </c>
      <c r="P289" s="34" t="s">
        <v>197</v>
      </c>
      <c r="Q289" s="33" t="n">
        <f>2340</f>
        <v>2340.0</v>
      </c>
      <c r="R289" s="34" t="s">
        <v>51</v>
      </c>
      <c r="S289" s="35" t="n">
        <f>2533.32</f>
        <v>2533.32</v>
      </c>
      <c r="T289" s="32" t="n">
        <f>70660</f>
        <v>70660.0</v>
      </c>
      <c r="U289" s="32" t="str">
        <f>"－"</f>
        <v>－</v>
      </c>
      <c r="V289" s="32" t="n">
        <f>179291410</f>
        <v>1.7929141E8</v>
      </c>
      <c r="W289" s="32" t="str">
        <f>"－"</f>
        <v>－</v>
      </c>
      <c r="X289" s="36" t="n">
        <f>22</f>
        <v>22.0</v>
      </c>
    </row>
    <row r="290">
      <c r="A290" s="27" t="s">
        <v>42</v>
      </c>
      <c r="B290" s="27" t="s">
        <v>916</v>
      </c>
      <c r="C290" s="27" t="s">
        <v>917</v>
      </c>
      <c r="D290" s="27" t="s">
        <v>918</v>
      </c>
      <c r="E290" s="28" t="s">
        <v>46</v>
      </c>
      <c r="F290" s="29" t="s">
        <v>46</v>
      </c>
      <c r="G290" s="30" t="s">
        <v>46</v>
      </c>
      <c r="H290" s="31"/>
      <c r="I290" s="31" t="s">
        <v>47</v>
      </c>
      <c r="J290" s="32" t="n">
        <v>10.0</v>
      </c>
      <c r="K290" s="33" t="n">
        <f>757.8</f>
        <v>757.8</v>
      </c>
      <c r="L290" s="34" t="s">
        <v>48</v>
      </c>
      <c r="M290" s="33" t="n">
        <f>759</f>
        <v>759.0</v>
      </c>
      <c r="N290" s="34" t="s">
        <v>75</v>
      </c>
      <c r="O290" s="33" t="n">
        <f>729</f>
        <v>729.0</v>
      </c>
      <c r="P290" s="34" t="s">
        <v>75</v>
      </c>
      <c r="Q290" s="33" t="n">
        <f>751.3</f>
        <v>751.3</v>
      </c>
      <c r="R290" s="34" t="s">
        <v>51</v>
      </c>
      <c r="S290" s="35" t="n">
        <f>751.61</f>
        <v>751.61</v>
      </c>
      <c r="T290" s="32" t="n">
        <f>74180</f>
        <v>74180.0</v>
      </c>
      <c r="U290" s="32" t="n">
        <f>530</f>
        <v>530.0</v>
      </c>
      <c r="V290" s="32" t="n">
        <f>55584887</f>
        <v>5.5584887E7</v>
      </c>
      <c r="W290" s="32" t="n">
        <f>397519</f>
        <v>397519.0</v>
      </c>
      <c r="X290" s="36" t="n">
        <f>22</f>
        <v>22.0</v>
      </c>
    </row>
    <row r="291">
      <c r="A291" s="27" t="s">
        <v>42</v>
      </c>
      <c r="B291" s="27" t="s">
        <v>919</v>
      </c>
      <c r="C291" s="27" t="s">
        <v>920</v>
      </c>
      <c r="D291" s="27" t="s">
        <v>921</v>
      </c>
      <c r="E291" s="28" t="s">
        <v>46</v>
      </c>
      <c r="F291" s="29" t="s">
        <v>46</v>
      </c>
      <c r="G291" s="30" t="s">
        <v>46</v>
      </c>
      <c r="H291" s="31"/>
      <c r="I291" s="31" t="s">
        <v>47</v>
      </c>
      <c r="J291" s="32" t="n">
        <v>10.0</v>
      </c>
      <c r="K291" s="33" t="n">
        <f>1893.5</f>
        <v>1893.5</v>
      </c>
      <c r="L291" s="34" t="s">
        <v>48</v>
      </c>
      <c r="M291" s="33" t="n">
        <f>1960</f>
        <v>1960.0</v>
      </c>
      <c r="N291" s="34" t="s">
        <v>75</v>
      </c>
      <c r="O291" s="33" t="n">
        <f>1831</f>
        <v>1831.0</v>
      </c>
      <c r="P291" s="34" t="s">
        <v>116</v>
      </c>
      <c r="Q291" s="33" t="n">
        <f>1900.5</f>
        <v>1900.5</v>
      </c>
      <c r="R291" s="34" t="s">
        <v>51</v>
      </c>
      <c r="S291" s="35" t="n">
        <f>1904.16</f>
        <v>1904.16</v>
      </c>
      <c r="T291" s="32" t="n">
        <f>1001400</f>
        <v>1001400.0</v>
      </c>
      <c r="U291" s="32" t="n">
        <f>60980</f>
        <v>60980.0</v>
      </c>
      <c r="V291" s="32" t="n">
        <f>1900872416</f>
        <v>1.900872416E9</v>
      </c>
      <c r="W291" s="32" t="n">
        <f>115680561</f>
        <v>1.15680561E8</v>
      </c>
      <c r="X291" s="36" t="n">
        <f>22</f>
        <v>22.0</v>
      </c>
    </row>
    <row r="292">
      <c r="A292" s="27" t="s">
        <v>42</v>
      </c>
      <c r="B292" s="27" t="s">
        <v>922</v>
      </c>
      <c r="C292" s="27" t="s">
        <v>923</v>
      </c>
      <c r="D292" s="27" t="s">
        <v>924</v>
      </c>
      <c r="E292" s="28" t="s">
        <v>46</v>
      </c>
      <c r="F292" s="29" t="s">
        <v>46</v>
      </c>
      <c r="G292" s="30" t="s">
        <v>46</v>
      </c>
      <c r="H292" s="31"/>
      <c r="I292" s="31" t="s">
        <v>47</v>
      </c>
      <c r="J292" s="32" t="n">
        <v>10.0</v>
      </c>
      <c r="K292" s="33" t="n">
        <f>1878.5</f>
        <v>1878.5</v>
      </c>
      <c r="L292" s="34" t="s">
        <v>48</v>
      </c>
      <c r="M292" s="33" t="n">
        <f>1960</f>
        <v>1960.0</v>
      </c>
      <c r="N292" s="34" t="s">
        <v>197</v>
      </c>
      <c r="O292" s="33" t="n">
        <f>1848</f>
        <v>1848.0</v>
      </c>
      <c r="P292" s="34" t="s">
        <v>48</v>
      </c>
      <c r="Q292" s="33" t="n">
        <f>1920</f>
        <v>1920.0</v>
      </c>
      <c r="R292" s="34" t="s">
        <v>51</v>
      </c>
      <c r="S292" s="35" t="n">
        <f>1897.05</f>
        <v>1897.05</v>
      </c>
      <c r="T292" s="32" t="n">
        <f>4160470</f>
        <v>4160470.0</v>
      </c>
      <c r="U292" s="32" t="n">
        <f>1505260</f>
        <v>1505260.0</v>
      </c>
      <c r="V292" s="32" t="n">
        <f>7907881576</f>
        <v>7.907881576E9</v>
      </c>
      <c r="W292" s="32" t="n">
        <f>2864432411</f>
        <v>2.864432411E9</v>
      </c>
      <c r="X292" s="36" t="n">
        <f>22</f>
        <v>22.0</v>
      </c>
    </row>
    <row r="293">
      <c r="A293" s="27" t="s">
        <v>42</v>
      </c>
      <c r="B293" s="27" t="s">
        <v>925</v>
      </c>
      <c r="C293" s="27" t="s">
        <v>926</v>
      </c>
      <c r="D293" s="27" t="s">
        <v>927</v>
      </c>
      <c r="E293" s="28" t="s">
        <v>46</v>
      </c>
      <c r="F293" s="29" t="s">
        <v>46</v>
      </c>
      <c r="G293" s="30" t="s">
        <v>46</v>
      </c>
      <c r="H293" s="31"/>
      <c r="I293" s="31" t="s">
        <v>47</v>
      </c>
      <c r="J293" s="32" t="n">
        <v>10.0</v>
      </c>
      <c r="K293" s="33" t="n">
        <f>4096</f>
        <v>4096.0</v>
      </c>
      <c r="L293" s="34" t="s">
        <v>48</v>
      </c>
      <c r="M293" s="33" t="n">
        <f>4162</f>
        <v>4162.0</v>
      </c>
      <c r="N293" s="34" t="s">
        <v>49</v>
      </c>
      <c r="O293" s="33" t="n">
        <f>3909</f>
        <v>3909.0</v>
      </c>
      <c r="P293" s="34" t="s">
        <v>50</v>
      </c>
      <c r="Q293" s="33" t="n">
        <f>4067</f>
        <v>4067.0</v>
      </c>
      <c r="R293" s="34" t="s">
        <v>51</v>
      </c>
      <c r="S293" s="35" t="n">
        <f>4064.38</f>
        <v>4064.38</v>
      </c>
      <c r="T293" s="32" t="n">
        <f>2244550</f>
        <v>2244550.0</v>
      </c>
      <c r="U293" s="32" t="n">
        <f>2008090</f>
        <v>2008090.0</v>
      </c>
      <c r="V293" s="32" t="n">
        <f>9152964085</f>
        <v>9.152964085E9</v>
      </c>
      <c r="W293" s="32" t="n">
        <f>8193689765</f>
        <v>8.193689765E9</v>
      </c>
      <c r="X293" s="36" t="n">
        <f>21</f>
        <v>21.0</v>
      </c>
    </row>
    <row r="294">
      <c r="A294" s="27" t="s">
        <v>42</v>
      </c>
      <c r="B294" s="27" t="s">
        <v>928</v>
      </c>
      <c r="C294" s="27" t="s">
        <v>929</v>
      </c>
      <c r="D294" s="27" t="s">
        <v>930</v>
      </c>
      <c r="E294" s="28" t="s">
        <v>46</v>
      </c>
      <c r="F294" s="29" t="s">
        <v>46</v>
      </c>
      <c r="G294" s="30" t="s">
        <v>46</v>
      </c>
      <c r="H294" s="31"/>
      <c r="I294" s="31" t="s">
        <v>47</v>
      </c>
      <c r="J294" s="32" t="n">
        <v>1.0</v>
      </c>
      <c r="K294" s="33" t="n">
        <f>3500</f>
        <v>3500.0</v>
      </c>
      <c r="L294" s="34" t="s">
        <v>48</v>
      </c>
      <c r="M294" s="33" t="n">
        <f>3534</f>
        <v>3534.0</v>
      </c>
      <c r="N294" s="34" t="s">
        <v>249</v>
      </c>
      <c r="O294" s="33" t="n">
        <f>3435</f>
        <v>3435.0</v>
      </c>
      <c r="P294" s="34" t="s">
        <v>51</v>
      </c>
      <c r="Q294" s="33" t="n">
        <f>3451</f>
        <v>3451.0</v>
      </c>
      <c r="R294" s="34" t="s">
        <v>51</v>
      </c>
      <c r="S294" s="35" t="n">
        <f>3494.27</f>
        <v>3494.27</v>
      </c>
      <c r="T294" s="32" t="n">
        <f>4996230</f>
        <v>4996230.0</v>
      </c>
      <c r="U294" s="32" t="n">
        <f>1012433</f>
        <v>1012433.0</v>
      </c>
      <c r="V294" s="32" t="n">
        <f>17439345772</f>
        <v>1.7439345772E10</v>
      </c>
      <c r="W294" s="32" t="n">
        <f>3534889437</f>
        <v>3.534889437E9</v>
      </c>
      <c r="X294" s="36" t="n">
        <f>22</f>
        <v>22.0</v>
      </c>
    </row>
    <row r="295">
      <c r="A295" s="27" t="s">
        <v>42</v>
      </c>
      <c r="B295" s="27" t="s">
        <v>931</v>
      </c>
      <c r="C295" s="27" t="s">
        <v>932</v>
      </c>
      <c r="D295" s="27" t="s">
        <v>933</v>
      </c>
      <c r="E295" s="28" t="s">
        <v>46</v>
      </c>
      <c r="F295" s="29" t="s">
        <v>46</v>
      </c>
      <c r="G295" s="30" t="s">
        <v>46</v>
      </c>
      <c r="H295" s="31"/>
      <c r="I295" s="31" t="s">
        <v>47</v>
      </c>
      <c r="J295" s="32" t="n">
        <v>1.0</v>
      </c>
      <c r="K295" s="33" t="n">
        <f>2990</f>
        <v>2990.0</v>
      </c>
      <c r="L295" s="34" t="s">
        <v>48</v>
      </c>
      <c r="M295" s="33" t="n">
        <f>3007</f>
        <v>3007.0</v>
      </c>
      <c r="N295" s="34" t="s">
        <v>49</v>
      </c>
      <c r="O295" s="33" t="n">
        <f>2937</f>
        <v>2937.0</v>
      </c>
      <c r="P295" s="34" t="s">
        <v>197</v>
      </c>
      <c r="Q295" s="33" t="n">
        <f>2968</f>
        <v>2968.0</v>
      </c>
      <c r="R295" s="34" t="s">
        <v>51</v>
      </c>
      <c r="S295" s="35" t="n">
        <f>2980.73</f>
        <v>2980.73</v>
      </c>
      <c r="T295" s="32" t="n">
        <f>7401354</f>
        <v>7401354.0</v>
      </c>
      <c r="U295" s="32" t="n">
        <f>213279</f>
        <v>213279.0</v>
      </c>
      <c r="V295" s="32" t="n">
        <f>22054244176</f>
        <v>2.2054244176E10</v>
      </c>
      <c r="W295" s="32" t="n">
        <f>636230462</f>
        <v>6.36230462E8</v>
      </c>
      <c r="X295" s="36" t="n">
        <f>22</f>
        <v>22.0</v>
      </c>
    </row>
    <row r="296">
      <c r="A296" s="27" t="s">
        <v>42</v>
      </c>
      <c r="B296" s="27" t="s">
        <v>934</v>
      </c>
      <c r="C296" s="27" t="s">
        <v>935</v>
      </c>
      <c r="D296" s="27" t="s">
        <v>936</v>
      </c>
      <c r="E296" s="28" t="s">
        <v>46</v>
      </c>
      <c r="F296" s="29" t="s">
        <v>46</v>
      </c>
      <c r="G296" s="30" t="s">
        <v>46</v>
      </c>
      <c r="H296" s="31"/>
      <c r="I296" s="31" t="s">
        <v>47</v>
      </c>
      <c r="J296" s="32" t="n">
        <v>1.0</v>
      </c>
      <c r="K296" s="33" t="n">
        <f>52060</f>
        <v>52060.0</v>
      </c>
      <c r="L296" s="34" t="s">
        <v>214</v>
      </c>
      <c r="M296" s="33" t="n">
        <f>63010</f>
        <v>63010.0</v>
      </c>
      <c r="N296" s="34" t="s">
        <v>62</v>
      </c>
      <c r="O296" s="33" t="n">
        <f>52060</f>
        <v>52060.0</v>
      </c>
      <c r="P296" s="34" t="s">
        <v>214</v>
      </c>
      <c r="Q296" s="33" t="n">
        <f>53970</f>
        <v>53970.0</v>
      </c>
      <c r="R296" s="34" t="s">
        <v>51</v>
      </c>
      <c r="S296" s="35" t="n">
        <f>53570</f>
        <v>53570.0</v>
      </c>
      <c r="T296" s="32" t="n">
        <f>152</f>
        <v>152.0</v>
      </c>
      <c r="U296" s="32" t="str">
        <f>"－"</f>
        <v>－</v>
      </c>
      <c r="V296" s="32" t="n">
        <f>8518500</f>
        <v>8518500.0</v>
      </c>
      <c r="W296" s="32" t="str">
        <f>"－"</f>
        <v>－</v>
      </c>
      <c r="X296" s="36" t="n">
        <f>6</f>
        <v>6.0</v>
      </c>
    </row>
    <row r="297">
      <c r="A297" s="27" t="s">
        <v>42</v>
      </c>
      <c r="B297" s="27" t="s">
        <v>937</v>
      </c>
      <c r="C297" s="27" t="s">
        <v>938</v>
      </c>
      <c r="D297" s="27" t="s">
        <v>939</v>
      </c>
      <c r="E297" s="28" t="s">
        <v>46</v>
      </c>
      <c r="F297" s="29" t="s">
        <v>46</v>
      </c>
      <c r="G297" s="30" t="s">
        <v>46</v>
      </c>
      <c r="H297" s="31"/>
      <c r="I297" s="31" t="s">
        <v>47</v>
      </c>
      <c r="J297" s="32" t="n">
        <v>1.0</v>
      </c>
      <c r="K297" s="33" t="n">
        <f>2010</f>
        <v>2010.0</v>
      </c>
      <c r="L297" s="34" t="s">
        <v>48</v>
      </c>
      <c r="M297" s="33" t="n">
        <f>2019</f>
        <v>2019.0</v>
      </c>
      <c r="N297" s="34" t="s">
        <v>474</v>
      </c>
      <c r="O297" s="33" t="n">
        <f>1978</f>
        <v>1978.0</v>
      </c>
      <c r="P297" s="34" t="s">
        <v>70</v>
      </c>
      <c r="Q297" s="33" t="n">
        <f>1990</f>
        <v>1990.0</v>
      </c>
      <c r="R297" s="34" t="s">
        <v>51</v>
      </c>
      <c r="S297" s="35" t="n">
        <f>2000.32</f>
        <v>2000.32</v>
      </c>
      <c r="T297" s="32" t="n">
        <f>10332000</f>
        <v>1.0332E7</v>
      </c>
      <c r="U297" s="32" t="n">
        <f>9982429</f>
        <v>9982429.0</v>
      </c>
      <c r="V297" s="32" t="n">
        <f>20596558555</f>
        <v>2.0596558555E10</v>
      </c>
      <c r="W297" s="32" t="n">
        <f>19898094541</f>
        <v>1.9898094541E10</v>
      </c>
      <c r="X297" s="36" t="n">
        <f>22</f>
        <v>22.0</v>
      </c>
    </row>
    <row r="298">
      <c r="A298" s="27" t="s">
        <v>42</v>
      </c>
      <c r="B298" s="27" t="s">
        <v>940</v>
      </c>
      <c r="C298" s="27" t="s">
        <v>941</v>
      </c>
      <c r="D298" s="27" t="s">
        <v>942</v>
      </c>
      <c r="E298" s="28" t="s">
        <v>46</v>
      </c>
      <c r="F298" s="29" t="s">
        <v>46</v>
      </c>
      <c r="G298" s="30" t="s">
        <v>46</v>
      </c>
      <c r="H298" s="31"/>
      <c r="I298" s="31" t="s">
        <v>47</v>
      </c>
      <c r="J298" s="32" t="n">
        <v>1.0</v>
      </c>
      <c r="K298" s="33" t="n">
        <f>3660</f>
        <v>3660.0</v>
      </c>
      <c r="L298" s="34" t="s">
        <v>48</v>
      </c>
      <c r="M298" s="33" t="n">
        <f>3740</f>
        <v>3740.0</v>
      </c>
      <c r="N298" s="34" t="s">
        <v>58</v>
      </c>
      <c r="O298" s="33" t="n">
        <f>3575</f>
        <v>3575.0</v>
      </c>
      <c r="P298" s="34" t="s">
        <v>48</v>
      </c>
      <c r="Q298" s="33" t="n">
        <f>3649</f>
        <v>3649.0</v>
      </c>
      <c r="R298" s="34" t="s">
        <v>51</v>
      </c>
      <c r="S298" s="35" t="n">
        <f>3648.64</f>
        <v>3648.64</v>
      </c>
      <c r="T298" s="32" t="n">
        <f>1054936</f>
        <v>1054936.0</v>
      </c>
      <c r="U298" s="32" t="n">
        <f>783980</f>
        <v>783980.0</v>
      </c>
      <c r="V298" s="32" t="n">
        <f>3862762195</f>
        <v>3.862762195E9</v>
      </c>
      <c r="W298" s="32" t="n">
        <f>2873300938</f>
        <v>2.873300938E9</v>
      </c>
      <c r="X298" s="36" t="n">
        <f>22</f>
        <v>22.0</v>
      </c>
    </row>
    <row r="299">
      <c r="A299" s="27" t="s">
        <v>42</v>
      </c>
      <c r="B299" s="27" t="s">
        <v>943</v>
      </c>
      <c r="C299" s="27" t="s">
        <v>944</v>
      </c>
      <c r="D299" s="27" t="s">
        <v>945</v>
      </c>
      <c r="E299" s="28" t="s">
        <v>46</v>
      </c>
      <c r="F299" s="29" t="s">
        <v>46</v>
      </c>
      <c r="G299" s="30" t="s">
        <v>46</v>
      </c>
      <c r="H299" s="31"/>
      <c r="I299" s="31" t="s">
        <v>47</v>
      </c>
      <c r="J299" s="32" t="n">
        <v>10.0</v>
      </c>
      <c r="K299" s="33" t="n">
        <f>398.4</f>
        <v>398.4</v>
      </c>
      <c r="L299" s="34" t="s">
        <v>48</v>
      </c>
      <c r="M299" s="33" t="n">
        <f>403</f>
        <v>403.0</v>
      </c>
      <c r="N299" s="34" t="s">
        <v>249</v>
      </c>
      <c r="O299" s="33" t="n">
        <f>388.8</f>
        <v>388.8</v>
      </c>
      <c r="P299" s="34" t="s">
        <v>197</v>
      </c>
      <c r="Q299" s="33" t="n">
        <f>397</f>
        <v>397.0</v>
      </c>
      <c r="R299" s="34" t="s">
        <v>51</v>
      </c>
      <c r="S299" s="35" t="n">
        <f>397.5</f>
        <v>397.5</v>
      </c>
      <c r="T299" s="32" t="n">
        <f>24916020</f>
        <v>2.491602E7</v>
      </c>
      <c r="U299" s="32" t="n">
        <f>17000080</f>
        <v>1.700008E7</v>
      </c>
      <c r="V299" s="32" t="n">
        <f>9905322689</f>
        <v>9.905322689E9</v>
      </c>
      <c r="W299" s="32" t="n">
        <f>6752525297</f>
        <v>6.752525297E9</v>
      </c>
      <c r="X299" s="36" t="n">
        <f>22</f>
        <v>22.0</v>
      </c>
    </row>
    <row r="300">
      <c r="A300" s="27" t="s">
        <v>42</v>
      </c>
      <c r="B300" s="27" t="s">
        <v>946</v>
      </c>
      <c r="C300" s="27" t="s">
        <v>947</v>
      </c>
      <c r="D300" s="27" t="s">
        <v>948</v>
      </c>
      <c r="E300" s="28" t="s">
        <v>46</v>
      </c>
      <c r="F300" s="29" t="s">
        <v>46</v>
      </c>
      <c r="G300" s="30" t="s">
        <v>46</v>
      </c>
      <c r="H300" s="31"/>
      <c r="I300" s="31" t="s">
        <v>47</v>
      </c>
      <c r="J300" s="32" t="n">
        <v>1.0</v>
      </c>
      <c r="K300" s="33" t="n">
        <f>3336</f>
        <v>3336.0</v>
      </c>
      <c r="L300" s="34" t="s">
        <v>48</v>
      </c>
      <c r="M300" s="33" t="n">
        <f>3576</f>
        <v>3576.0</v>
      </c>
      <c r="N300" s="34" t="s">
        <v>197</v>
      </c>
      <c r="O300" s="33" t="n">
        <f>3313</f>
        <v>3313.0</v>
      </c>
      <c r="P300" s="34" t="s">
        <v>48</v>
      </c>
      <c r="Q300" s="33" t="n">
        <f>3541</f>
        <v>3541.0</v>
      </c>
      <c r="R300" s="34" t="s">
        <v>51</v>
      </c>
      <c r="S300" s="35" t="n">
        <f>3459.64</f>
        <v>3459.64</v>
      </c>
      <c r="T300" s="32" t="n">
        <f>1947581</f>
        <v>1947581.0</v>
      </c>
      <c r="U300" s="32" t="n">
        <f>1247939</f>
        <v>1247939.0</v>
      </c>
      <c r="V300" s="32" t="n">
        <f>6774669406</f>
        <v>6.774669406E9</v>
      </c>
      <c r="W300" s="32" t="n">
        <f>4352156599</f>
        <v>4.352156599E9</v>
      </c>
      <c r="X300" s="36" t="n">
        <f>22</f>
        <v>22.0</v>
      </c>
    </row>
    <row r="301">
      <c r="A301" s="27" t="s">
        <v>42</v>
      </c>
      <c r="B301" s="27" t="s">
        <v>949</v>
      </c>
      <c r="C301" s="27" t="s">
        <v>950</v>
      </c>
      <c r="D301" s="27" t="s">
        <v>951</v>
      </c>
      <c r="E301" s="28" t="s">
        <v>46</v>
      </c>
      <c r="F301" s="29" t="s">
        <v>46</v>
      </c>
      <c r="G301" s="30" t="s">
        <v>46</v>
      </c>
      <c r="H301" s="31"/>
      <c r="I301" s="31" t="s">
        <v>47</v>
      </c>
      <c r="J301" s="32" t="n">
        <v>1.0</v>
      </c>
      <c r="K301" s="33" t="n">
        <f>909</f>
        <v>909.0</v>
      </c>
      <c r="L301" s="34" t="s">
        <v>48</v>
      </c>
      <c r="M301" s="33" t="n">
        <f>956</f>
        <v>956.0</v>
      </c>
      <c r="N301" s="34" t="s">
        <v>75</v>
      </c>
      <c r="O301" s="33" t="n">
        <f>885</f>
        <v>885.0</v>
      </c>
      <c r="P301" s="34" t="s">
        <v>48</v>
      </c>
      <c r="Q301" s="33" t="n">
        <f>938</f>
        <v>938.0</v>
      </c>
      <c r="R301" s="34" t="s">
        <v>51</v>
      </c>
      <c r="S301" s="35" t="n">
        <f>920.68</f>
        <v>920.68</v>
      </c>
      <c r="T301" s="32" t="n">
        <f>739599</f>
        <v>739599.0</v>
      </c>
      <c r="U301" s="32" t="n">
        <f>20</f>
        <v>20.0</v>
      </c>
      <c r="V301" s="32" t="n">
        <f>687204326</f>
        <v>6.87204326E8</v>
      </c>
      <c r="W301" s="32" t="n">
        <f>18034</f>
        <v>18034.0</v>
      </c>
      <c r="X301" s="36" t="n">
        <f>22</f>
        <v>22.0</v>
      </c>
    </row>
    <row r="302">
      <c r="A302" s="27" t="s">
        <v>42</v>
      </c>
      <c r="B302" s="27" t="s">
        <v>952</v>
      </c>
      <c r="C302" s="27" t="s">
        <v>953</v>
      </c>
      <c r="D302" s="27" t="s">
        <v>954</v>
      </c>
      <c r="E302" s="28" t="s">
        <v>46</v>
      </c>
      <c r="F302" s="29" t="s">
        <v>46</v>
      </c>
      <c r="G302" s="30" t="s">
        <v>46</v>
      </c>
      <c r="H302" s="31"/>
      <c r="I302" s="31" t="s">
        <v>47</v>
      </c>
      <c r="J302" s="32" t="n">
        <v>1.0</v>
      </c>
      <c r="K302" s="33" t="n">
        <f>1024</f>
        <v>1024.0</v>
      </c>
      <c r="L302" s="34" t="s">
        <v>48</v>
      </c>
      <c r="M302" s="33" t="n">
        <f>1079</f>
        <v>1079.0</v>
      </c>
      <c r="N302" s="34" t="s">
        <v>197</v>
      </c>
      <c r="O302" s="33" t="n">
        <f>1015</f>
        <v>1015.0</v>
      </c>
      <c r="P302" s="34" t="s">
        <v>48</v>
      </c>
      <c r="Q302" s="33" t="n">
        <f>1060</f>
        <v>1060.0</v>
      </c>
      <c r="R302" s="34" t="s">
        <v>51</v>
      </c>
      <c r="S302" s="35" t="n">
        <f>1043.82</f>
        <v>1043.82</v>
      </c>
      <c r="T302" s="32" t="n">
        <f>156751</f>
        <v>156751.0</v>
      </c>
      <c r="U302" s="32" t="n">
        <f>650</f>
        <v>650.0</v>
      </c>
      <c r="V302" s="32" t="n">
        <f>165304745</f>
        <v>1.65304745E8</v>
      </c>
      <c r="W302" s="32" t="n">
        <f>676983</f>
        <v>676983.0</v>
      </c>
      <c r="X302" s="36" t="n">
        <f>22</f>
        <v>22.0</v>
      </c>
    </row>
    <row r="303">
      <c r="A303" s="27" t="s">
        <v>42</v>
      </c>
      <c r="B303" s="27" t="s">
        <v>955</v>
      </c>
      <c r="C303" s="27" t="s">
        <v>956</v>
      </c>
      <c r="D303" s="27" t="s">
        <v>957</v>
      </c>
      <c r="E303" s="28" t="s">
        <v>46</v>
      </c>
      <c r="F303" s="29" t="s">
        <v>46</v>
      </c>
      <c r="G303" s="30" t="s">
        <v>46</v>
      </c>
      <c r="H303" s="31"/>
      <c r="I303" s="31" t="s">
        <v>47</v>
      </c>
      <c r="J303" s="32" t="n">
        <v>10.0</v>
      </c>
      <c r="K303" s="33" t="n">
        <f>534.2</f>
        <v>534.2</v>
      </c>
      <c r="L303" s="34" t="s">
        <v>48</v>
      </c>
      <c r="M303" s="33" t="n">
        <f>560</f>
        <v>560.0</v>
      </c>
      <c r="N303" s="34" t="s">
        <v>70</v>
      </c>
      <c r="O303" s="33" t="n">
        <f>491</f>
        <v>491.0</v>
      </c>
      <c r="P303" s="34" t="s">
        <v>160</v>
      </c>
      <c r="Q303" s="33" t="n">
        <f>538.9</f>
        <v>538.9</v>
      </c>
      <c r="R303" s="34" t="s">
        <v>51</v>
      </c>
      <c r="S303" s="35" t="n">
        <f>536.46</f>
        <v>536.46</v>
      </c>
      <c r="T303" s="32" t="n">
        <f>11750</f>
        <v>11750.0</v>
      </c>
      <c r="U303" s="32" t="n">
        <f>110</f>
        <v>110.0</v>
      </c>
      <c r="V303" s="32" t="n">
        <f>6273845</f>
        <v>6273845.0</v>
      </c>
      <c r="W303" s="32" t="n">
        <f>57642</f>
        <v>57642.0</v>
      </c>
      <c r="X303" s="36" t="n">
        <f>20</f>
        <v>20.0</v>
      </c>
    </row>
    <row r="304">
      <c r="A304" s="27" t="s">
        <v>42</v>
      </c>
      <c r="B304" s="27" t="s">
        <v>958</v>
      </c>
      <c r="C304" s="27" t="s">
        <v>959</v>
      </c>
      <c r="D304" s="27" t="s">
        <v>960</v>
      </c>
      <c r="E304" s="28" t="s">
        <v>46</v>
      </c>
      <c r="F304" s="29" t="s">
        <v>46</v>
      </c>
      <c r="G304" s="30" t="s">
        <v>46</v>
      </c>
      <c r="H304" s="31"/>
      <c r="I304" s="31" t="s">
        <v>47</v>
      </c>
      <c r="J304" s="32" t="n">
        <v>1.0</v>
      </c>
      <c r="K304" s="33" t="n">
        <f>8445</f>
        <v>8445.0</v>
      </c>
      <c r="L304" s="34" t="s">
        <v>48</v>
      </c>
      <c r="M304" s="33" t="n">
        <f>8459</f>
        <v>8459.0</v>
      </c>
      <c r="N304" s="34" t="s">
        <v>48</v>
      </c>
      <c r="O304" s="33" t="n">
        <f>7648</f>
        <v>7648.0</v>
      </c>
      <c r="P304" s="34" t="s">
        <v>197</v>
      </c>
      <c r="Q304" s="33" t="n">
        <f>7824</f>
        <v>7824.0</v>
      </c>
      <c r="R304" s="34" t="s">
        <v>51</v>
      </c>
      <c r="S304" s="35" t="n">
        <f>8089.91</f>
        <v>8089.91</v>
      </c>
      <c r="T304" s="32" t="n">
        <f>1034606</f>
        <v>1034606.0</v>
      </c>
      <c r="U304" s="32" t="n">
        <f>26483</f>
        <v>26483.0</v>
      </c>
      <c r="V304" s="32" t="n">
        <f>8377548173</f>
        <v>8.377548173E9</v>
      </c>
      <c r="W304" s="32" t="n">
        <f>206925208</f>
        <v>2.06925208E8</v>
      </c>
      <c r="X304" s="36" t="n">
        <f>22</f>
        <v>22.0</v>
      </c>
    </row>
    <row r="305">
      <c r="A305" s="27" t="s">
        <v>42</v>
      </c>
      <c r="B305" s="27" t="s">
        <v>961</v>
      </c>
      <c r="C305" s="27" t="s">
        <v>962</v>
      </c>
      <c r="D305" s="27" t="s">
        <v>963</v>
      </c>
      <c r="E305" s="28" t="s">
        <v>46</v>
      </c>
      <c r="F305" s="29" t="s">
        <v>46</v>
      </c>
      <c r="G305" s="30" t="s">
        <v>46</v>
      </c>
      <c r="H305" s="31"/>
      <c r="I305" s="31" t="s">
        <v>47</v>
      </c>
      <c r="J305" s="32" t="n">
        <v>1.0</v>
      </c>
      <c r="K305" s="33" t="n">
        <f>4429</f>
        <v>4429.0</v>
      </c>
      <c r="L305" s="34" t="s">
        <v>48</v>
      </c>
      <c r="M305" s="33" t="n">
        <f>4430</f>
        <v>4430.0</v>
      </c>
      <c r="N305" s="34" t="s">
        <v>48</v>
      </c>
      <c r="O305" s="33" t="n">
        <f>3979</f>
        <v>3979.0</v>
      </c>
      <c r="P305" s="34" t="s">
        <v>197</v>
      </c>
      <c r="Q305" s="33" t="n">
        <f>4158</f>
        <v>4158.0</v>
      </c>
      <c r="R305" s="34" t="s">
        <v>51</v>
      </c>
      <c r="S305" s="35" t="n">
        <f>4236.55</f>
        <v>4236.55</v>
      </c>
      <c r="T305" s="32" t="n">
        <f>1664009</f>
        <v>1664009.0</v>
      </c>
      <c r="U305" s="32" t="n">
        <f>910800</f>
        <v>910800.0</v>
      </c>
      <c r="V305" s="32" t="n">
        <f>7104795578</f>
        <v>7.104795578E9</v>
      </c>
      <c r="W305" s="32" t="n">
        <f>3872562546</f>
        <v>3.872562546E9</v>
      </c>
      <c r="X305" s="36" t="n">
        <f>22</f>
        <v>22.0</v>
      </c>
    </row>
    <row r="306">
      <c r="A306" s="27" t="s">
        <v>42</v>
      </c>
      <c r="B306" s="27" t="s">
        <v>964</v>
      </c>
      <c r="C306" s="27" t="s">
        <v>965</v>
      </c>
      <c r="D306" s="27" t="s">
        <v>966</v>
      </c>
      <c r="E306" s="28" t="s">
        <v>46</v>
      </c>
      <c r="F306" s="29" t="s">
        <v>46</v>
      </c>
      <c r="G306" s="30" t="s">
        <v>46</v>
      </c>
      <c r="H306" s="31"/>
      <c r="I306" s="31" t="s">
        <v>47</v>
      </c>
      <c r="J306" s="32" t="n">
        <v>1.0</v>
      </c>
      <c r="K306" s="33" t="n">
        <f>3598</f>
        <v>3598.0</v>
      </c>
      <c r="L306" s="34" t="s">
        <v>48</v>
      </c>
      <c r="M306" s="33" t="n">
        <f>3599</f>
        <v>3599.0</v>
      </c>
      <c r="N306" s="34" t="s">
        <v>48</v>
      </c>
      <c r="O306" s="33" t="n">
        <f>3244</f>
        <v>3244.0</v>
      </c>
      <c r="P306" s="34" t="s">
        <v>75</v>
      </c>
      <c r="Q306" s="33" t="n">
        <f>3376</f>
        <v>3376.0</v>
      </c>
      <c r="R306" s="34" t="s">
        <v>51</v>
      </c>
      <c r="S306" s="35" t="n">
        <f>3431.59</f>
        <v>3431.59</v>
      </c>
      <c r="T306" s="32" t="n">
        <f>9380</f>
        <v>9380.0</v>
      </c>
      <c r="U306" s="32" t="str">
        <f>"－"</f>
        <v>－</v>
      </c>
      <c r="V306" s="32" t="n">
        <f>32232051</f>
        <v>3.2232051E7</v>
      </c>
      <c r="W306" s="32" t="str">
        <f>"－"</f>
        <v>－</v>
      </c>
      <c r="X306" s="36" t="n">
        <f>22</f>
        <v>22.0</v>
      </c>
    </row>
    <row r="307">
      <c r="A307" s="27" t="s">
        <v>42</v>
      </c>
      <c r="B307" s="27" t="s">
        <v>967</v>
      </c>
      <c r="C307" s="27" t="s">
        <v>968</v>
      </c>
      <c r="D307" s="27" t="s">
        <v>969</v>
      </c>
      <c r="E307" s="28" t="s">
        <v>46</v>
      </c>
      <c r="F307" s="29" t="s">
        <v>46</v>
      </c>
      <c r="G307" s="30" t="s">
        <v>46</v>
      </c>
      <c r="H307" s="31"/>
      <c r="I307" s="31" t="s">
        <v>47</v>
      </c>
      <c r="J307" s="32" t="n">
        <v>1.0</v>
      </c>
      <c r="K307" s="33" t="n">
        <f>2130</f>
        <v>2130.0</v>
      </c>
      <c r="L307" s="34" t="s">
        <v>48</v>
      </c>
      <c r="M307" s="33" t="n">
        <f>2252</f>
        <v>2252.0</v>
      </c>
      <c r="N307" s="34" t="s">
        <v>70</v>
      </c>
      <c r="O307" s="33" t="n">
        <f>2081</f>
        <v>2081.0</v>
      </c>
      <c r="P307" s="34" t="s">
        <v>50</v>
      </c>
      <c r="Q307" s="33" t="n">
        <f>2190</f>
        <v>2190.0</v>
      </c>
      <c r="R307" s="34" t="s">
        <v>51</v>
      </c>
      <c r="S307" s="35" t="n">
        <f>2145.45</f>
        <v>2145.45</v>
      </c>
      <c r="T307" s="32" t="n">
        <f>216568</f>
        <v>216568.0</v>
      </c>
      <c r="U307" s="32" t="str">
        <f>"－"</f>
        <v>－</v>
      </c>
      <c r="V307" s="32" t="n">
        <f>457019798</f>
        <v>4.57019798E8</v>
      </c>
      <c r="W307" s="32" t="str">
        <f>"－"</f>
        <v>－</v>
      </c>
      <c r="X307" s="36" t="n">
        <f>22</f>
        <v>22.0</v>
      </c>
    </row>
    <row r="308">
      <c r="A308" s="27" t="s">
        <v>42</v>
      </c>
      <c r="B308" s="27" t="s">
        <v>970</v>
      </c>
      <c r="C308" s="27" t="s">
        <v>971</v>
      </c>
      <c r="D308" s="27" t="s">
        <v>972</v>
      </c>
      <c r="E308" s="28" t="s">
        <v>46</v>
      </c>
      <c r="F308" s="29" t="s">
        <v>46</v>
      </c>
      <c r="G308" s="30" t="s">
        <v>46</v>
      </c>
      <c r="H308" s="31"/>
      <c r="I308" s="31" t="s">
        <v>47</v>
      </c>
      <c r="J308" s="32" t="n">
        <v>10.0</v>
      </c>
      <c r="K308" s="33" t="n">
        <f>377.8</f>
        <v>377.8</v>
      </c>
      <c r="L308" s="34" t="s">
        <v>48</v>
      </c>
      <c r="M308" s="33" t="n">
        <f>379.1</f>
        <v>379.1</v>
      </c>
      <c r="N308" s="34" t="s">
        <v>69</v>
      </c>
      <c r="O308" s="33" t="n">
        <f>370.7</f>
        <v>370.7</v>
      </c>
      <c r="P308" s="34" t="s">
        <v>51</v>
      </c>
      <c r="Q308" s="33" t="n">
        <f>371.2</f>
        <v>371.2</v>
      </c>
      <c r="R308" s="34" t="s">
        <v>51</v>
      </c>
      <c r="S308" s="35" t="n">
        <f>376.26</f>
        <v>376.26</v>
      </c>
      <c r="T308" s="32" t="n">
        <f>10511560</f>
        <v>1.051156E7</v>
      </c>
      <c r="U308" s="32" t="n">
        <f>5539310</f>
        <v>5539310.0</v>
      </c>
      <c r="V308" s="32" t="n">
        <f>3926845767</f>
        <v>3.926845767E9</v>
      </c>
      <c r="W308" s="32" t="n">
        <f>2058843196</f>
        <v>2.058843196E9</v>
      </c>
      <c r="X308" s="36" t="n">
        <f>22</f>
        <v>22.0</v>
      </c>
    </row>
    <row r="309">
      <c r="A309" s="27" t="s">
        <v>42</v>
      </c>
      <c r="B309" s="27" t="s">
        <v>973</v>
      </c>
      <c r="C309" s="27" t="s">
        <v>974</v>
      </c>
      <c r="D309" s="27" t="s">
        <v>975</v>
      </c>
      <c r="E309" s="28" t="s">
        <v>46</v>
      </c>
      <c r="F309" s="29" t="s">
        <v>46</v>
      </c>
      <c r="G309" s="30" t="s">
        <v>46</v>
      </c>
      <c r="H309" s="31"/>
      <c r="I309" s="31" t="s">
        <v>47</v>
      </c>
      <c r="J309" s="32" t="n">
        <v>1.0</v>
      </c>
      <c r="K309" s="33" t="n">
        <f>1052</f>
        <v>1052.0</v>
      </c>
      <c r="L309" s="34" t="s">
        <v>48</v>
      </c>
      <c r="M309" s="33" t="n">
        <f>1053</f>
        <v>1053.0</v>
      </c>
      <c r="N309" s="34" t="s">
        <v>48</v>
      </c>
      <c r="O309" s="33" t="n">
        <f>994</f>
        <v>994.0</v>
      </c>
      <c r="P309" s="34" t="s">
        <v>197</v>
      </c>
      <c r="Q309" s="33" t="n">
        <f>1002</f>
        <v>1002.0</v>
      </c>
      <c r="R309" s="34" t="s">
        <v>51</v>
      </c>
      <c r="S309" s="35" t="n">
        <f>1021.68</f>
        <v>1021.68</v>
      </c>
      <c r="T309" s="32" t="n">
        <f>8070798</f>
        <v>8070798.0</v>
      </c>
      <c r="U309" s="32" t="n">
        <f>969000</f>
        <v>969000.0</v>
      </c>
      <c r="V309" s="32" t="n">
        <f>8245689110</f>
        <v>8.24568911E9</v>
      </c>
      <c r="W309" s="32" t="n">
        <f>1003666087</f>
        <v>1.003666087E9</v>
      </c>
      <c r="X309" s="36" t="n">
        <f>22</f>
        <v>22.0</v>
      </c>
    </row>
    <row r="310">
      <c r="A310" s="27" t="s">
        <v>42</v>
      </c>
      <c r="B310" s="27" t="s">
        <v>976</v>
      </c>
      <c r="C310" s="27" t="s">
        <v>977</v>
      </c>
      <c r="D310" s="27" t="s">
        <v>978</v>
      </c>
      <c r="E310" s="28" t="s">
        <v>46</v>
      </c>
      <c r="F310" s="29" t="s">
        <v>46</v>
      </c>
      <c r="G310" s="30" t="s">
        <v>46</v>
      </c>
      <c r="H310" s="31"/>
      <c r="I310" s="31" t="s">
        <v>47</v>
      </c>
      <c r="J310" s="32" t="n">
        <v>1.0</v>
      </c>
      <c r="K310" s="33" t="n">
        <f>1708</f>
        <v>1708.0</v>
      </c>
      <c r="L310" s="34" t="s">
        <v>48</v>
      </c>
      <c r="M310" s="33" t="n">
        <f>1751</f>
        <v>1751.0</v>
      </c>
      <c r="N310" s="34" t="s">
        <v>58</v>
      </c>
      <c r="O310" s="33" t="n">
        <f>1670</f>
        <v>1670.0</v>
      </c>
      <c r="P310" s="34" t="s">
        <v>156</v>
      </c>
      <c r="Q310" s="33" t="n">
        <f>1699</f>
        <v>1699.0</v>
      </c>
      <c r="R310" s="34" t="s">
        <v>51</v>
      </c>
      <c r="S310" s="35" t="n">
        <f>1716.27</f>
        <v>1716.27</v>
      </c>
      <c r="T310" s="32" t="n">
        <f>34510</f>
        <v>34510.0</v>
      </c>
      <c r="U310" s="32" t="str">
        <f>"－"</f>
        <v>－</v>
      </c>
      <c r="V310" s="32" t="n">
        <f>58985091</f>
        <v>5.8985091E7</v>
      </c>
      <c r="W310" s="32" t="str">
        <f>"－"</f>
        <v>－</v>
      </c>
      <c r="X310" s="36" t="n">
        <f>22</f>
        <v>22.0</v>
      </c>
    </row>
    <row r="311">
      <c r="A311" s="27" t="s">
        <v>42</v>
      </c>
      <c r="B311" s="27" t="s">
        <v>979</v>
      </c>
      <c r="C311" s="27" t="s">
        <v>980</v>
      </c>
      <c r="D311" s="27" t="s">
        <v>981</v>
      </c>
      <c r="E311" s="28" t="s">
        <v>46</v>
      </c>
      <c r="F311" s="29" t="s">
        <v>46</v>
      </c>
      <c r="G311" s="30" t="s">
        <v>46</v>
      </c>
      <c r="H311" s="31"/>
      <c r="I311" s="31" t="s">
        <v>47</v>
      </c>
      <c r="J311" s="32" t="n">
        <v>1.0</v>
      </c>
      <c r="K311" s="33" t="n">
        <f>1969</f>
        <v>1969.0</v>
      </c>
      <c r="L311" s="34" t="s">
        <v>48</v>
      </c>
      <c r="M311" s="33" t="n">
        <f>1970</f>
        <v>1970.0</v>
      </c>
      <c r="N311" s="34" t="s">
        <v>116</v>
      </c>
      <c r="O311" s="33" t="n">
        <f>1931</f>
        <v>1931.0</v>
      </c>
      <c r="P311" s="34" t="s">
        <v>197</v>
      </c>
      <c r="Q311" s="33" t="n">
        <f>1939</f>
        <v>1939.0</v>
      </c>
      <c r="R311" s="34" t="s">
        <v>51</v>
      </c>
      <c r="S311" s="35" t="n">
        <f>1946.41</f>
        <v>1946.41</v>
      </c>
      <c r="T311" s="32" t="n">
        <f>94586</f>
        <v>94586.0</v>
      </c>
      <c r="U311" s="32" t="n">
        <f>51000</f>
        <v>51000.0</v>
      </c>
      <c r="V311" s="32" t="n">
        <f>183359668</f>
        <v>1.83359668E8</v>
      </c>
      <c r="W311" s="32" t="n">
        <f>98524350</f>
        <v>9.852435E7</v>
      </c>
      <c r="X311" s="36" t="n">
        <f>22</f>
        <v>22.0</v>
      </c>
    </row>
    <row r="312">
      <c r="A312" s="27" t="s">
        <v>42</v>
      </c>
      <c r="B312" s="27" t="s">
        <v>982</v>
      </c>
      <c r="C312" s="27" t="s">
        <v>983</v>
      </c>
      <c r="D312" s="27" t="s">
        <v>984</v>
      </c>
      <c r="E312" s="28" t="s">
        <v>46</v>
      </c>
      <c r="F312" s="29" t="s">
        <v>46</v>
      </c>
      <c r="G312" s="30" t="s">
        <v>46</v>
      </c>
      <c r="H312" s="31"/>
      <c r="I312" s="31" t="s">
        <v>47</v>
      </c>
      <c r="J312" s="32" t="n">
        <v>1.0</v>
      </c>
      <c r="K312" s="33" t="n">
        <f>7151</f>
        <v>7151.0</v>
      </c>
      <c r="L312" s="34" t="s">
        <v>48</v>
      </c>
      <c r="M312" s="33" t="n">
        <f>7239</f>
        <v>7239.0</v>
      </c>
      <c r="N312" s="34" t="s">
        <v>48</v>
      </c>
      <c r="O312" s="33" t="n">
        <f>6080</f>
        <v>6080.0</v>
      </c>
      <c r="P312" s="34" t="s">
        <v>75</v>
      </c>
      <c r="Q312" s="33" t="n">
        <f>6489</f>
        <v>6489.0</v>
      </c>
      <c r="R312" s="34" t="s">
        <v>51</v>
      </c>
      <c r="S312" s="35" t="n">
        <f>6705</f>
        <v>6705.0</v>
      </c>
      <c r="T312" s="32" t="n">
        <f>1587293</f>
        <v>1587293.0</v>
      </c>
      <c r="U312" s="32" t="n">
        <f>552157</f>
        <v>552157.0</v>
      </c>
      <c r="V312" s="32" t="n">
        <f>10492168422</f>
        <v>1.0492168422E10</v>
      </c>
      <c r="W312" s="32" t="n">
        <f>3613268951</f>
        <v>3.613268951E9</v>
      </c>
      <c r="X312" s="36" t="n">
        <f>22</f>
        <v>22.0</v>
      </c>
    </row>
    <row r="313">
      <c r="A313" s="27" t="s">
        <v>42</v>
      </c>
      <c r="B313" s="27" t="s">
        <v>985</v>
      </c>
      <c r="C313" s="27" t="s">
        <v>986</v>
      </c>
      <c r="D313" s="27" t="s">
        <v>987</v>
      </c>
      <c r="E313" s="28" t="s">
        <v>46</v>
      </c>
      <c r="F313" s="29" t="s">
        <v>46</v>
      </c>
      <c r="G313" s="30" t="s">
        <v>46</v>
      </c>
      <c r="H313" s="31"/>
      <c r="I313" s="31" t="s">
        <v>47</v>
      </c>
      <c r="J313" s="32" t="n">
        <v>1.0</v>
      </c>
      <c r="K313" s="33" t="n">
        <f>4048</f>
        <v>4048.0</v>
      </c>
      <c r="L313" s="34" t="s">
        <v>48</v>
      </c>
      <c r="M313" s="33" t="n">
        <f>4153</f>
        <v>4153.0</v>
      </c>
      <c r="N313" s="34" t="s">
        <v>49</v>
      </c>
      <c r="O313" s="33" t="n">
        <f>3869</f>
        <v>3869.0</v>
      </c>
      <c r="P313" s="34" t="s">
        <v>50</v>
      </c>
      <c r="Q313" s="33" t="n">
        <f>4014</f>
        <v>4014.0</v>
      </c>
      <c r="R313" s="34" t="s">
        <v>51</v>
      </c>
      <c r="S313" s="35" t="n">
        <f>4042.09</f>
        <v>4042.09</v>
      </c>
      <c r="T313" s="32" t="n">
        <f>467004</f>
        <v>467004.0</v>
      </c>
      <c r="U313" s="32" t="n">
        <f>104383</f>
        <v>104383.0</v>
      </c>
      <c r="V313" s="32" t="n">
        <f>1875415058</f>
        <v>1.875415058E9</v>
      </c>
      <c r="W313" s="32" t="n">
        <f>420245520</f>
        <v>4.2024552E8</v>
      </c>
      <c r="X313" s="36" t="n">
        <f>22</f>
        <v>22.0</v>
      </c>
    </row>
    <row r="314">
      <c r="A314" s="27" t="s">
        <v>42</v>
      </c>
      <c r="B314" s="27" t="s">
        <v>988</v>
      </c>
      <c r="C314" s="27" t="s">
        <v>989</v>
      </c>
      <c r="D314" s="27" t="s">
        <v>990</v>
      </c>
      <c r="E314" s="28" t="s">
        <v>46</v>
      </c>
      <c r="F314" s="29" t="s">
        <v>46</v>
      </c>
      <c r="G314" s="30" t="s">
        <v>46</v>
      </c>
      <c r="H314" s="31"/>
      <c r="I314" s="31" t="s">
        <v>47</v>
      </c>
      <c r="J314" s="32" t="n">
        <v>1.0</v>
      </c>
      <c r="K314" s="33" t="n">
        <f>2922</f>
        <v>2922.0</v>
      </c>
      <c r="L314" s="34" t="s">
        <v>48</v>
      </c>
      <c r="M314" s="33" t="n">
        <f>3211</f>
        <v>3211.0</v>
      </c>
      <c r="N314" s="34" t="s">
        <v>197</v>
      </c>
      <c r="O314" s="33" t="n">
        <f>2880</f>
        <v>2880.0</v>
      </c>
      <c r="P314" s="34" t="s">
        <v>48</v>
      </c>
      <c r="Q314" s="33" t="n">
        <f>3116</f>
        <v>3116.0</v>
      </c>
      <c r="R314" s="34" t="s">
        <v>51</v>
      </c>
      <c r="S314" s="35" t="n">
        <f>3035.45</f>
        <v>3035.45</v>
      </c>
      <c r="T314" s="32" t="n">
        <f>105760</f>
        <v>105760.0</v>
      </c>
      <c r="U314" s="32" t="n">
        <f>100</f>
        <v>100.0</v>
      </c>
      <c r="V314" s="32" t="n">
        <f>318910718</f>
        <v>3.18910718E8</v>
      </c>
      <c r="W314" s="32" t="n">
        <f>289810</f>
        <v>289810.0</v>
      </c>
      <c r="X314" s="36" t="n">
        <f>22</f>
        <v>22.0</v>
      </c>
    </row>
    <row r="315">
      <c r="A315" s="27" t="s">
        <v>42</v>
      </c>
      <c r="B315" s="27" t="s">
        <v>991</v>
      </c>
      <c r="C315" s="27" t="s">
        <v>992</v>
      </c>
      <c r="D315" s="27" t="s">
        <v>993</v>
      </c>
      <c r="E315" s="28" t="s">
        <v>46</v>
      </c>
      <c r="F315" s="29" t="s">
        <v>46</v>
      </c>
      <c r="G315" s="30" t="s">
        <v>46</v>
      </c>
      <c r="H315" s="31"/>
      <c r="I315" s="31" t="s">
        <v>47</v>
      </c>
      <c r="J315" s="32" t="n">
        <v>1.0</v>
      </c>
      <c r="K315" s="33" t="n">
        <f>1479</f>
        <v>1479.0</v>
      </c>
      <c r="L315" s="34" t="s">
        <v>48</v>
      </c>
      <c r="M315" s="33" t="n">
        <f>1645</f>
        <v>1645.0</v>
      </c>
      <c r="N315" s="34" t="s">
        <v>197</v>
      </c>
      <c r="O315" s="33" t="n">
        <f>1457</f>
        <v>1457.0</v>
      </c>
      <c r="P315" s="34" t="s">
        <v>48</v>
      </c>
      <c r="Q315" s="33" t="n">
        <f>1579</f>
        <v>1579.0</v>
      </c>
      <c r="R315" s="34" t="s">
        <v>51</v>
      </c>
      <c r="S315" s="35" t="n">
        <f>1570.14</f>
        <v>1570.14</v>
      </c>
      <c r="T315" s="32" t="n">
        <f>21865</f>
        <v>21865.0</v>
      </c>
      <c r="U315" s="32" t="str">
        <f>"－"</f>
        <v>－</v>
      </c>
      <c r="V315" s="32" t="n">
        <f>34030457</f>
        <v>3.4030457E7</v>
      </c>
      <c r="W315" s="32" t="str">
        <f>"－"</f>
        <v>－</v>
      </c>
      <c r="X315" s="36" t="n">
        <f>22</f>
        <v>22.0</v>
      </c>
    </row>
    <row r="316">
      <c r="A316" s="27" t="s">
        <v>42</v>
      </c>
      <c r="B316" s="27" t="s">
        <v>994</v>
      </c>
      <c r="C316" s="27" t="s">
        <v>995</v>
      </c>
      <c r="D316" s="27" t="s">
        <v>996</v>
      </c>
      <c r="E316" s="28" t="s">
        <v>46</v>
      </c>
      <c r="F316" s="29" t="s">
        <v>46</v>
      </c>
      <c r="G316" s="30" t="s">
        <v>46</v>
      </c>
      <c r="H316" s="31"/>
      <c r="I316" s="31" t="s">
        <v>47</v>
      </c>
      <c r="J316" s="32" t="n">
        <v>1.0</v>
      </c>
      <c r="K316" s="33" t="n">
        <f>5260</f>
        <v>5260.0</v>
      </c>
      <c r="L316" s="34" t="s">
        <v>48</v>
      </c>
      <c r="M316" s="33" t="n">
        <f>5260</f>
        <v>5260.0</v>
      </c>
      <c r="N316" s="34" t="s">
        <v>48</v>
      </c>
      <c r="O316" s="33" t="n">
        <f>3705</f>
        <v>3705.0</v>
      </c>
      <c r="P316" s="34" t="s">
        <v>197</v>
      </c>
      <c r="Q316" s="33" t="n">
        <f>3845</f>
        <v>3845.0</v>
      </c>
      <c r="R316" s="34" t="s">
        <v>51</v>
      </c>
      <c r="S316" s="35" t="n">
        <f>4397.68</f>
        <v>4397.68</v>
      </c>
      <c r="T316" s="32" t="n">
        <f>390190</f>
        <v>390190.0</v>
      </c>
      <c r="U316" s="32" t="str">
        <f>"－"</f>
        <v>－</v>
      </c>
      <c r="V316" s="32" t="n">
        <f>1713025814</f>
        <v>1.713025814E9</v>
      </c>
      <c r="W316" s="32" t="str">
        <f>"－"</f>
        <v>－</v>
      </c>
      <c r="X316" s="36" t="n">
        <f>22</f>
        <v>22.0</v>
      </c>
    </row>
    <row r="317">
      <c r="A317" s="27" t="s">
        <v>42</v>
      </c>
      <c r="B317" s="27" t="s">
        <v>997</v>
      </c>
      <c r="C317" s="27" t="s">
        <v>998</v>
      </c>
      <c r="D317" s="27" t="s">
        <v>999</v>
      </c>
      <c r="E317" s="28" t="s">
        <v>46</v>
      </c>
      <c r="F317" s="29" t="s">
        <v>46</v>
      </c>
      <c r="G317" s="30" t="s">
        <v>46</v>
      </c>
      <c r="H317" s="31"/>
      <c r="I317" s="31" t="s">
        <v>47</v>
      </c>
      <c r="J317" s="32" t="n">
        <v>1.0</v>
      </c>
      <c r="K317" s="33" t="n">
        <f>3799</f>
        <v>3799.0</v>
      </c>
      <c r="L317" s="34" t="s">
        <v>48</v>
      </c>
      <c r="M317" s="33" t="n">
        <f>3859</f>
        <v>3859.0</v>
      </c>
      <c r="N317" s="34" t="s">
        <v>207</v>
      </c>
      <c r="O317" s="33" t="n">
        <f>3580</f>
        <v>3580.0</v>
      </c>
      <c r="P317" s="34" t="s">
        <v>50</v>
      </c>
      <c r="Q317" s="33" t="n">
        <f>3643</f>
        <v>3643.0</v>
      </c>
      <c r="R317" s="34" t="s">
        <v>51</v>
      </c>
      <c r="S317" s="35" t="n">
        <f>3722.41</f>
        <v>3722.41</v>
      </c>
      <c r="T317" s="32" t="n">
        <f>20870</f>
        <v>20870.0</v>
      </c>
      <c r="U317" s="32" t="str">
        <f>"－"</f>
        <v>－</v>
      </c>
      <c r="V317" s="32" t="n">
        <f>77193013</f>
        <v>7.7193013E7</v>
      </c>
      <c r="W317" s="32" t="str">
        <f>"－"</f>
        <v>－</v>
      </c>
      <c r="X317" s="36" t="n">
        <f>22</f>
        <v>22.0</v>
      </c>
    </row>
    <row r="318">
      <c r="A318" s="27" t="s">
        <v>42</v>
      </c>
      <c r="B318" s="27" t="s">
        <v>1000</v>
      </c>
      <c r="C318" s="27" t="s">
        <v>1001</v>
      </c>
      <c r="D318" s="27" t="s">
        <v>1002</v>
      </c>
      <c r="E318" s="28" t="s">
        <v>46</v>
      </c>
      <c r="F318" s="29" t="s">
        <v>46</v>
      </c>
      <c r="G318" s="30" t="s">
        <v>46</v>
      </c>
      <c r="H318" s="31"/>
      <c r="I318" s="31" t="s">
        <v>47</v>
      </c>
      <c r="J318" s="32" t="n">
        <v>1.0</v>
      </c>
      <c r="K318" s="33" t="n">
        <f>15760</f>
        <v>15760.0</v>
      </c>
      <c r="L318" s="34" t="s">
        <v>48</v>
      </c>
      <c r="M318" s="33" t="n">
        <f>15970</f>
        <v>15970.0</v>
      </c>
      <c r="N318" s="34" t="s">
        <v>50</v>
      </c>
      <c r="O318" s="33" t="n">
        <f>15390</f>
        <v>15390.0</v>
      </c>
      <c r="P318" s="34" t="s">
        <v>197</v>
      </c>
      <c r="Q318" s="33" t="n">
        <f>15695</f>
        <v>15695.0</v>
      </c>
      <c r="R318" s="34" t="s">
        <v>51</v>
      </c>
      <c r="S318" s="35" t="n">
        <f>15743.86</f>
        <v>15743.86</v>
      </c>
      <c r="T318" s="32" t="n">
        <f>192002</f>
        <v>192002.0</v>
      </c>
      <c r="U318" s="32" t="n">
        <f>136718</f>
        <v>136718.0</v>
      </c>
      <c r="V318" s="32" t="n">
        <f>3015366056</f>
        <v>3.015366056E9</v>
      </c>
      <c r="W318" s="32" t="n">
        <f>2146453821</f>
        <v>2.146453821E9</v>
      </c>
      <c r="X318" s="36" t="n">
        <f>22</f>
        <v>22.0</v>
      </c>
    </row>
    <row r="319">
      <c r="A319" s="27" t="s">
        <v>42</v>
      </c>
      <c r="B319" s="27" t="s">
        <v>1003</v>
      </c>
      <c r="C319" s="27" t="s">
        <v>1004</v>
      </c>
      <c r="D319" s="27" t="s">
        <v>1005</v>
      </c>
      <c r="E319" s="28" t="s">
        <v>46</v>
      </c>
      <c r="F319" s="29" t="s">
        <v>46</v>
      </c>
      <c r="G319" s="30" t="s">
        <v>46</v>
      </c>
      <c r="H319" s="31"/>
      <c r="I319" s="31" t="s">
        <v>47</v>
      </c>
      <c r="J319" s="32" t="n">
        <v>1.0</v>
      </c>
      <c r="K319" s="33" t="n">
        <f>35100</f>
        <v>35100.0</v>
      </c>
      <c r="L319" s="34" t="s">
        <v>48</v>
      </c>
      <c r="M319" s="33" t="n">
        <f>35250</f>
        <v>35250.0</v>
      </c>
      <c r="N319" s="34" t="s">
        <v>48</v>
      </c>
      <c r="O319" s="33" t="n">
        <f>31910</f>
        <v>31910.0</v>
      </c>
      <c r="P319" s="34" t="s">
        <v>197</v>
      </c>
      <c r="Q319" s="33" t="n">
        <f>32620</f>
        <v>32620.0</v>
      </c>
      <c r="R319" s="34" t="s">
        <v>51</v>
      </c>
      <c r="S319" s="35" t="n">
        <f>33750.91</f>
        <v>33750.91</v>
      </c>
      <c r="T319" s="32" t="n">
        <f>324522</f>
        <v>324522.0</v>
      </c>
      <c r="U319" s="32" t="n">
        <f>3748</f>
        <v>3748.0</v>
      </c>
      <c r="V319" s="32" t="n">
        <f>10922153107</f>
        <v>1.0922153107E10</v>
      </c>
      <c r="W319" s="32" t="n">
        <f>126455437</f>
        <v>1.26455437E8</v>
      </c>
      <c r="X319" s="36" t="n">
        <f>22</f>
        <v>22.0</v>
      </c>
    </row>
    <row r="320">
      <c r="A320" s="27" t="s">
        <v>42</v>
      </c>
      <c r="B320" s="27" t="s">
        <v>1006</v>
      </c>
      <c r="C320" s="27" t="s">
        <v>1007</v>
      </c>
      <c r="D320" s="27" t="s">
        <v>1008</v>
      </c>
      <c r="E320" s="28" t="s">
        <v>46</v>
      </c>
      <c r="F320" s="29" t="s">
        <v>46</v>
      </c>
      <c r="G320" s="30" t="s">
        <v>46</v>
      </c>
      <c r="H320" s="31"/>
      <c r="I320" s="31" t="s">
        <v>47</v>
      </c>
      <c r="J320" s="32" t="n">
        <v>1.0</v>
      </c>
      <c r="K320" s="33" t="n">
        <f>18440</f>
        <v>18440.0</v>
      </c>
      <c r="L320" s="34" t="s">
        <v>48</v>
      </c>
      <c r="M320" s="33" t="n">
        <f>18490</f>
        <v>18490.0</v>
      </c>
      <c r="N320" s="34" t="s">
        <v>48</v>
      </c>
      <c r="O320" s="33" t="n">
        <f>16630</f>
        <v>16630.0</v>
      </c>
      <c r="P320" s="34" t="s">
        <v>197</v>
      </c>
      <c r="Q320" s="33" t="n">
        <f>17490</f>
        <v>17490.0</v>
      </c>
      <c r="R320" s="34" t="s">
        <v>51</v>
      </c>
      <c r="S320" s="35" t="n">
        <f>17708.18</f>
        <v>17708.18</v>
      </c>
      <c r="T320" s="32" t="n">
        <f>301048</f>
        <v>301048.0</v>
      </c>
      <c r="U320" s="32" t="n">
        <f>151476</f>
        <v>151476.0</v>
      </c>
      <c r="V320" s="32" t="n">
        <f>5325890825</f>
        <v>5.325890825E9</v>
      </c>
      <c r="W320" s="32" t="n">
        <f>2697556545</f>
        <v>2.697556545E9</v>
      </c>
      <c r="X320" s="36" t="n">
        <f>22</f>
        <v>22.0</v>
      </c>
    </row>
    <row r="321">
      <c r="A321" s="27" t="s">
        <v>42</v>
      </c>
      <c r="B321" s="27" t="s">
        <v>1009</v>
      </c>
      <c r="C321" s="27" t="s">
        <v>1010</v>
      </c>
      <c r="D321" s="27" t="s">
        <v>1011</v>
      </c>
      <c r="E321" s="28" t="s">
        <v>46</v>
      </c>
      <c r="F321" s="29" t="s">
        <v>46</v>
      </c>
      <c r="G321" s="30" t="s">
        <v>46</v>
      </c>
      <c r="H321" s="31"/>
      <c r="I321" s="31" t="s">
        <v>47</v>
      </c>
      <c r="J321" s="32" t="n">
        <v>10.0</v>
      </c>
      <c r="K321" s="33" t="n">
        <f>561.9</f>
        <v>561.9</v>
      </c>
      <c r="L321" s="34" t="s">
        <v>48</v>
      </c>
      <c r="M321" s="33" t="n">
        <f>567.7</f>
        <v>567.7</v>
      </c>
      <c r="N321" s="34" t="s">
        <v>249</v>
      </c>
      <c r="O321" s="33" t="n">
        <f>552</f>
        <v>552.0</v>
      </c>
      <c r="P321" s="34" t="s">
        <v>51</v>
      </c>
      <c r="Q321" s="33" t="n">
        <f>554</f>
        <v>554.0</v>
      </c>
      <c r="R321" s="34" t="s">
        <v>51</v>
      </c>
      <c r="S321" s="35" t="n">
        <f>561.78</f>
        <v>561.78</v>
      </c>
      <c r="T321" s="32" t="n">
        <f>4396570</f>
        <v>4396570.0</v>
      </c>
      <c r="U321" s="32" t="n">
        <f>1890180</f>
        <v>1890180.0</v>
      </c>
      <c r="V321" s="32" t="n">
        <f>2462447991</f>
        <v>2.462447991E9</v>
      </c>
      <c r="W321" s="32" t="n">
        <f>1056406907</f>
        <v>1.056406907E9</v>
      </c>
      <c r="X321" s="36" t="n">
        <f>22</f>
        <v>22.0</v>
      </c>
    </row>
    <row r="322">
      <c r="A322" s="27" t="s">
        <v>42</v>
      </c>
      <c r="B322" s="27" t="s">
        <v>1012</v>
      </c>
      <c r="C322" s="27" t="s">
        <v>1013</v>
      </c>
      <c r="D322" s="27" t="s">
        <v>1014</v>
      </c>
      <c r="E322" s="28" t="s">
        <v>46</v>
      </c>
      <c r="F322" s="29" t="s">
        <v>46</v>
      </c>
      <c r="G322" s="30" t="s">
        <v>46</v>
      </c>
      <c r="H322" s="31"/>
      <c r="I322" s="31" t="s">
        <v>47</v>
      </c>
      <c r="J322" s="32" t="n">
        <v>1.0</v>
      </c>
      <c r="K322" s="33" t="n">
        <f>3130</f>
        <v>3130.0</v>
      </c>
      <c r="L322" s="34" t="s">
        <v>48</v>
      </c>
      <c r="M322" s="33" t="n">
        <f>3153</f>
        <v>3153.0</v>
      </c>
      <c r="N322" s="34" t="s">
        <v>274</v>
      </c>
      <c r="O322" s="33" t="n">
        <f>3034</f>
        <v>3034.0</v>
      </c>
      <c r="P322" s="34" t="s">
        <v>197</v>
      </c>
      <c r="Q322" s="33" t="n">
        <f>3098</f>
        <v>3098.0</v>
      </c>
      <c r="R322" s="34" t="s">
        <v>51</v>
      </c>
      <c r="S322" s="35" t="n">
        <f>3100.18</f>
        <v>3100.18</v>
      </c>
      <c r="T322" s="32" t="n">
        <f>1034922</f>
        <v>1034922.0</v>
      </c>
      <c r="U322" s="32" t="n">
        <f>799769</f>
        <v>799769.0</v>
      </c>
      <c r="V322" s="32" t="n">
        <f>3206289708</f>
        <v>3.206289708E9</v>
      </c>
      <c r="W322" s="32" t="n">
        <f>2477817616</f>
        <v>2.477817616E9</v>
      </c>
      <c r="X322" s="36" t="n">
        <f>22</f>
        <v>22.0</v>
      </c>
    </row>
    <row r="323">
      <c r="A323" s="27" t="s">
        <v>42</v>
      </c>
      <c r="B323" s="27" t="s">
        <v>1015</v>
      </c>
      <c r="C323" s="27" t="s">
        <v>1016</v>
      </c>
      <c r="D323" s="27" t="s">
        <v>1017</v>
      </c>
      <c r="E323" s="28" t="s">
        <v>46</v>
      </c>
      <c r="F323" s="29" t="s">
        <v>46</v>
      </c>
      <c r="G323" s="30" t="s">
        <v>46</v>
      </c>
      <c r="H323" s="31"/>
      <c r="I323" s="31" t="s">
        <v>47</v>
      </c>
      <c r="J323" s="32" t="n">
        <v>1.0</v>
      </c>
      <c r="K323" s="33" t="n">
        <f>5000</f>
        <v>5000.0</v>
      </c>
      <c r="L323" s="34" t="s">
        <v>48</v>
      </c>
      <c r="M323" s="33" t="n">
        <f>5058</f>
        <v>5058.0</v>
      </c>
      <c r="N323" s="34" t="s">
        <v>49</v>
      </c>
      <c r="O323" s="33" t="n">
        <f>4695</f>
        <v>4695.0</v>
      </c>
      <c r="P323" s="34" t="s">
        <v>75</v>
      </c>
      <c r="Q323" s="33" t="n">
        <f>4806</f>
        <v>4806.0</v>
      </c>
      <c r="R323" s="34" t="s">
        <v>51</v>
      </c>
      <c r="S323" s="35" t="n">
        <f>4865.57</f>
        <v>4865.57</v>
      </c>
      <c r="T323" s="32" t="n">
        <f>6646</f>
        <v>6646.0</v>
      </c>
      <c r="U323" s="32" t="str">
        <f>"－"</f>
        <v>－</v>
      </c>
      <c r="V323" s="32" t="n">
        <f>32785001</f>
        <v>3.2785001E7</v>
      </c>
      <c r="W323" s="32" t="str">
        <f>"－"</f>
        <v>－</v>
      </c>
      <c r="X323" s="36" t="n">
        <f>21</f>
        <v>21.0</v>
      </c>
    </row>
    <row r="324">
      <c r="A324" s="27" t="s">
        <v>42</v>
      </c>
      <c r="B324" s="27" t="s">
        <v>1018</v>
      </c>
      <c r="C324" s="27" t="s">
        <v>1019</v>
      </c>
      <c r="D324" s="27" t="s">
        <v>1020</v>
      </c>
      <c r="E324" s="28" t="s">
        <v>46</v>
      </c>
      <c r="F324" s="29" t="s">
        <v>46</v>
      </c>
      <c r="G324" s="30" t="s">
        <v>46</v>
      </c>
      <c r="H324" s="31"/>
      <c r="I324" s="31" t="s">
        <v>47</v>
      </c>
      <c r="J324" s="32" t="n">
        <v>1.0</v>
      </c>
      <c r="K324" s="33" t="n">
        <f>3470</f>
        <v>3470.0</v>
      </c>
      <c r="L324" s="34" t="s">
        <v>48</v>
      </c>
      <c r="M324" s="33" t="n">
        <f>3555</f>
        <v>3555.0</v>
      </c>
      <c r="N324" s="34" t="s">
        <v>48</v>
      </c>
      <c r="O324" s="33" t="n">
        <f>2488</f>
        <v>2488.0</v>
      </c>
      <c r="P324" s="34" t="s">
        <v>197</v>
      </c>
      <c r="Q324" s="33" t="n">
        <f>2825</f>
        <v>2825.0</v>
      </c>
      <c r="R324" s="34" t="s">
        <v>51</v>
      </c>
      <c r="S324" s="35" t="n">
        <f>2989.68</f>
        <v>2989.68</v>
      </c>
      <c r="T324" s="32" t="n">
        <f>276967</f>
        <v>276967.0</v>
      </c>
      <c r="U324" s="32" t="str">
        <f>"－"</f>
        <v>－</v>
      </c>
      <c r="V324" s="32" t="n">
        <f>854574358</f>
        <v>8.54574358E8</v>
      </c>
      <c r="W324" s="32" t="str">
        <f>"－"</f>
        <v>－</v>
      </c>
      <c r="X324" s="36" t="n">
        <f>22</f>
        <v>22.0</v>
      </c>
    </row>
    <row r="325">
      <c r="A325" s="27" t="s">
        <v>42</v>
      </c>
      <c r="B325" s="27" t="s">
        <v>1021</v>
      </c>
      <c r="C325" s="27" t="s">
        <v>1022</v>
      </c>
      <c r="D325" s="27" t="s">
        <v>1023</v>
      </c>
      <c r="E325" s="28" t="s">
        <v>46</v>
      </c>
      <c r="F325" s="29" t="s">
        <v>46</v>
      </c>
      <c r="G325" s="30" t="s">
        <v>46</v>
      </c>
      <c r="H325" s="31"/>
      <c r="I325" s="31" t="s">
        <v>47</v>
      </c>
      <c r="J325" s="32" t="n">
        <v>1.0</v>
      </c>
      <c r="K325" s="33" t="n">
        <f>2772</f>
        <v>2772.0</v>
      </c>
      <c r="L325" s="34" t="s">
        <v>48</v>
      </c>
      <c r="M325" s="33" t="n">
        <f>2901</f>
        <v>2901.0</v>
      </c>
      <c r="N325" s="34" t="s">
        <v>58</v>
      </c>
      <c r="O325" s="33" t="n">
        <f>2527</f>
        <v>2527.0</v>
      </c>
      <c r="P325" s="34" t="s">
        <v>50</v>
      </c>
      <c r="Q325" s="33" t="n">
        <f>2664</f>
        <v>2664.0</v>
      </c>
      <c r="R325" s="34" t="s">
        <v>51</v>
      </c>
      <c r="S325" s="35" t="n">
        <f>2694.91</f>
        <v>2694.91</v>
      </c>
      <c r="T325" s="32" t="n">
        <f>1859614</f>
        <v>1859614.0</v>
      </c>
      <c r="U325" s="32" t="n">
        <f>328995</f>
        <v>328995.0</v>
      </c>
      <c r="V325" s="32" t="n">
        <f>5008687068</f>
        <v>5.008687068E9</v>
      </c>
      <c r="W325" s="32" t="n">
        <f>892933679</f>
        <v>8.92933679E8</v>
      </c>
      <c r="X325" s="36" t="n">
        <f>22</f>
        <v>22.0</v>
      </c>
    </row>
    <row r="326">
      <c r="A326" s="27" t="s">
        <v>42</v>
      </c>
      <c r="B326" s="27" t="s">
        <v>1024</v>
      </c>
      <c r="C326" s="27" t="s">
        <v>1025</v>
      </c>
      <c r="D326" s="27" t="s">
        <v>1026</v>
      </c>
      <c r="E326" s="28" t="s">
        <v>46</v>
      </c>
      <c r="F326" s="29" t="s">
        <v>46</v>
      </c>
      <c r="G326" s="30" t="s">
        <v>46</v>
      </c>
      <c r="H326" s="31"/>
      <c r="I326" s="31" t="s">
        <v>47</v>
      </c>
      <c r="J326" s="32" t="n">
        <v>1.0</v>
      </c>
      <c r="K326" s="33" t="n">
        <f>1666</f>
        <v>1666.0</v>
      </c>
      <c r="L326" s="34" t="s">
        <v>48</v>
      </c>
      <c r="M326" s="33" t="n">
        <f>1742</f>
        <v>1742.0</v>
      </c>
      <c r="N326" s="34" t="s">
        <v>116</v>
      </c>
      <c r="O326" s="33" t="n">
        <f>1600</f>
        <v>1600.0</v>
      </c>
      <c r="P326" s="34" t="s">
        <v>71</v>
      </c>
      <c r="Q326" s="33" t="n">
        <f>1675</f>
        <v>1675.0</v>
      </c>
      <c r="R326" s="34" t="s">
        <v>51</v>
      </c>
      <c r="S326" s="35" t="n">
        <f>1672.05</f>
        <v>1672.05</v>
      </c>
      <c r="T326" s="32" t="n">
        <f>35309</f>
        <v>35309.0</v>
      </c>
      <c r="U326" s="32" t="str">
        <f>"－"</f>
        <v>－</v>
      </c>
      <c r="V326" s="32" t="n">
        <f>58952260</f>
        <v>5.895226E7</v>
      </c>
      <c r="W326" s="32" t="str">
        <f>"－"</f>
        <v>－</v>
      </c>
      <c r="X326" s="36" t="n">
        <f>22</f>
        <v>22.0</v>
      </c>
    </row>
    <row r="327">
      <c r="A327" s="27" t="s">
        <v>42</v>
      </c>
      <c r="B327" s="27" t="s">
        <v>1027</v>
      </c>
      <c r="C327" s="27" t="s">
        <v>1028</v>
      </c>
      <c r="D327" s="27" t="s">
        <v>1029</v>
      </c>
      <c r="E327" s="28" t="s">
        <v>46</v>
      </c>
      <c r="F327" s="29" t="s">
        <v>46</v>
      </c>
      <c r="G327" s="30" t="s">
        <v>46</v>
      </c>
      <c r="H327" s="31"/>
      <c r="I327" s="31" t="s">
        <v>47</v>
      </c>
      <c r="J327" s="32" t="n">
        <v>1.0</v>
      </c>
      <c r="K327" s="33" t="n">
        <f>3364</f>
        <v>3364.0</v>
      </c>
      <c r="L327" s="34" t="s">
        <v>48</v>
      </c>
      <c r="M327" s="33" t="n">
        <f>4148</f>
        <v>4148.0</v>
      </c>
      <c r="N327" s="34" t="s">
        <v>75</v>
      </c>
      <c r="O327" s="33" t="n">
        <f>3364</f>
        <v>3364.0</v>
      </c>
      <c r="P327" s="34" t="s">
        <v>48</v>
      </c>
      <c r="Q327" s="33" t="n">
        <f>3939</f>
        <v>3939.0</v>
      </c>
      <c r="R327" s="34" t="s">
        <v>51</v>
      </c>
      <c r="S327" s="35" t="n">
        <f>3662.91</f>
        <v>3662.91</v>
      </c>
      <c r="T327" s="32" t="n">
        <f>686243</f>
        <v>686243.0</v>
      </c>
      <c r="U327" s="32" t="n">
        <f>26325</f>
        <v>26325.0</v>
      </c>
      <c r="V327" s="32" t="n">
        <f>2606724493</f>
        <v>2.606724493E9</v>
      </c>
      <c r="W327" s="32" t="n">
        <f>100214690</f>
        <v>1.0021469E8</v>
      </c>
      <c r="X327" s="36" t="n">
        <f>22</f>
        <v>22.0</v>
      </c>
    </row>
    <row r="328">
      <c r="A328" s="27" t="s">
        <v>42</v>
      </c>
      <c r="B328" s="27" t="s">
        <v>1030</v>
      </c>
      <c r="C328" s="27" t="s">
        <v>1031</v>
      </c>
      <c r="D328" s="27" t="s">
        <v>1032</v>
      </c>
      <c r="E328" s="28" t="s">
        <v>46</v>
      </c>
      <c r="F328" s="29" t="s">
        <v>46</v>
      </c>
      <c r="G328" s="30" t="s">
        <v>46</v>
      </c>
      <c r="H328" s="31"/>
      <c r="I328" s="31" t="s">
        <v>47</v>
      </c>
      <c r="J328" s="32" t="n">
        <v>1.0</v>
      </c>
      <c r="K328" s="33" t="n">
        <f>4301</f>
        <v>4301.0</v>
      </c>
      <c r="L328" s="34" t="s">
        <v>48</v>
      </c>
      <c r="M328" s="33" t="n">
        <f>4522</f>
        <v>4522.0</v>
      </c>
      <c r="N328" s="34" t="s">
        <v>51</v>
      </c>
      <c r="O328" s="33" t="n">
        <f>4202</f>
        <v>4202.0</v>
      </c>
      <c r="P328" s="34" t="s">
        <v>50</v>
      </c>
      <c r="Q328" s="33" t="n">
        <f>4438</f>
        <v>4438.0</v>
      </c>
      <c r="R328" s="34" t="s">
        <v>51</v>
      </c>
      <c r="S328" s="35" t="n">
        <f>4357.45</f>
        <v>4357.45</v>
      </c>
      <c r="T328" s="32" t="n">
        <f>6668010</f>
        <v>6668010.0</v>
      </c>
      <c r="U328" s="32" t="n">
        <f>3918330</f>
        <v>3918330.0</v>
      </c>
      <c r="V328" s="32" t="n">
        <f>29391177699</f>
        <v>2.9391177699E10</v>
      </c>
      <c r="W328" s="32" t="n">
        <f>17222090104</f>
        <v>1.7222090104E10</v>
      </c>
      <c r="X328" s="36" t="n">
        <f>22</f>
        <v>22.0</v>
      </c>
    </row>
    <row r="329">
      <c r="A329" s="27" t="s">
        <v>42</v>
      </c>
      <c r="B329" s="27" t="s">
        <v>1033</v>
      </c>
      <c r="C329" s="27" t="s">
        <v>1034</v>
      </c>
      <c r="D329" s="27" t="s">
        <v>1035</v>
      </c>
      <c r="E329" s="28" t="s">
        <v>46</v>
      </c>
      <c r="F329" s="29" t="s">
        <v>46</v>
      </c>
      <c r="G329" s="30" t="s">
        <v>46</v>
      </c>
      <c r="H329" s="31"/>
      <c r="I329" s="31" t="s">
        <v>47</v>
      </c>
      <c r="J329" s="32" t="n">
        <v>1.0</v>
      </c>
      <c r="K329" s="33" t="n">
        <f>53050</f>
        <v>53050.0</v>
      </c>
      <c r="L329" s="34" t="s">
        <v>48</v>
      </c>
      <c r="M329" s="33" t="n">
        <f>56700</f>
        <v>56700.0</v>
      </c>
      <c r="N329" s="34" t="s">
        <v>62</v>
      </c>
      <c r="O329" s="33" t="n">
        <f>51620</f>
        <v>51620.0</v>
      </c>
      <c r="P329" s="34" t="s">
        <v>50</v>
      </c>
      <c r="Q329" s="33" t="n">
        <f>52580</f>
        <v>52580.0</v>
      </c>
      <c r="R329" s="34" t="s">
        <v>51</v>
      </c>
      <c r="S329" s="35" t="n">
        <f>53007.22</f>
        <v>53007.22</v>
      </c>
      <c r="T329" s="32" t="n">
        <f>328</f>
        <v>328.0</v>
      </c>
      <c r="U329" s="32" t="str">
        <f>"－"</f>
        <v>－</v>
      </c>
      <c r="V329" s="32" t="n">
        <f>17481710</f>
        <v>1.748171E7</v>
      </c>
      <c r="W329" s="32" t="str">
        <f>"－"</f>
        <v>－</v>
      </c>
      <c r="X329" s="36" t="n">
        <f>18</f>
        <v>18.0</v>
      </c>
    </row>
    <row r="330">
      <c r="A330" s="27" t="s">
        <v>42</v>
      </c>
      <c r="B330" s="27" t="s">
        <v>1036</v>
      </c>
      <c r="C330" s="27" t="s">
        <v>1037</v>
      </c>
      <c r="D330" s="27" t="s">
        <v>1038</v>
      </c>
      <c r="E330" s="28" t="s">
        <v>46</v>
      </c>
      <c r="F330" s="29" t="s">
        <v>46</v>
      </c>
      <c r="G330" s="30" t="s">
        <v>46</v>
      </c>
      <c r="H330" s="31" t="s">
        <v>1039</v>
      </c>
      <c r="I330" s="31" t="s">
        <v>47</v>
      </c>
      <c r="J330" s="32" t="n">
        <v>1.0</v>
      </c>
      <c r="K330" s="33" t="n">
        <f>4312</f>
        <v>4312.0</v>
      </c>
      <c r="L330" s="34" t="s">
        <v>48</v>
      </c>
      <c r="M330" s="33" t="n">
        <f>4395</f>
        <v>4395.0</v>
      </c>
      <c r="N330" s="34" t="s">
        <v>49</v>
      </c>
      <c r="O330" s="33" t="n">
        <f>4111</f>
        <v>4111.0</v>
      </c>
      <c r="P330" s="34" t="s">
        <v>50</v>
      </c>
      <c r="Q330" s="33" t="n">
        <f>4358</f>
        <v>4358.0</v>
      </c>
      <c r="R330" s="34" t="s">
        <v>51</v>
      </c>
      <c r="S330" s="35" t="n">
        <f>4259.32</f>
        <v>4259.32</v>
      </c>
      <c r="T330" s="32" t="n">
        <f>7447</f>
        <v>7447.0</v>
      </c>
      <c r="U330" s="32" t="str">
        <f>"－"</f>
        <v>－</v>
      </c>
      <c r="V330" s="32" t="n">
        <f>31921839</f>
        <v>3.1921839E7</v>
      </c>
      <c r="W330" s="32" t="str">
        <f>"－"</f>
        <v>－</v>
      </c>
      <c r="X330" s="36" t="n">
        <f>19</f>
        <v>19.0</v>
      </c>
    </row>
    <row r="331">
      <c r="A331" s="27" t="s">
        <v>42</v>
      </c>
      <c r="B331" s="27" t="s">
        <v>1040</v>
      </c>
      <c r="C331" s="27" t="s">
        <v>1041</v>
      </c>
      <c r="D331" s="27" t="s">
        <v>1042</v>
      </c>
      <c r="E331" s="28" t="s">
        <v>46</v>
      </c>
      <c r="F331" s="29" t="s">
        <v>46</v>
      </c>
      <c r="G331" s="30" t="s">
        <v>46</v>
      </c>
      <c r="H331" s="31"/>
      <c r="I331" s="31" t="s">
        <v>47</v>
      </c>
      <c r="J331" s="32" t="n">
        <v>1.0</v>
      </c>
      <c r="K331" s="33" t="n">
        <f>5164</f>
        <v>5164.0</v>
      </c>
      <c r="L331" s="34" t="s">
        <v>48</v>
      </c>
      <c r="M331" s="33" t="n">
        <f>5288</f>
        <v>5288.0</v>
      </c>
      <c r="N331" s="34" t="s">
        <v>48</v>
      </c>
      <c r="O331" s="33" t="n">
        <f>3360</f>
        <v>3360.0</v>
      </c>
      <c r="P331" s="34" t="s">
        <v>75</v>
      </c>
      <c r="Q331" s="33" t="n">
        <f>3912</f>
        <v>3912.0</v>
      </c>
      <c r="R331" s="34" t="s">
        <v>51</v>
      </c>
      <c r="S331" s="35" t="n">
        <f>4473.86</f>
        <v>4473.86</v>
      </c>
      <c r="T331" s="32" t="n">
        <f>47825457</f>
        <v>4.7825457E7</v>
      </c>
      <c r="U331" s="32" t="n">
        <f>1531195</f>
        <v>1531195.0</v>
      </c>
      <c r="V331" s="32" t="n">
        <f>213051596182</f>
        <v>2.13051596182E11</v>
      </c>
      <c r="W331" s="32" t="n">
        <f>6354690211</f>
        <v>6.354690211E9</v>
      </c>
      <c r="X331" s="36" t="n">
        <f>22</f>
        <v>22.0</v>
      </c>
    </row>
    <row r="332">
      <c r="A332" s="27" t="s">
        <v>42</v>
      </c>
      <c r="B332" s="27" t="s">
        <v>1043</v>
      </c>
      <c r="C332" s="27" t="s">
        <v>1044</v>
      </c>
      <c r="D332" s="27" t="s">
        <v>1045</v>
      </c>
      <c r="E332" s="28" t="s">
        <v>46</v>
      </c>
      <c r="F332" s="29" t="s">
        <v>46</v>
      </c>
      <c r="G332" s="30" t="s">
        <v>46</v>
      </c>
      <c r="H332" s="31"/>
      <c r="I332" s="31" t="s">
        <v>47</v>
      </c>
      <c r="J332" s="32" t="n">
        <v>1.0</v>
      </c>
      <c r="K332" s="33" t="n">
        <f>2870</f>
        <v>2870.0</v>
      </c>
      <c r="L332" s="34" t="s">
        <v>48</v>
      </c>
      <c r="M332" s="33" t="n">
        <f>3173</f>
        <v>3173.0</v>
      </c>
      <c r="N332" s="34" t="s">
        <v>51</v>
      </c>
      <c r="O332" s="33" t="n">
        <f>2845</f>
        <v>2845.0</v>
      </c>
      <c r="P332" s="34" t="s">
        <v>62</v>
      </c>
      <c r="Q332" s="33" t="n">
        <f>3150</f>
        <v>3150.0</v>
      </c>
      <c r="R332" s="34" t="s">
        <v>51</v>
      </c>
      <c r="S332" s="35" t="n">
        <f>2970.14</f>
        <v>2970.14</v>
      </c>
      <c r="T332" s="32" t="n">
        <f>14182</f>
        <v>14182.0</v>
      </c>
      <c r="U332" s="32" t="str">
        <f>"－"</f>
        <v>－</v>
      </c>
      <c r="V332" s="32" t="n">
        <f>41783967</f>
        <v>4.1783967E7</v>
      </c>
      <c r="W332" s="32" t="str">
        <f>"－"</f>
        <v>－</v>
      </c>
      <c r="X332" s="36" t="n">
        <f>22</f>
        <v>22.0</v>
      </c>
    </row>
    <row r="333">
      <c r="A333" s="27" t="s">
        <v>42</v>
      </c>
      <c r="B333" s="27" t="s">
        <v>1046</v>
      </c>
      <c r="C333" s="27" t="s">
        <v>1047</v>
      </c>
      <c r="D333" s="27" t="s">
        <v>1048</v>
      </c>
      <c r="E333" s="28" t="s">
        <v>46</v>
      </c>
      <c r="F333" s="29" t="s">
        <v>46</v>
      </c>
      <c r="G333" s="30" t="s">
        <v>46</v>
      </c>
      <c r="H333" s="31"/>
      <c r="I333" s="31" t="s">
        <v>47</v>
      </c>
      <c r="J333" s="32" t="n">
        <v>1.0</v>
      </c>
      <c r="K333" s="33" t="n">
        <f>3820</f>
        <v>3820.0</v>
      </c>
      <c r="L333" s="34" t="s">
        <v>48</v>
      </c>
      <c r="M333" s="33" t="n">
        <f>3840</f>
        <v>3840.0</v>
      </c>
      <c r="N333" s="34" t="s">
        <v>48</v>
      </c>
      <c r="O333" s="33" t="n">
        <f>3177</f>
        <v>3177.0</v>
      </c>
      <c r="P333" s="34" t="s">
        <v>197</v>
      </c>
      <c r="Q333" s="33" t="n">
        <f>3565</f>
        <v>3565.0</v>
      </c>
      <c r="R333" s="34" t="s">
        <v>51</v>
      </c>
      <c r="S333" s="35" t="n">
        <f>3530.14</f>
        <v>3530.14</v>
      </c>
      <c r="T333" s="32" t="n">
        <f>198008</f>
        <v>198008.0</v>
      </c>
      <c r="U333" s="32" t="n">
        <f>250</f>
        <v>250.0</v>
      </c>
      <c r="V333" s="32" t="n">
        <f>695418552</f>
        <v>6.95418552E8</v>
      </c>
      <c r="W333" s="32" t="n">
        <f>833710</f>
        <v>833710.0</v>
      </c>
      <c r="X333" s="36" t="n">
        <f>22</f>
        <v>22.0</v>
      </c>
    </row>
    <row r="334">
      <c r="A334" s="27" t="s">
        <v>42</v>
      </c>
      <c r="B334" s="27" t="s">
        <v>1049</v>
      </c>
      <c r="C334" s="27" t="s">
        <v>1050</v>
      </c>
      <c r="D334" s="27" t="s">
        <v>1051</v>
      </c>
      <c r="E334" s="28" t="s">
        <v>46</v>
      </c>
      <c r="F334" s="29" t="s">
        <v>46</v>
      </c>
      <c r="G334" s="30" t="s">
        <v>46</v>
      </c>
      <c r="H334" s="31"/>
      <c r="I334" s="31" t="s">
        <v>47</v>
      </c>
      <c r="J334" s="32" t="n">
        <v>1.0</v>
      </c>
      <c r="K334" s="33" t="n">
        <f>6199</f>
        <v>6199.0</v>
      </c>
      <c r="L334" s="34" t="s">
        <v>48</v>
      </c>
      <c r="M334" s="33" t="n">
        <f>6199</f>
        <v>6199.0</v>
      </c>
      <c r="N334" s="34" t="s">
        <v>48</v>
      </c>
      <c r="O334" s="33" t="n">
        <f>5924</f>
        <v>5924.0</v>
      </c>
      <c r="P334" s="34" t="s">
        <v>51</v>
      </c>
      <c r="Q334" s="33" t="n">
        <f>5938</f>
        <v>5938.0</v>
      </c>
      <c r="R334" s="34" t="s">
        <v>51</v>
      </c>
      <c r="S334" s="35" t="n">
        <f>6022.68</f>
        <v>6022.68</v>
      </c>
      <c r="T334" s="32" t="n">
        <f>617877</f>
        <v>617877.0</v>
      </c>
      <c r="U334" s="32" t="n">
        <f>259445</f>
        <v>259445.0</v>
      </c>
      <c r="V334" s="32" t="n">
        <f>3701634171</f>
        <v>3.701634171E9</v>
      </c>
      <c r="W334" s="32" t="n">
        <f>1543442990</f>
        <v>1.54344299E9</v>
      </c>
      <c r="X334" s="36" t="n">
        <f>22</f>
        <v>22.0</v>
      </c>
    </row>
    <row r="335">
      <c r="A335" s="27" t="s">
        <v>42</v>
      </c>
      <c r="B335" s="27" t="s">
        <v>1052</v>
      </c>
      <c r="C335" s="27" t="s">
        <v>1053</v>
      </c>
      <c r="D335" s="27" t="s">
        <v>1054</v>
      </c>
      <c r="E335" s="28" t="s">
        <v>46</v>
      </c>
      <c r="F335" s="29" t="s">
        <v>46</v>
      </c>
      <c r="G335" s="30" t="s">
        <v>46</v>
      </c>
      <c r="H335" s="31"/>
      <c r="I335" s="31" t="s">
        <v>47</v>
      </c>
      <c r="J335" s="32" t="n">
        <v>1.0</v>
      </c>
      <c r="K335" s="33" t="n">
        <f>3419</f>
        <v>3419.0</v>
      </c>
      <c r="L335" s="34" t="s">
        <v>48</v>
      </c>
      <c r="M335" s="33" t="n">
        <f>3420</f>
        <v>3420.0</v>
      </c>
      <c r="N335" s="34" t="s">
        <v>214</v>
      </c>
      <c r="O335" s="33" t="n">
        <f>3338</f>
        <v>3338.0</v>
      </c>
      <c r="P335" s="34" t="s">
        <v>71</v>
      </c>
      <c r="Q335" s="33" t="n">
        <f>3358</f>
        <v>3358.0</v>
      </c>
      <c r="R335" s="34" t="s">
        <v>51</v>
      </c>
      <c r="S335" s="35" t="n">
        <f>3368.14</f>
        <v>3368.14</v>
      </c>
      <c r="T335" s="32" t="n">
        <f>650805</f>
        <v>650805.0</v>
      </c>
      <c r="U335" s="32" t="n">
        <f>246403</f>
        <v>246403.0</v>
      </c>
      <c r="V335" s="32" t="n">
        <f>2200559758</f>
        <v>2.200559758E9</v>
      </c>
      <c r="W335" s="32" t="n">
        <f>835096286</f>
        <v>8.35096286E8</v>
      </c>
      <c r="X335" s="36" t="n">
        <f>22</f>
        <v>22.0</v>
      </c>
    </row>
    <row r="336">
      <c r="A336" s="27" t="s">
        <v>42</v>
      </c>
      <c r="B336" s="27" t="s">
        <v>1055</v>
      </c>
      <c r="C336" s="27" t="s">
        <v>1056</v>
      </c>
      <c r="D336" s="27" t="s">
        <v>1057</v>
      </c>
      <c r="E336" s="28" t="s">
        <v>46</v>
      </c>
      <c r="F336" s="29" t="s">
        <v>46</v>
      </c>
      <c r="G336" s="30" t="s">
        <v>46</v>
      </c>
      <c r="H336" s="31"/>
      <c r="I336" s="31" t="s">
        <v>47</v>
      </c>
      <c r="J336" s="32" t="n">
        <v>10.0</v>
      </c>
      <c r="K336" s="33" t="n">
        <f>597.9</f>
        <v>597.9</v>
      </c>
      <c r="L336" s="34" t="s">
        <v>48</v>
      </c>
      <c r="M336" s="33" t="n">
        <f>597.9</f>
        <v>597.9</v>
      </c>
      <c r="N336" s="34" t="s">
        <v>48</v>
      </c>
      <c r="O336" s="33" t="n">
        <f>572.9</f>
        <v>572.9</v>
      </c>
      <c r="P336" s="34" t="s">
        <v>197</v>
      </c>
      <c r="Q336" s="33" t="n">
        <f>576.2</f>
        <v>576.2</v>
      </c>
      <c r="R336" s="34" t="s">
        <v>51</v>
      </c>
      <c r="S336" s="35" t="n">
        <f>581.97</f>
        <v>581.97</v>
      </c>
      <c r="T336" s="32" t="n">
        <f>55620</f>
        <v>55620.0</v>
      </c>
      <c r="U336" s="32" t="str">
        <f>"－"</f>
        <v>－</v>
      </c>
      <c r="V336" s="32" t="n">
        <f>32230687</f>
        <v>3.2230687E7</v>
      </c>
      <c r="W336" s="32" t="str">
        <f>"－"</f>
        <v>－</v>
      </c>
      <c r="X336" s="36" t="n">
        <f>22</f>
        <v>22.0</v>
      </c>
    </row>
    <row r="337">
      <c r="A337" s="27" t="s">
        <v>42</v>
      </c>
      <c r="B337" s="27" t="s">
        <v>1058</v>
      </c>
      <c r="C337" s="27" t="s">
        <v>1059</v>
      </c>
      <c r="D337" s="27" t="s">
        <v>1060</v>
      </c>
      <c r="E337" s="28" t="s">
        <v>46</v>
      </c>
      <c r="F337" s="29" t="s">
        <v>46</v>
      </c>
      <c r="G337" s="30" t="s">
        <v>46</v>
      </c>
      <c r="H337" s="31"/>
      <c r="I337" s="31" t="s">
        <v>47</v>
      </c>
      <c r="J337" s="32" t="n">
        <v>1.0</v>
      </c>
      <c r="K337" s="33" t="n">
        <f>9850</f>
        <v>9850.0</v>
      </c>
      <c r="L337" s="34" t="s">
        <v>48</v>
      </c>
      <c r="M337" s="33" t="n">
        <f>10105</f>
        <v>10105.0</v>
      </c>
      <c r="N337" s="34" t="s">
        <v>214</v>
      </c>
      <c r="O337" s="33" t="n">
        <f>9700</f>
        <v>9700.0</v>
      </c>
      <c r="P337" s="34" t="s">
        <v>50</v>
      </c>
      <c r="Q337" s="33" t="n">
        <f>9820</f>
        <v>9820.0</v>
      </c>
      <c r="R337" s="34" t="s">
        <v>51</v>
      </c>
      <c r="S337" s="35" t="n">
        <f>9878.32</f>
        <v>9878.32</v>
      </c>
      <c r="T337" s="32" t="n">
        <f>2818</f>
        <v>2818.0</v>
      </c>
      <c r="U337" s="32" t="str">
        <f>"－"</f>
        <v>－</v>
      </c>
      <c r="V337" s="32" t="n">
        <f>27759964</f>
        <v>2.7759964E7</v>
      </c>
      <c r="W337" s="32" t="str">
        <f>"－"</f>
        <v>－</v>
      </c>
      <c r="X337" s="36" t="n">
        <f>22</f>
        <v>22.0</v>
      </c>
    </row>
    <row r="338">
      <c r="A338" s="27" t="s">
        <v>42</v>
      </c>
      <c r="B338" s="27" t="s">
        <v>1061</v>
      </c>
      <c r="C338" s="27" t="s">
        <v>1062</v>
      </c>
      <c r="D338" s="27" t="s">
        <v>1063</v>
      </c>
      <c r="E338" s="28" t="s">
        <v>46</v>
      </c>
      <c r="F338" s="29" t="s">
        <v>46</v>
      </c>
      <c r="G338" s="30" t="s">
        <v>46</v>
      </c>
      <c r="H338" s="31"/>
      <c r="I338" s="31" t="s">
        <v>47</v>
      </c>
      <c r="J338" s="32" t="n">
        <v>1.0</v>
      </c>
      <c r="K338" s="33" t="n">
        <f>3285</f>
        <v>3285.0</v>
      </c>
      <c r="L338" s="34" t="s">
        <v>48</v>
      </c>
      <c r="M338" s="33" t="n">
        <f>3328</f>
        <v>3328.0</v>
      </c>
      <c r="N338" s="34" t="s">
        <v>48</v>
      </c>
      <c r="O338" s="33" t="n">
        <f>1913</f>
        <v>1913.0</v>
      </c>
      <c r="P338" s="34" t="s">
        <v>75</v>
      </c>
      <c r="Q338" s="33" t="n">
        <f>2312</f>
        <v>2312.0</v>
      </c>
      <c r="R338" s="34" t="s">
        <v>51</v>
      </c>
      <c r="S338" s="35" t="n">
        <f>2651.5</f>
        <v>2651.5</v>
      </c>
      <c r="T338" s="32" t="n">
        <f>14679758</f>
        <v>1.4679758E7</v>
      </c>
      <c r="U338" s="32" t="n">
        <f>1653896</f>
        <v>1653896.0</v>
      </c>
      <c r="V338" s="32" t="n">
        <f>37127670136</f>
        <v>3.7127670136E10</v>
      </c>
      <c r="W338" s="32" t="n">
        <f>3908404055</f>
        <v>3.908404055E9</v>
      </c>
      <c r="X338" s="36" t="n">
        <f>22</f>
        <v>22.0</v>
      </c>
    </row>
    <row r="339">
      <c r="A339" s="27" t="s">
        <v>42</v>
      </c>
      <c r="B339" s="27" t="s">
        <v>1064</v>
      </c>
      <c r="C339" s="27" t="s">
        <v>1065</v>
      </c>
      <c r="D339" s="27" t="s">
        <v>1066</v>
      </c>
      <c r="E339" s="28" t="s">
        <v>46</v>
      </c>
      <c r="F339" s="29" t="s">
        <v>46</v>
      </c>
      <c r="G339" s="30" t="s">
        <v>46</v>
      </c>
      <c r="H339" s="31"/>
      <c r="I339" s="31" t="s">
        <v>47</v>
      </c>
      <c r="J339" s="32" t="n">
        <v>1.0</v>
      </c>
      <c r="K339" s="33" t="n">
        <f>2823</f>
        <v>2823.0</v>
      </c>
      <c r="L339" s="34" t="s">
        <v>48</v>
      </c>
      <c r="M339" s="33" t="n">
        <f>3300</f>
        <v>3300.0</v>
      </c>
      <c r="N339" s="34" t="s">
        <v>197</v>
      </c>
      <c r="O339" s="33" t="n">
        <f>2823</f>
        <v>2823.0</v>
      </c>
      <c r="P339" s="34" t="s">
        <v>48</v>
      </c>
      <c r="Q339" s="33" t="n">
        <f>3140</f>
        <v>3140.0</v>
      </c>
      <c r="R339" s="34" t="s">
        <v>51</v>
      </c>
      <c r="S339" s="35" t="n">
        <f>3099.27</f>
        <v>3099.27</v>
      </c>
      <c r="T339" s="32" t="n">
        <f>10889</f>
        <v>10889.0</v>
      </c>
      <c r="U339" s="32" t="str">
        <f>"－"</f>
        <v>－</v>
      </c>
      <c r="V339" s="32" t="n">
        <f>33676827</f>
        <v>3.3676827E7</v>
      </c>
      <c r="W339" s="32" t="str">
        <f>"－"</f>
        <v>－</v>
      </c>
      <c r="X339" s="36" t="n">
        <f>22</f>
        <v>22.0</v>
      </c>
    </row>
    <row r="340">
      <c r="A340" s="27" t="s">
        <v>42</v>
      </c>
      <c r="B340" s="27" t="s">
        <v>1067</v>
      </c>
      <c r="C340" s="27" t="s">
        <v>1068</v>
      </c>
      <c r="D340" s="27" t="s">
        <v>1069</v>
      </c>
      <c r="E340" s="28" t="s">
        <v>46</v>
      </c>
      <c r="F340" s="29" t="s">
        <v>46</v>
      </c>
      <c r="G340" s="30" t="s">
        <v>46</v>
      </c>
      <c r="H340" s="31"/>
      <c r="I340" s="31" t="s">
        <v>47</v>
      </c>
      <c r="J340" s="32" t="n">
        <v>1.0</v>
      </c>
      <c r="K340" s="33" t="n">
        <f>5972</f>
        <v>5972.0</v>
      </c>
      <c r="L340" s="34" t="s">
        <v>48</v>
      </c>
      <c r="M340" s="33" t="n">
        <f>5987</f>
        <v>5987.0</v>
      </c>
      <c r="N340" s="34" t="s">
        <v>48</v>
      </c>
      <c r="O340" s="33" t="n">
        <f>4389</f>
        <v>4389.0</v>
      </c>
      <c r="P340" s="34" t="s">
        <v>50</v>
      </c>
      <c r="Q340" s="33" t="n">
        <f>4695</f>
        <v>4695.0</v>
      </c>
      <c r="R340" s="34" t="s">
        <v>51</v>
      </c>
      <c r="S340" s="35" t="n">
        <f>5083.14</f>
        <v>5083.14</v>
      </c>
      <c r="T340" s="32" t="n">
        <f>1159756</f>
        <v>1159756.0</v>
      </c>
      <c r="U340" s="32" t="n">
        <f>10</f>
        <v>10.0</v>
      </c>
      <c r="V340" s="32" t="n">
        <f>5934175269</f>
        <v>5.934175269E9</v>
      </c>
      <c r="W340" s="32" t="n">
        <f>44010</f>
        <v>44010.0</v>
      </c>
      <c r="X340" s="36" t="n">
        <f>22</f>
        <v>22.0</v>
      </c>
    </row>
    <row r="341">
      <c r="A341" s="27" t="s">
        <v>42</v>
      </c>
      <c r="B341" s="27" t="s">
        <v>1070</v>
      </c>
      <c r="C341" s="27" t="s">
        <v>1071</v>
      </c>
      <c r="D341" s="27" t="s">
        <v>1072</v>
      </c>
      <c r="E341" s="28" t="s">
        <v>46</v>
      </c>
      <c r="F341" s="29" t="s">
        <v>46</v>
      </c>
      <c r="G341" s="30" t="s">
        <v>46</v>
      </c>
      <c r="H341" s="31"/>
      <c r="I341" s="31" t="s">
        <v>47</v>
      </c>
      <c r="J341" s="32" t="n">
        <v>1.0</v>
      </c>
      <c r="K341" s="33" t="n">
        <f>9099</f>
        <v>9099.0</v>
      </c>
      <c r="L341" s="34" t="s">
        <v>48</v>
      </c>
      <c r="M341" s="33" t="n">
        <f>9127</f>
        <v>9127.0</v>
      </c>
      <c r="N341" s="34" t="s">
        <v>160</v>
      </c>
      <c r="O341" s="33" t="n">
        <f>8847</f>
        <v>8847.0</v>
      </c>
      <c r="P341" s="34" t="s">
        <v>51</v>
      </c>
      <c r="Q341" s="33" t="n">
        <f>8884</f>
        <v>8884.0</v>
      </c>
      <c r="R341" s="34" t="s">
        <v>51</v>
      </c>
      <c r="S341" s="35" t="n">
        <f>8998.41</f>
        <v>8998.41</v>
      </c>
      <c r="T341" s="32" t="n">
        <f>602328</f>
        <v>602328.0</v>
      </c>
      <c r="U341" s="32" t="n">
        <f>478734</f>
        <v>478734.0</v>
      </c>
      <c r="V341" s="32" t="n">
        <f>5401077853</f>
        <v>5.401077853E9</v>
      </c>
      <c r="W341" s="32" t="n">
        <f>4288234315</f>
        <v>4.288234315E9</v>
      </c>
      <c r="X341" s="36" t="n">
        <f>22</f>
        <v>22.0</v>
      </c>
    </row>
    <row r="342">
      <c r="A342" s="27" t="s">
        <v>42</v>
      </c>
      <c r="B342" s="27" t="s">
        <v>1073</v>
      </c>
      <c r="C342" s="27" t="s">
        <v>1074</v>
      </c>
      <c r="D342" s="27" t="s">
        <v>1075</v>
      </c>
      <c r="E342" s="28" t="s">
        <v>46</v>
      </c>
      <c r="F342" s="29" t="s">
        <v>46</v>
      </c>
      <c r="G342" s="30" t="s">
        <v>46</v>
      </c>
      <c r="H342" s="31"/>
      <c r="I342" s="31" t="s">
        <v>47</v>
      </c>
      <c r="J342" s="32" t="n">
        <v>1.0</v>
      </c>
      <c r="K342" s="33" t="n">
        <f>5093</f>
        <v>5093.0</v>
      </c>
      <c r="L342" s="34" t="s">
        <v>48</v>
      </c>
      <c r="M342" s="33" t="n">
        <f>5149</f>
        <v>5149.0</v>
      </c>
      <c r="N342" s="34" t="s">
        <v>69</v>
      </c>
      <c r="O342" s="33" t="n">
        <f>4998</f>
        <v>4998.0</v>
      </c>
      <c r="P342" s="34" t="s">
        <v>71</v>
      </c>
      <c r="Q342" s="33" t="n">
        <f>5024</f>
        <v>5024.0</v>
      </c>
      <c r="R342" s="34" t="s">
        <v>51</v>
      </c>
      <c r="S342" s="35" t="n">
        <f>5042.57</f>
        <v>5042.57</v>
      </c>
      <c r="T342" s="32" t="n">
        <f>321149</f>
        <v>321149.0</v>
      </c>
      <c r="U342" s="32" t="n">
        <f>220000</f>
        <v>220000.0</v>
      </c>
      <c r="V342" s="32" t="n">
        <f>1613564242</f>
        <v>1.613564242E9</v>
      </c>
      <c r="W342" s="32" t="n">
        <f>1103303980</f>
        <v>1.10330398E9</v>
      </c>
      <c r="X342" s="36" t="n">
        <f>21</f>
        <v>21.0</v>
      </c>
    </row>
    <row r="343">
      <c r="A343" s="27" t="s">
        <v>42</v>
      </c>
      <c r="B343" s="27" t="s">
        <v>1076</v>
      </c>
      <c r="C343" s="27" t="s">
        <v>1077</v>
      </c>
      <c r="D343" s="27" t="s">
        <v>1078</v>
      </c>
      <c r="E343" s="28" t="s">
        <v>46</v>
      </c>
      <c r="F343" s="29" t="s">
        <v>46</v>
      </c>
      <c r="G343" s="30" t="s">
        <v>46</v>
      </c>
      <c r="H343" s="31"/>
      <c r="I343" s="31" t="s">
        <v>47</v>
      </c>
      <c r="J343" s="32" t="n">
        <v>1.0</v>
      </c>
      <c r="K343" s="33" t="n">
        <f>1420</f>
        <v>1420.0</v>
      </c>
      <c r="L343" s="34" t="s">
        <v>48</v>
      </c>
      <c r="M343" s="33" t="n">
        <f>1420</f>
        <v>1420.0</v>
      </c>
      <c r="N343" s="34" t="s">
        <v>48</v>
      </c>
      <c r="O343" s="33" t="n">
        <f>1325</f>
        <v>1325.0</v>
      </c>
      <c r="P343" s="34" t="s">
        <v>75</v>
      </c>
      <c r="Q343" s="33" t="n">
        <f>1336</f>
        <v>1336.0</v>
      </c>
      <c r="R343" s="34" t="s">
        <v>51</v>
      </c>
      <c r="S343" s="35" t="n">
        <f>1351.14</f>
        <v>1351.14</v>
      </c>
      <c r="T343" s="32" t="n">
        <f>1490968</f>
        <v>1490968.0</v>
      </c>
      <c r="U343" s="32" t="str">
        <f>"－"</f>
        <v>－</v>
      </c>
      <c r="V343" s="32" t="n">
        <f>2007476951</f>
        <v>2.007476951E9</v>
      </c>
      <c r="W343" s="32" t="str">
        <f>"－"</f>
        <v>－</v>
      </c>
      <c r="X343" s="36" t="n">
        <f>22</f>
        <v>22.0</v>
      </c>
    </row>
    <row r="344">
      <c r="A344" s="27" t="s">
        <v>42</v>
      </c>
      <c r="B344" s="27" t="s">
        <v>1079</v>
      </c>
      <c r="C344" s="27" t="s">
        <v>1080</v>
      </c>
      <c r="D344" s="27" t="s">
        <v>1081</v>
      </c>
      <c r="E344" s="28" t="s">
        <v>46</v>
      </c>
      <c r="F344" s="29" t="s">
        <v>46</v>
      </c>
      <c r="G344" s="30" t="s">
        <v>46</v>
      </c>
      <c r="H344" s="31"/>
      <c r="I344" s="31" t="s">
        <v>47</v>
      </c>
      <c r="J344" s="32" t="n">
        <v>1.0</v>
      </c>
      <c r="K344" s="33" t="n">
        <f>2834</f>
        <v>2834.0</v>
      </c>
      <c r="L344" s="34" t="s">
        <v>48</v>
      </c>
      <c r="M344" s="33" t="n">
        <f>2842</f>
        <v>2842.0</v>
      </c>
      <c r="N344" s="34" t="s">
        <v>48</v>
      </c>
      <c r="O344" s="33" t="n">
        <f>2570</f>
        <v>2570.0</v>
      </c>
      <c r="P344" s="34" t="s">
        <v>197</v>
      </c>
      <c r="Q344" s="33" t="n">
        <f>2643</f>
        <v>2643.0</v>
      </c>
      <c r="R344" s="34" t="s">
        <v>51</v>
      </c>
      <c r="S344" s="35" t="n">
        <f>2719.59</f>
        <v>2719.59</v>
      </c>
      <c r="T344" s="32" t="n">
        <f>3379500</f>
        <v>3379500.0</v>
      </c>
      <c r="U344" s="32" t="n">
        <f>302035</f>
        <v>302035.0</v>
      </c>
      <c r="V344" s="32" t="n">
        <f>9158437361</f>
        <v>9.158437361E9</v>
      </c>
      <c r="W344" s="32" t="n">
        <f>815583642</f>
        <v>8.15583642E8</v>
      </c>
      <c r="X344" s="36" t="n">
        <f>22</f>
        <v>22.0</v>
      </c>
    </row>
    <row r="345">
      <c r="A345" s="27" t="s">
        <v>42</v>
      </c>
      <c r="B345" s="27" t="s">
        <v>1082</v>
      </c>
      <c r="C345" s="27" t="s">
        <v>1083</v>
      </c>
      <c r="D345" s="27" t="s">
        <v>1084</v>
      </c>
      <c r="E345" s="28" t="s">
        <v>46</v>
      </c>
      <c r="F345" s="29" t="s">
        <v>46</v>
      </c>
      <c r="G345" s="30" t="s">
        <v>46</v>
      </c>
      <c r="H345" s="31"/>
      <c r="I345" s="31" t="s">
        <v>47</v>
      </c>
      <c r="J345" s="32" t="n">
        <v>1.0</v>
      </c>
      <c r="K345" s="33" t="n">
        <f>1742</f>
        <v>1742.0</v>
      </c>
      <c r="L345" s="34" t="s">
        <v>48</v>
      </c>
      <c r="M345" s="33" t="n">
        <f>1784</f>
        <v>1784.0</v>
      </c>
      <c r="N345" s="34" t="s">
        <v>69</v>
      </c>
      <c r="O345" s="33" t="n">
        <f>1570</f>
        <v>1570.0</v>
      </c>
      <c r="P345" s="34" t="s">
        <v>197</v>
      </c>
      <c r="Q345" s="33" t="n">
        <f>1637</f>
        <v>1637.0</v>
      </c>
      <c r="R345" s="34" t="s">
        <v>51</v>
      </c>
      <c r="S345" s="35" t="n">
        <f>1670.91</f>
        <v>1670.91</v>
      </c>
      <c r="T345" s="32" t="n">
        <f>1692393</f>
        <v>1692393.0</v>
      </c>
      <c r="U345" s="32" t="n">
        <f>873742</f>
        <v>873742.0</v>
      </c>
      <c r="V345" s="32" t="n">
        <f>2817189233</f>
        <v>2.817189233E9</v>
      </c>
      <c r="W345" s="32" t="n">
        <f>1446777332</f>
        <v>1.446777332E9</v>
      </c>
      <c r="X345" s="36" t="n">
        <f>22</f>
        <v>22.0</v>
      </c>
    </row>
    <row r="346">
      <c r="A346" s="27" t="s">
        <v>42</v>
      </c>
      <c r="B346" s="27" t="s">
        <v>1085</v>
      </c>
      <c r="C346" s="27" t="s">
        <v>1086</v>
      </c>
      <c r="D346" s="27" t="s">
        <v>1087</v>
      </c>
      <c r="E346" s="28" t="s">
        <v>46</v>
      </c>
      <c r="F346" s="29" t="s">
        <v>46</v>
      </c>
      <c r="G346" s="30" t="s">
        <v>46</v>
      </c>
      <c r="H346" s="31"/>
      <c r="I346" s="31" t="s">
        <v>47</v>
      </c>
      <c r="J346" s="32" t="n">
        <v>1.0</v>
      </c>
      <c r="K346" s="33" t="n">
        <f>11825</f>
        <v>11825.0</v>
      </c>
      <c r="L346" s="34" t="s">
        <v>48</v>
      </c>
      <c r="M346" s="33" t="n">
        <f>13165</f>
        <v>13165.0</v>
      </c>
      <c r="N346" s="34" t="s">
        <v>51</v>
      </c>
      <c r="O346" s="33" t="n">
        <f>11825</f>
        <v>11825.0</v>
      </c>
      <c r="P346" s="34" t="s">
        <v>48</v>
      </c>
      <c r="Q346" s="33" t="n">
        <f>13165</f>
        <v>13165.0</v>
      </c>
      <c r="R346" s="34" t="s">
        <v>51</v>
      </c>
      <c r="S346" s="35" t="n">
        <f>12415.91</f>
        <v>12415.91</v>
      </c>
      <c r="T346" s="32" t="n">
        <f>250015</f>
        <v>250015.0</v>
      </c>
      <c r="U346" s="32" t="n">
        <f>1480</f>
        <v>1480.0</v>
      </c>
      <c r="V346" s="32" t="n">
        <f>3118840992</f>
        <v>3.118840992E9</v>
      </c>
      <c r="W346" s="32" t="n">
        <f>18586177</f>
        <v>1.8586177E7</v>
      </c>
      <c r="X346" s="36" t="n">
        <f>22</f>
        <v>22.0</v>
      </c>
    </row>
    <row r="347">
      <c r="A347" s="27" t="s">
        <v>42</v>
      </c>
      <c r="B347" s="27" t="s">
        <v>1088</v>
      </c>
      <c r="C347" s="27" t="s">
        <v>1089</v>
      </c>
      <c r="D347" s="27" t="s">
        <v>1090</v>
      </c>
      <c r="E347" s="28" t="s">
        <v>46</v>
      </c>
      <c r="F347" s="29" t="s">
        <v>46</v>
      </c>
      <c r="G347" s="30" t="s">
        <v>46</v>
      </c>
      <c r="H347" s="31"/>
      <c r="I347" s="31" t="s">
        <v>47</v>
      </c>
      <c r="J347" s="32" t="n">
        <v>1.0</v>
      </c>
      <c r="K347" s="33" t="n">
        <f>3771</f>
        <v>3771.0</v>
      </c>
      <c r="L347" s="34" t="s">
        <v>48</v>
      </c>
      <c r="M347" s="33" t="n">
        <f>3772</f>
        <v>3772.0</v>
      </c>
      <c r="N347" s="34" t="s">
        <v>48</v>
      </c>
      <c r="O347" s="33" t="n">
        <f>3694</f>
        <v>3694.0</v>
      </c>
      <c r="P347" s="34" t="s">
        <v>71</v>
      </c>
      <c r="Q347" s="33" t="n">
        <f>3733</f>
        <v>3733.0</v>
      </c>
      <c r="R347" s="34" t="s">
        <v>51</v>
      </c>
      <c r="S347" s="35" t="n">
        <f>3743.23</f>
        <v>3743.23</v>
      </c>
      <c r="T347" s="32" t="n">
        <f>167927</f>
        <v>167927.0</v>
      </c>
      <c r="U347" s="32" t="n">
        <f>26000</f>
        <v>26000.0</v>
      </c>
      <c r="V347" s="32" t="n">
        <f>623599239</f>
        <v>6.23599239E8</v>
      </c>
      <c r="W347" s="32" t="n">
        <f>96128240</f>
        <v>9.612824E7</v>
      </c>
      <c r="X347" s="36" t="n">
        <f>22</f>
        <v>22.0</v>
      </c>
    </row>
    <row r="348">
      <c r="A348" s="27" t="s">
        <v>42</v>
      </c>
      <c r="B348" s="27" t="s">
        <v>1091</v>
      </c>
      <c r="C348" s="27" t="s">
        <v>1092</v>
      </c>
      <c r="D348" s="27" t="s">
        <v>1093</v>
      </c>
      <c r="E348" s="28" t="s">
        <v>46</v>
      </c>
      <c r="F348" s="29" t="s">
        <v>46</v>
      </c>
      <c r="G348" s="30" t="s">
        <v>46</v>
      </c>
      <c r="H348" s="31"/>
      <c r="I348" s="31" t="s">
        <v>47</v>
      </c>
      <c r="J348" s="32" t="n">
        <v>1.0</v>
      </c>
      <c r="K348" s="33" t="n">
        <f>5658</f>
        <v>5658.0</v>
      </c>
      <c r="L348" s="34" t="s">
        <v>48</v>
      </c>
      <c r="M348" s="33" t="n">
        <f>5716</f>
        <v>5716.0</v>
      </c>
      <c r="N348" s="34" t="s">
        <v>249</v>
      </c>
      <c r="O348" s="33" t="n">
        <f>5606</f>
        <v>5606.0</v>
      </c>
      <c r="P348" s="34" t="s">
        <v>214</v>
      </c>
      <c r="Q348" s="33" t="n">
        <f>5645</f>
        <v>5645.0</v>
      </c>
      <c r="R348" s="34" t="s">
        <v>51</v>
      </c>
      <c r="S348" s="35" t="n">
        <f>5657.82</f>
        <v>5657.82</v>
      </c>
      <c r="T348" s="32" t="n">
        <f>1858774</f>
        <v>1858774.0</v>
      </c>
      <c r="U348" s="32" t="n">
        <f>1710950</f>
        <v>1710950.0</v>
      </c>
      <c r="V348" s="32" t="n">
        <f>10514406739</f>
        <v>1.0514406739E10</v>
      </c>
      <c r="W348" s="32" t="n">
        <f>9676309351</f>
        <v>9.676309351E9</v>
      </c>
      <c r="X348" s="36" t="n">
        <f>22</f>
        <v>22.0</v>
      </c>
    </row>
    <row r="349">
      <c r="A349" s="27" t="s">
        <v>42</v>
      </c>
      <c r="B349" s="27" t="s">
        <v>1094</v>
      </c>
      <c r="C349" s="27" t="s">
        <v>1095</v>
      </c>
      <c r="D349" s="27" t="s">
        <v>1096</v>
      </c>
      <c r="E349" s="28" t="s">
        <v>46</v>
      </c>
      <c r="F349" s="29" t="s">
        <v>46</v>
      </c>
      <c r="G349" s="30" t="s">
        <v>46</v>
      </c>
      <c r="H349" s="31"/>
      <c r="I349" s="31" t="s">
        <v>47</v>
      </c>
      <c r="J349" s="32" t="n">
        <v>1.0</v>
      </c>
      <c r="K349" s="33" t="n">
        <f>3645</f>
        <v>3645.0</v>
      </c>
      <c r="L349" s="34" t="s">
        <v>48</v>
      </c>
      <c r="M349" s="33" t="n">
        <f>3651</f>
        <v>3651.0</v>
      </c>
      <c r="N349" s="34" t="s">
        <v>48</v>
      </c>
      <c r="O349" s="33" t="n">
        <f>3265</f>
        <v>3265.0</v>
      </c>
      <c r="P349" s="34" t="s">
        <v>197</v>
      </c>
      <c r="Q349" s="33" t="n">
        <f>3431</f>
        <v>3431.0</v>
      </c>
      <c r="R349" s="34" t="s">
        <v>51</v>
      </c>
      <c r="S349" s="35" t="n">
        <f>3497.64</f>
        <v>3497.64</v>
      </c>
      <c r="T349" s="32" t="n">
        <f>434384</f>
        <v>434384.0</v>
      </c>
      <c r="U349" s="32" t="n">
        <f>19845</f>
        <v>19845.0</v>
      </c>
      <c r="V349" s="32" t="n">
        <f>1520102147</f>
        <v>1.520102147E9</v>
      </c>
      <c r="W349" s="32" t="n">
        <f>68167344</f>
        <v>6.8167344E7</v>
      </c>
      <c r="X349" s="36" t="n">
        <f>22</f>
        <v>22.0</v>
      </c>
    </row>
    <row r="350">
      <c r="A350" s="27" t="s">
        <v>42</v>
      </c>
      <c r="B350" s="27" t="s">
        <v>1097</v>
      </c>
      <c r="C350" s="27" t="s">
        <v>1098</v>
      </c>
      <c r="D350" s="27" t="s">
        <v>1099</v>
      </c>
      <c r="E350" s="28" t="s">
        <v>46</v>
      </c>
      <c r="F350" s="29" t="s">
        <v>46</v>
      </c>
      <c r="G350" s="30" t="s">
        <v>46</v>
      </c>
      <c r="H350" s="31"/>
      <c r="I350" s="31" t="s">
        <v>47</v>
      </c>
      <c r="J350" s="32" t="n">
        <v>1.0</v>
      </c>
      <c r="K350" s="33" t="n">
        <f>2530</f>
        <v>2530.0</v>
      </c>
      <c r="L350" s="34" t="s">
        <v>48</v>
      </c>
      <c r="M350" s="33" t="n">
        <f>2579</f>
        <v>2579.0</v>
      </c>
      <c r="N350" s="34" t="s">
        <v>214</v>
      </c>
      <c r="O350" s="33" t="n">
        <f>2498</f>
        <v>2498.0</v>
      </c>
      <c r="P350" s="34" t="s">
        <v>197</v>
      </c>
      <c r="Q350" s="33" t="n">
        <f>2541</f>
        <v>2541.0</v>
      </c>
      <c r="R350" s="34" t="s">
        <v>51</v>
      </c>
      <c r="S350" s="35" t="n">
        <f>2540.55</f>
        <v>2540.55</v>
      </c>
      <c r="T350" s="32" t="n">
        <f>754554</f>
        <v>754554.0</v>
      </c>
      <c r="U350" s="32" t="n">
        <f>434448</f>
        <v>434448.0</v>
      </c>
      <c r="V350" s="32" t="n">
        <f>1919551778</f>
        <v>1.919551778E9</v>
      </c>
      <c r="W350" s="32" t="n">
        <f>1106652629</f>
        <v>1.106652629E9</v>
      </c>
      <c r="X350" s="36" t="n">
        <f>22</f>
        <v>22.0</v>
      </c>
    </row>
    <row r="351">
      <c r="A351" s="27" t="s">
        <v>42</v>
      </c>
      <c r="B351" s="27" t="s">
        <v>1100</v>
      </c>
      <c r="C351" s="27" t="s">
        <v>1101</v>
      </c>
      <c r="D351" s="27" t="s">
        <v>1102</v>
      </c>
      <c r="E351" s="28" t="s">
        <v>46</v>
      </c>
      <c r="F351" s="29" t="s">
        <v>46</v>
      </c>
      <c r="G351" s="30" t="s">
        <v>46</v>
      </c>
      <c r="H351" s="31"/>
      <c r="I351" s="31" t="s">
        <v>47</v>
      </c>
      <c r="J351" s="32" t="n">
        <v>1.0</v>
      </c>
      <c r="K351" s="33" t="n">
        <f>3048</f>
        <v>3048.0</v>
      </c>
      <c r="L351" s="34" t="s">
        <v>48</v>
      </c>
      <c r="M351" s="33" t="n">
        <f>3111</f>
        <v>3111.0</v>
      </c>
      <c r="N351" s="34" t="s">
        <v>58</v>
      </c>
      <c r="O351" s="33" t="n">
        <f>2880</f>
        <v>2880.0</v>
      </c>
      <c r="P351" s="34" t="s">
        <v>75</v>
      </c>
      <c r="Q351" s="33" t="n">
        <f>2931</f>
        <v>2931.0</v>
      </c>
      <c r="R351" s="34" t="s">
        <v>51</v>
      </c>
      <c r="S351" s="35" t="n">
        <f>3000.91</f>
        <v>3000.91</v>
      </c>
      <c r="T351" s="32" t="n">
        <f>21105</f>
        <v>21105.0</v>
      </c>
      <c r="U351" s="32" t="str">
        <f>"－"</f>
        <v>－</v>
      </c>
      <c r="V351" s="32" t="n">
        <f>63392891</f>
        <v>6.3392891E7</v>
      </c>
      <c r="W351" s="32" t="str">
        <f>"－"</f>
        <v>－</v>
      </c>
      <c r="X351" s="36" t="n">
        <f>22</f>
        <v>22.0</v>
      </c>
    </row>
    <row r="352">
      <c r="A352" s="27" t="s">
        <v>42</v>
      </c>
      <c r="B352" s="27" t="s">
        <v>1103</v>
      </c>
      <c r="C352" s="27" t="s">
        <v>1104</v>
      </c>
      <c r="D352" s="27" t="s">
        <v>1105</v>
      </c>
      <c r="E352" s="28" t="s">
        <v>46</v>
      </c>
      <c r="F352" s="29" t="s">
        <v>46</v>
      </c>
      <c r="G352" s="30" t="s">
        <v>46</v>
      </c>
      <c r="H352" s="31"/>
      <c r="I352" s="31" t="s">
        <v>47</v>
      </c>
      <c r="J352" s="32" t="n">
        <v>1.0</v>
      </c>
      <c r="K352" s="33" t="n">
        <f>3022</f>
        <v>3022.0</v>
      </c>
      <c r="L352" s="34" t="s">
        <v>48</v>
      </c>
      <c r="M352" s="33" t="n">
        <f>3156</f>
        <v>3156.0</v>
      </c>
      <c r="N352" s="34" t="s">
        <v>224</v>
      </c>
      <c r="O352" s="33" t="n">
        <f>2909</f>
        <v>2909.0</v>
      </c>
      <c r="P352" s="34" t="s">
        <v>50</v>
      </c>
      <c r="Q352" s="33" t="n">
        <f>3063</f>
        <v>3063.0</v>
      </c>
      <c r="R352" s="34" t="s">
        <v>51</v>
      </c>
      <c r="S352" s="35" t="n">
        <f>3043.57</f>
        <v>3043.57</v>
      </c>
      <c r="T352" s="32" t="n">
        <f>2019</f>
        <v>2019.0</v>
      </c>
      <c r="U352" s="32" t="str">
        <f>"－"</f>
        <v>－</v>
      </c>
      <c r="V352" s="32" t="n">
        <f>6157241</f>
        <v>6157241.0</v>
      </c>
      <c r="W352" s="32" t="str">
        <f>"－"</f>
        <v>－</v>
      </c>
      <c r="X352" s="36" t="n">
        <f>21</f>
        <v>21.0</v>
      </c>
    </row>
    <row r="353">
      <c r="A353" s="27" t="s">
        <v>42</v>
      </c>
      <c r="B353" s="27" t="s">
        <v>1106</v>
      </c>
      <c r="C353" s="27" t="s">
        <v>1107</v>
      </c>
      <c r="D353" s="27" t="s">
        <v>1108</v>
      </c>
      <c r="E353" s="28" t="s">
        <v>46</v>
      </c>
      <c r="F353" s="29" t="s">
        <v>46</v>
      </c>
      <c r="G353" s="30" t="s">
        <v>46</v>
      </c>
      <c r="H353" s="31"/>
      <c r="I353" s="31" t="s">
        <v>47</v>
      </c>
      <c r="J353" s="32" t="n">
        <v>1.0</v>
      </c>
      <c r="K353" s="33" t="n">
        <f>5380</f>
        <v>5380.0</v>
      </c>
      <c r="L353" s="34" t="s">
        <v>48</v>
      </c>
      <c r="M353" s="33" t="n">
        <f>5627</f>
        <v>5627.0</v>
      </c>
      <c r="N353" s="34" t="s">
        <v>75</v>
      </c>
      <c r="O353" s="33" t="n">
        <f>5323</f>
        <v>5323.0</v>
      </c>
      <c r="P353" s="34" t="s">
        <v>48</v>
      </c>
      <c r="Q353" s="33" t="n">
        <f>5469</f>
        <v>5469.0</v>
      </c>
      <c r="R353" s="34" t="s">
        <v>51</v>
      </c>
      <c r="S353" s="35" t="n">
        <f>5469.23</f>
        <v>5469.23</v>
      </c>
      <c r="T353" s="32" t="n">
        <f>95550</f>
        <v>95550.0</v>
      </c>
      <c r="U353" s="32" t="n">
        <f>63000</f>
        <v>63000.0</v>
      </c>
      <c r="V353" s="32" t="n">
        <f>524362154</f>
        <v>5.24362154E8</v>
      </c>
      <c r="W353" s="32" t="n">
        <f>344912940</f>
        <v>3.4491294E8</v>
      </c>
      <c r="X353" s="36" t="n">
        <f>22</f>
        <v>22.0</v>
      </c>
    </row>
    <row r="354">
      <c r="A354" s="27" t="s">
        <v>42</v>
      </c>
      <c r="B354" s="27" t="s">
        <v>1109</v>
      </c>
      <c r="C354" s="27" t="s">
        <v>1110</v>
      </c>
      <c r="D354" s="27" t="s">
        <v>1111</v>
      </c>
      <c r="E354" s="28" t="s">
        <v>46</v>
      </c>
      <c r="F354" s="29" t="s">
        <v>46</v>
      </c>
      <c r="G354" s="30" t="s">
        <v>46</v>
      </c>
      <c r="H354" s="31" t="s">
        <v>1039</v>
      </c>
      <c r="I354" s="31" t="s">
        <v>47</v>
      </c>
      <c r="J354" s="32" t="n">
        <v>10.0</v>
      </c>
      <c r="K354" s="33" t="n">
        <f>402.2</f>
        <v>402.2</v>
      </c>
      <c r="L354" s="34" t="s">
        <v>48</v>
      </c>
      <c r="M354" s="33" t="n">
        <f>407</f>
        <v>407.0</v>
      </c>
      <c r="N354" s="34" t="s">
        <v>274</v>
      </c>
      <c r="O354" s="33" t="n">
        <f>382.5</f>
        <v>382.5</v>
      </c>
      <c r="P354" s="34" t="s">
        <v>62</v>
      </c>
      <c r="Q354" s="33" t="n">
        <f>389</f>
        <v>389.0</v>
      </c>
      <c r="R354" s="34" t="s">
        <v>51</v>
      </c>
      <c r="S354" s="35" t="n">
        <f>395.83</f>
        <v>395.83</v>
      </c>
      <c r="T354" s="32" t="n">
        <f>107320</f>
        <v>107320.0</v>
      </c>
      <c r="U354" s="32" t="n">
        <f>500</f>
        <v>500.0</v>
      </c>
      <c r="V354" s="32" t="n">
        <f>42801500</f>
        <v>4.28015E7</v>
      </c>
      <c r="W354" s="32" t="n">
        <f>198750</f>
        <v>198750.0</v>
      </c>
      <c r="X354" s="36" t="n">
        <f>22</f>
        <v>22.0</v>
      </c>
    </row>
    <row r="355">
      <c r="A355" s="27" t="s">
        <v>42</v>
      </c>
      <c r="B355" s="27" t="s">
        <v>1112</v>
      </c>
      <c r="C355" s="27" t="s">
        <v>1113</v>
      </c>
      <c r="D355" s="27" t="s">
        <v>1114</v>
      </c>
      <c r="E355" s="28" t="s">
        <v>46</v>
      </c>
      <c r="F355" s="29" t="s">
        <v>46</v>
      </c>
      <c r="G355" s="30" t="s">
        <v>46</v>
      </c>
      <c r="H355" s="31"/>
      <c r="I355" s="31" t="s">
        <v>47</v>
      </c>
      <c r="J355" s="32" t="n">
        <v>10.0</v>
      </c>
      <c r="K355" s="33" t="n">
        <f>177.1</f>
        <v>177.1</v>
      </c>
      <c r="L355" s="34" t="s">
        <v>48</v>
      </c>
      <c r="M355" s="33" t="n">
        <f>187.9</f>
        <v>187.9</v>
      </c>
      <c r="N355" s="34" t="s">
        <v>75</v>
      </c>
      <c r="O355" s="33" t="n">
        <f>174.6</f>
        <v>174.6</v>
      </c>
      <c r="P355" s="34" t="s">
        <v>48</v>
      </c>
      <c r="Q355" s="33" t="n">
        <f>182.5</f>
        <v>182.5</v>
      </c>
      <c r="R355" s="34" t="s">
        <v>51</v>
      </c>
      <c r="S355" s="35" t="n">
        <f>180.61</f>
        <v>180.61</v>
      </c>
      <c r="T355" s="32" t="n">
        <f>827510</f>
        <v>827510.0</v>
      </c>
      <c r="U355" s="32" t="n">
        <f>360</f>
        <v>360.0</v>
      </c>
      <c r="V355" s="32" t="n">
        <f>150613435</f>
        <v>1.50613435E8</v>
      </c>
      <c r="W355" s="32" t="n">
        <f>65282</f>
        <v>65282.0</v>
      </c>
      <c r="X355" s="36" t="n">
        <f>22</f>
        <v>22.0</v>
      </c>
    </row>
    <row r="356">
      <c r="A356" s="27" t="s">
        <v>42</v>
      </c>
      <c r="B356" s="27" t="s">
        <v>1115</v>
      </c>
      <c r="C356" s="27" t="s">
        <v>1116</v>
      </c>
      <c r="D356" s="27" t="s">
        <v>1117</v>
      </c>
      <c r="E356" s="28" t="s">
        <v>46</v>
      </c>
      <c r="F356" s="29" t="s">
        <v>46</v>
      </c>
      <c r="G356" s="30" t="s">
        <v>46</v>
      </c>
      <c r="H356" s="31"/>
      <c r="I356" s="31" t="s">
        <v>47</v>
      </c>
      <c r="J356" s="32" t="n">
        <v>10.0</v>
      </c>
      <c r="K356" s="33" t="n">
        <f>623</f>
        <v>623.0</v>
      </c>
      <c r="L356" s="34" t="s">
        <v>224</v>
      </c>
      <c r="M356" s="33" t="n">
        <f>627.7</f>
        <v>627.7</v>
      </c>
      <c r="N356" s="34" t="s">
        <v>70</v>
      </c>
      <c r="O356" s="33" t="n">
        <f>612</f>
        <v>612.0</v>
      </c>
      <c r="P356" s="34" t="s">
        <v>71</v>
      </c>
      <c r="Q356" s="33" t="n">
        <f>615.6</f>
        <v>615.6</v>
      </c>
      <c r="R356" s="34" t="s">
        <v>51</v>
      </c>
      <c r="S356" s="35" t="n">
        <f>616.35</f>
        <v>616.35</v>
      </c>
      <c r="T356" s="32" t="n">
        <f>159640</f>
        <v>159640.0</v>
      </c>
      <c r="U356" s="32" t="n">
        <f>10</f>
        <v>10.0</v>
      </c>
      <c r="V356" s="32" t="n">
        <f>97941720</f>
        <v>9.794172E7</v>
      </c>
      <c r="W356" s="32" t="n">
        <f>6221</f>
        <v>6221.0</v>
      </c>
      <c r="X356" s="36" t="n">
        <f>12</f>
        <v>12.0</v>
      </c>
    </row>
    <row r="357">
      <c r="A357" s="27" t="s">
        <v>42</v>
      </c>
      <c r="B357" s="27" t="s">
        <v>1118</v>
      </c>
      <c r="C357" s="27" t="s">
        <v>1119</v>
      </c>
      <c r="D357" s="27" t="s">
        <v>1120</v>
      </c>
      <c r="E357" s="28" t="s">
        <v>46</v>
      </c>
      <c r="F357" s="29" t="s">
        <v>46</v>
      </c>
      <c r="G357" s="30" t="s">
        <v>46</v>
      </c>
      <c r="H357" s="31"/>
      <c r="I357" s="31" t="s">
        <v>47</v>
      </c>
      <c r="J357" s="32" t="n">
        <v>1.0</v>
      </c>
      <c r="K357" s="33" t="n">
        <f>2874</f>
        <v>2874.0</v>
      </c>
      <c r="L357" s="34" t="s">
        <v>48</v>
      </c>
      <c r="M357" s="33" t="n">
        <f>2894</f>
        <v>2894.0</v>
      </c>
      <c r="N357" s="34" t="s">
        <v>48</v>
      </c>
      <c r="O357" s="33" t="n">
        <f>2420</f>
        <v>2420.0</v>
      </c>
      <c r="P357" s="34" t="s">
        <v>75</v>
      </c>
      <c r="Q357" s="33" t="n">
        <f>2659</f>
        <v>2659.0</v>
      </c>
      <c r="R357" s="34" t="s">
        <v>51</v>
      </c>
      <c r="S357" s="35" t="n">
        <f>2654.45</f>
        <v>2654.45</v>
      </c>
      <c r="T357" s="32" t="n">
        <f>1111207</f>
        <v>1111207.0</v>
      </c>
      <c r="U357" s="32" t="n">
        <f>1610</f>
        <v>1610.0</v>
      </c>
      <c r="V357" s="32" t="n">
        <f>2983385084</f>
        <v>2.983385084E9</v>
      </c>
      <c r="W357" s="32" t="n">
        <f>4508969</f>
        <v>4508969.0</v>
      </c>
      <c r="X357" s="36" t="n">
        <f>22</f>
        <v>22.0</v>
      </c>
    </row>
    <row r="358">
      <c r="A358" s="27" t="s">
        <v>42</v>
      </c>
      <c r="B358" s="27" t="s">
        <v>1121</v>
      </c>
      <c r="C358" s="27" t="s">
        <v>1122</v>
      </c>
      <c r="D358" s="27" t="s">
        <v>1123</v>
      </c>
      <c r="E358" s="28" t="s">
        <v>46</v>
      </c>
      <c r="F358" s="29" t="s">
        <v>46</v>
      </c>
      <c r="G358" s="30" t="s">
        <v>46</v>
      </c>
      <c r="H358" s="31"/>
      <c r="I358" s="31" t="s">
        <v>47</v>
      </c>
      <c r="J358" s="32" t="n">
        <v>1.0</v>
      </c>
      <c r="K358" s="33" t="n">
        <f>970</f>
        <v>970.0</v>
      </c>
      <c r="L358" s="34" t="s">
        <v>48</v>
      </c>
      <c r="M358" s="33" t="n">
        <f>1010</f>
        <v>1010.0</v>
      </c>
      <c r="N358" s="34" t="s">
        <v>75</v>
      </c>
      <c r="O358" s="33" t="n">
        <f>938</f>
        <v>938.0</v>
      </c>
      <c r="P358" s="34" t="s">
        <v>48</v>
      </c>
      <c r="Q358" s="33" t="n">
        <f>983</f>
        <v>983.0</v>
      </c>
      <c r="R358" s="34" t="s">
        <v>51</v>
      </c>
      <c r="S358" s="35" t="n">
        <f>972.82</f>
        <v>972.82</v>
      </c>
      <c r="T358" s="32" t="n">
        <f>121954</f>
        <v>121954.0</v>
      </c>
      <c r="U358" s="32" t="str">
        <f>"－"</f>
        <v>－</v>
      </c>
      <c r="V358" s="32" t="n">
        <f>121686769</f>
        <v>1.21686769E8</v>
      </c>
      <c r="W358" s="32" t="str">
        <f>"－"</f>
        <v>－</v>
      </c>
      <c r="X358" s="36" t="n">
        <f>22</f>
        <v>22.0</v>
      </c>
    </row>
    <row r="359">
      <c r="A359" s="27" t="s">
        <v>42</v>
      </c>
      <c r="B359" s="27" t="s">
        <v>1124</v>
      </c>
      <c r="C359" s="27" t="s">
        <v>1125</v>
      </c>
      <c r="D359" s="27" t="s">
        <v>1126</v>
      </c>
      <c r="E359" s="28" t="s">
        <v>46</v>
      </c>
      <c r="F359" s="29" t="s">
        <v>46</v>
      </c>
      <c r="G359" s="30" t="s">
        <v>46</v>
      </c>
      <c r="H359" s="31"/>
      <c r="I359" s="31" t="s">
        <v>47</v>
      </c>
      <c r="J359" s="32" t="n">
        <v>10.0</v>
      </c>
      <c r="K359" s="33" t="n">
        <f>657.5</f>
        <v>657.5</v>
      </c>
      <c r="L359" s="34" t="s">
        <v>48</v>
      </c>
      <c r="M359" s="33" t="n">
        <f>664.7</f>
        <v>664.7</v>
      </c>
      <c r="N359" s="34" t="s">
        <v>58</v>
      </c>
      <c r="O359" s="33" t="n">
        <f>645.2</f>
        <v>645.2</v>
      </c>
      <c r="P359" s="34" t="s">
        <v>71</v>
      </c>
      <c r="Q359" s="33" t="n">
        <f>647.9</f>
        <v>647.9</v>
      </c>
      <c r="R359" s="34" t="s">
        <v>51</v>
      </c>
      <c r="S359" s="35" t="n">
        <f>650.78</f>
        <v>650.78</v>
      </c>
      <c r="T359" s="32" t="n">
        <f>2477870</f>
        <v>2477870.0</v>
      </c>
      <c r="U359" s="32" t="n">
        <f>1431930</f>
        <v>1431930.0</v>
      </c>
      <c r="V359" s="32" t="n">
        <f>1609405176</f>
        <v>1.609405176E9</v>
      </c>
      <c r="W359" s="32" t="n">
        <f>927164102</f>
        <v>9.27164102E8</v>
      </c>
      <c r="X359" s="36" t="n">
        <f>22</f>
        <v>22.0</v>
      </c>
    </row>
    <row r="360">
      <c r="A360" s="27" t="s">
        <v>42</v>
      </c>
      <c r="B360" s="27" t="s">
        <v>1127</v>
      </c>
      <c r="C360" s="27" t="s">
        <v>1128</v>
      </c>
      <c r="D360" s="27" t="s">
        <v>1129</v>
      </c>
      <c r="E360" s="28" t="s">
        <v>46</v>
      </c>
      <c r="F360" s="29" t="s">
        <v>46</v>
      </c>
      <c r="G360" s="30" t="s">
        <v>46</v>
      </c>
      <c r="H360" s="31"/>
      <c r="I360" s="31" t="s">
        <v>47</v>
      </c>
      <c r="J360" s="32" t="n">
        <v>10.0</v>
      </c>
      <c r="K360" s="33" t="n">
        <f>639.7</f>
        <v>639.7</v>
      </c>
      <c r="L360" s="34" t="s">
        <v>48</v>
      </c>
      <c r="M360" s="33" t="n">
        <f>639.8</f>
        <v>639.8</v>
      </c>
      <c r="N360" s="34" t="s">
        <v>214</v>
      </c>
      <c r="O360" s="33" t="n">
        <f>618</f>
        <v>618.0</v>
      </c>
      <c r="P360" s="34" t="s">
        <v>71</v>
      </c>
      <c r="Q360" s="33" t="n">
        <f>625.9</f>
        <v>625.9</v>
      </c>
      <c r="R360" s="34" t="s">
        <v>51</v>
      </c>
      <c r="S360" s="35" t="n">
        <f>628.91</f>
        <v>628.91</v>
      </c>
      <c r="T360" s="32" t="n">
        <f>4384850</f>
        <v>4384850.0</v>
      </c>
      <c r="U360" s="32" t="n">
        <f>3039080</f>
        <v>3039080.0</v>
      </c>
      <c r="V360" s="32" t="n">
        <f>2746923055</f>
        <v>2.746923055E9</v>
      </c>
      <c r="W360" s="32" t="n">
        <f>1897784077</f>
        <v>1.897784077E9</v>
      </c>
      <c r="X360" s="36" t="n">
        <f>22</f>
        <v>22.0</v>
      </c>
    </row>
    <row r="361">
      <c r="A361" s="27" t="s">
        <v>42</v>
      </c>
      <c r="B361" s="27" t="s">
        <v>1130</v>
      </c>
      <c r="C361" s="27" t="s">
        <v>1131</v>
      </c>
      <c r="D361" s="27" t="s">
        <v>1132</v>
      </c>
      <c r="E361" s="28" t="s">
        <v>46</v>
      </c>
      <c r="F361" s="29" t="s">
        <v>46</v>
      </c>
      <c r="G361" s="30" t="s">
        <v>46</v>
      </c>
      <c r="H361" s="31"/>
      <c r="I361" s="31" t="s">
        <v>47</v>
      </c>
      <c r="J361" s="32" t="n">
        <v>1.0</v>
      </c>
      <c r="K361" s="33" t="n">
        <f>1526</f>
        <v>1526.0</v>
      </c>
      <c r="L361" s="34" t="s">
        <v>48</v>
      </c>
      <c r="M361" s="33" t="n">
        <f>1548</f>
        <v>1548.0</v>
      </c>
      <c r="N361" s="34" t="s">
        <v>70</v>
      </c>
      <c r="O361" s="33" t="n">
        <f>1376</f>
        <v>1376.0</v>
      </c>
      <c r="P361" s="34" t="s">
        <v>75</v>
      </c>
      <c r="Q361" s="33" t="n">
        <f>1473</f>
        <v>1473.0</v>
      </c>
      <c r="R361" s="34" t="s">
        <v>51</v>
      </c>
      <c r="S361" s="35" t="n">
        <f>1491.64</f>
        <v>1491.64</v>
      </c>
      <c r="T361" s="32" t="n">
        <f>31099</f>
        <v>31099.0</v>
      </c>
      <c r="U361" s="32" t="str">
        <f>"－"</f>
        <v>－</v>
      </c>
      <c r="V361" s="32" t="n">
        <f>45683554</f>
        <v>4.5683554E7</v>
      </c>
      <c r="W361" s="32" t="str">
        <f>"－"</f>
        <v>－</v>
      </c>
      <c r="X361" s="36" t="n">
        <f>22</f>
        <v>22.0</v>
      </c>
    </row>
    <row r="362">
      <c r="A362" s="27" t="s">
        <v>42</v>
      </c>
      <c r="B362" s="27" t="s">
        <v>1133</v>
      </c>
      <c r="C362" s="27" t="s">
        <v>1134</v>
      </c>
      <c r="D362" s="27" t="s">
        <v>1135</v>
      </c>
      <c r="E362" s="28" t="s">
        <v>46</v>
      </c>
      <c r="F362" s="29" t="s">
        <v>46</v>
      </c>
      <c r="G362" s="30" t="s">
        <v>46</v>
      </c>
      <c r="H362" s="31"/>
      <c r="I362" s="31" t="s">
        <v>47</v>
      </c>
      <c r="J362" s="32" t="n">
        <v>1.0</v>
      </c>
      <c r="K362" s="33" t="n">
        <f>3224</f>
        <v>3224.0</v>
      </c>
      <c r="L362" s="34" t="s">
        <v>48</v>
      </c>
      <c r="M362" s="33" t="n">
        <f>3235</f>
        <v>3235.0</v>
      </c>
      <c r="N362" s="34" t="s">
        <v>58</v>
      </c>
      <c r="O362" s="33" t="n">
        <f>3118</f>
        <v>3118.0</v>
      </c>
      <c r="P362" s="34" t="s">
        <v>50</v>
      </c>
      <c r="Q362" s="33" t="n">
        <f>3211</f>
        <v>3211.0</v>
      </c>
      <c r="R362" s="34" t="s">
        <v>51</v>
      </c>
      <c r="S362" s="35" t="n">
        <f>3168.41</f>
        <v>3168.41</v>
      </c>
      <c r="T362" s="32" t="n">
        <f>112933</f>
        <v>112933.0</v>
      </c>
      <c r="U362" s="32" t="n">
        <f>63780</f>
        <v>63780.0</v>
      </c>
      <c r="V362" s="32" t="n">
        <f>356014968</f>
        <v>3.56014968E8</v>
      </c>
      <c r="W362" s="32" t="n">
        <f>200640131</f>
        <v>2.00640131E8</v>
      </c>
      <c r="X362" s="36" t="n">
        <f>22</f>
        <v>22.0</v>
      </c>
    </row>
    <row r="363">
      <c r="A363" s="27" t="s">
        <v>42</v>
      </c>
      <c r="B363" s="27" t="s">
        <v>1136</v>
      </c>
      <c r="C363" s="27" t="s">
        <v>1137</v>
      </c>
      <c r="D363" s="27" t="s">
        <v>1138</v>
      </c>
      <c r="E363" s="28" t="s">
        <v>46</v>
      </c>
      <c r="F363" s="29" t="s">
        <v>46</v>
      </c>
      <c r="G363" s="30" t="s">
        <v>46</v>
      </c>
      <c r="H363" s="31"/>
      <c r="I363" s="31" t="s">
        <v>47</v>
      </c>
      <c r="J363" s="32" t="n">
        <v>1.0</v>
      </c>
      <c r="K363" s="33" t="n">
        <f>3122</f>
        <v>3122.0</v>
      </c>
      <c r="L363" s="34" t="s">
        <v>48</v>
      </c>
      <c r="M363" s="33" t="n">
        <f>3275</f>
        <v>3275.0</v>
      </c>
      <c r="N363" s="34" t="s">
        <v>58</v>
      </c>
      <c r="O363" s="33" t="n">
        <f>3098</f>
        <v>3098.0</v>
      </c>
      <c r="P363" s="34" t="s">
        <v>50</v>
      </c>
      <c r="Q363" s="33" t="n">
        <f>3240</f>
        <v>3240.0</v>
      </c>
      <c r="R363" s="34" t="s">
        <v>51</v>
      </c>
      <c r="S363" s="35" t="n">
        <f>3171.5</f>
        <v>3171.5</v>
      </c>
      <c r="T363" s="32" t="n">
        <f>53886</f>
        <v>53886.0</v>
      </c>
      <c r="U363" s="32" t="n">
        <f>70</f>
        <v>70.0</v>
      </c>
      <c r="V363" s="32" t="n">
        <f>172126610</f>
        <v>1.7212661E8</v>
      </c>
      <c r="W363" s="32" t="n">
        <f>224087</f>
        <v>224087.0</v>
      </c>
      <c r="X363" s="36" t="n">
        <f>22</f>
        <v>22.0</v>
      </c>
    </row>
    <row r="364">
      <c r="A364" s="27" t="s">
        <v>42</v>
      </c>
      <c r="B364" s="27" t="s">
        <v>1139</v>
      </c>
      <c r="C364" s="27" t="s">
        <v>1140</v>
      </c>
      <c r="D364" s="27" t="s">
        <v>1141</v>
      </c>
      <c r="E364" s="28" t="s">
        <v>46</v>
      </c>
      <c r="F364" s="29" t="s">
        <v>46</v>
      </c>
      <c r="G364" s="30" t="s">
        <v>46</v>
      </c>
      <c r="H364" s="31"/>
      <c r="I364" s="31" t="s">
        <v>47</v>
      </c>
      <c r="J364" s="32" t="n">
        <v>1.0</v>
      </c>
      <c r="K364" s="33" t="n">
        <f>5939</f>
        <v>5939.0</v>
      </c>
      <c r="L364" s="34" t="s">
        <v>48</v>
      </c>
      <c r="M364" s="33" t="n">
        <f>5945</f>
        <v>5945.0</v>
      </c>
      <c r="N364" s="34" t="s">
        <v>214</v>
      </c>
      <c r="O364" s="33" t="n">
        <f>5724</f>
        <v>5724.0</v>
      </c>
      <c r="P364" s="34" t="s">
        <v>71</v>
      </c>
      <c r="Q364" s="33" t="n">
        <f>5768</f>
        <v>5768.0</v>
      </c>
      <c r="R364" s="34" t="s">
        <v>51</v>
      </c>
      <c r="S364" s="35" t="n">
        <f>5805.68</f>
        <v>5805.68</v>
      </c>
      <c r="T364" s="32" t="n">
        <f>48497</f>
        <v>48497.0</v>
      </c>
      <c r="U364" s="32" t="n">
        <f>110</f>
        <v>110.0</v>
      </c>
      <c r="V364" s="32" t="n">
        <f>281239572</f>
        <v>2.81239572E8</v>
      </c>
      <c r="W364" s="32" t="n">
        <f>639221</f>
        <v>639221.0</v>
      </c>
      <c r="X364" s="36" t="n">
        <f>22</f>
        <v>22.0</v>
      </c>
    </row>
    <row r="365">
      <c r="A365" s="27" t="s">
        <v>42</v>
      </c>
      <c r="B365" s="27" t="s">
        <v>1142</v>
      </c>
      <c r="C365" s="27" t="s">
        <v>1143</v>
      </c>
      <c r="D365" s="27" t="s">
        <v>1144</v>
      </c>
      <c r="E365" s="28" t="s">
        <v>46</v>
      </c>
      <c r="F365" s="29" t="s">
        <v>46</v>
      </c>
      <c r="G365" s="30" t="s">
        <v>46</v>
      </c>
      <c r="H365" s="31"/>
      <c r="I365" s="31" t="s">
        <v>47</v>
      </c>
      <c r="J365" s="32" t="n">
        <v>1.0</v>
      </c>
      <c r="K365" s="33" t="n">
        <f>4138</f>
        <v>4138.0</v>
      </c>
      <c r="L365" s="34" t="s">
        <v>214</v>
      </c>
      <c r="M365" s="33" t="n">
        <f>4138</f>
        <v>4138.0</v>
      </c>
      <c r="N365" s="34" t="s">
        <v>214</v>
      </c>
      <c r="O365" s="33" t="n">
        <f>3900</f>
        <v>3900.0</v>
      </c>
      <c r="P365" s="34" t="s">
        <v>71</v>
      </c>
      <c r="Q365" s="33" t="n">
        <f>3922</f>
        <v>3922.0</v>
      </c>
      <c r="R365" s="34" t="s">
        <v>51</v>
      </c>
      <c r="S365" s="35" t="n">
        <f>3939.94</f>
        <v>3939.94</v>
      </c>
      <c r="T365" s="32" t="n">
        <f>12939</f>
        <v>12939.0</v>
      </c>
      <c r="U365" s="32" t="str">
        <f>"－"</f>
        <v>－</v>
      </c>
      <c r="V365" s="32" t="n">
        <f>50887806</f>
        <v>5.0887806E7</v>
      </c>
      <c r="W365" s="32" t="str">
        <f>"－"</f>
        <v>－</v>
      </c>
      <c r="X365" s="36" t="n">
        <f>17</f>
        <v>17.0</v>
      </c>
    </row>
    <row r="366">
      <c r="A366" s="27" t="s">
        <v>42</v>
      </c>
      <c r="B366" s="27" t="s">
        <v>1145</v>
      </c>
      <c r="C366" s="27" t="s">
        <v>1146</v>
      </c>
      <c r="D366" s="27" t="s">
        <v>1147</v>
      </c>
      <c r="E366" s="28" t="s">
        <v>46</v>
      </c>
      <c r="F366" s="29" t="s">
        <v>46</v>
      </c>
      <c r="G366" s="30" t="s">
        <v>46</v>
      </c>
      <c r="H366" s="31"/>
      <c r="I366" s="31" t="s">
        <v>47</v>
      </c>
      <c r="J366" s="32" t="n">
        <v>1.0</v>
      </c>
      <c r="K366" s="33" t="n">
        <f>1440</f>
        <v>1440.0</v>
      </c>
      <c r="L366" s="34" t="s">
        <v>48</v>
      </c>
      <c r="M366" s="33" t="n">
        <f>1485</f>
        <v>1485.0</v>
      </c>
      <c r="N366" s="34" t="s">
        <v>100</v>
      </c>
      <c r="O366" s="33" t="n">
        <f>1411</f>
        <v>1411.0</v>
      </c>
      <c r="P366" s="34" t="s">
        <v>48</v>
      </c>
      <c r="Q366" s="33" t="n">
        <f>1451</f>
        <v>1451.0</v>
      </c>
      <c r="R366" s="34" t="s">
        <v>51</v>
      </c>
      <c r="S366" s="35" t="n">
        <f>1450.71</f>
        <v>1450.71</v>
      </c>
      <c r="T366" s="32" t="n">
        <f>42471</f>
        <v>42471.0</v>
      </c>
      <c r="U366" s="32" t="str">
        <f>"－"</f>
        <v>－</v>
      </c>
      <c r="V366" s="32" t="n">
        <f>61663226</f>
        <v>6.1663226E7</v>
      </c>
      <c r="W366" s="32" t="str">
        <f>"－"</f>
        <v>－</v>
      </c>
      <c r="X366" s="36" t="n">
        <f>21</f>
        <v>21.0</v>
      </c>
    </row>
    <row r="367">
      <c r="A367" s="27" t="s">
        <v>42</v>
      </c>
      <c r="B367" s="27" t="s">
        <v>1148</v>
      </c>
      <c r="C367" s="27" t="s">
        <v>1149</v>
      </c>
      <c r="D367" s="27" t="s">
        <v>1150</v>
      </c>
      <c r="E367" s="28" t="s">
        <v>46</v>
      </c>
      <c r="F367" s="29" t="s">
        <v>46</v>
      </c>
      <c r="G367" s="30" t="s">
        <v>46</v>
      </c>
      <c r="H367" s="31"/>
      <c r="I367" s="31" t="s">
        <v>47</v>
      </c>
      <c r="J367" s="32" t="n">
        <v>1.0</v>
      </c>
      <c r="K367" s="33" t="n">
        <f>1322</f>
        <v>1322.0</v>
      </c>
      <c r="L367" s="34" t="s">
        <v>48</v>
      </c>
      <c r="M367" s="33" t="n">
        <f>1327</f>
        <v>1327.0</v>
      </c>
      <c r="N367" s="34" t="s">
        <v>48</v>
      </c>
      <c r="O367" s="33" t="n">
        <f>1246</f>
        <v>1246.0</v>
      </c>
      <c r="P367" s="34" t="s">
        <v>197</v>
      </c>
      <c r="Q367" s="33" t="n">
        <f>1263</f>
        <v>1263.0</v>
      </c>
      <c r="R367" s="34" t="s">
        <v>51</v>
      </c>
      <c r="S367" s="35" t="n">
        <f>1287.55</f>
        <v>1287.55</v>
      </c>
      <c r="T367" s="32" t="n">
        <f>9530035</f>
        <v>9530035.0</v>
      </c>
      <c r="U367" s="32" t="n">
        <f>79231</f>
        <v>79231.0</v>
      </c>
      <c r="V367" s="32" t="n">
        <f>12278392274</f>
        <v>1.2278392274E10</v>
      </c>
      <c r="W367" s="32" t="n">
        <f>102625022</f>
        <v>1.02625022E8</v>
      </c>
      <c r="X367" s="36" t="n">
        <f>22</f>
        <v>22.0</v>
      </c>
    </row>
    <row r="368">
      <c r="A368" s="27" t="s">
        <v>42</v>
      </c>
      <c r="B368" s="27" t="s">
        <v>1151</v>
      </c>
      <c r="C368" s="27" t="s">
        <v>1152</v>
      </c>
      <c r="D368" s="27" t="s">
        <v>1153</v>
      </c>
      <c r="E368" s="28" t="s">
        <v>46</v>
      </c>
      <c r="F368" s="29" t="s">
        <v>46</v>
      </c>
      <c r="G368" s="30" t="s">
        <v>46</v>
      </c>
      <c r="H368" s="31"/>
      <c r="I368" s="31" t="s">
        <v>47</v>
      </c>
      <c r="J368" s="32" t="n">
        <v>1.0</v>
      </c>
      <c r="K368" s="33" t="n">
        <f>1005</f>
        <v>1005.0</v>
      </c>
      <c r="L368" s="34" t="s">
        <v>48</v>
      </c>
      <c r="M368" s="33" t="n">
        <f>1025</f>
        <v>1025.0</v>
      </c>
      <c r="N368" s="34" t="s">
        <v>49</v>
      </c>
      <c r="O368" s="33" t="n">
        <f>998</f>
        <v>998.0</v>
      </c>
      <c r="P368" s="34" t="s">
        <v>51</v>
      </c>
      <c r="Q368" s="33" t="n">
        <f>1004</f>
        <v>1004.0</v>
      </c>
      <c r="R368" s="34" t="s">
        <v>51</v>
      </c>
      <c r="S368" s="35" t="n">
        <f>1013.73</f>
        <v>1013.73</v>
      </c>
      <c r="T368" s="32" t="n">
        <f>676169</f>
        <v>676169.0</v>
      </c>
      <c r="U368" s="32" t="str">
        <f>"－"</f>
        <v>－</v>
      </c>
      <c r="V368" s="32" t="n">
        <f>684906950</f>
        <v>6.8490695E8</v>
      </c>
      <c r="W368" s="32" t="str">
        <f>"－"</f>
        <v>－</v>
      </c>
      <c r="X368" s="36" t="n">
        <f>22</f>
        <v>22.0</v>
      </c>
    </row>
    <row r="369">
      <c r="A369" s="27" t="s">
        <v>42</v>
      </c>
      <c r="B369" s="27" t="s">
        <v>1154</v>
      </c>
      <c r="C369" s="27" t="s">
        <v>1155</v>
      </c>
      <c r="D369" s="27" t="s">
        <v>1156</v>
      </c>
      <c r="E369" s="28" t="s">
        <v>46</v>
      </c>
      <c r="F369" s="29" t="s">
        <v>46</v>
      </c>
      <c r="G369" s="30" t="s">
        <v>46</v>
      </c>
      <c r="H369" s="31"/>
      <c r="I369" s="31" t="s">
        <v>47</v>
      </c>
      <c r="J369" s="32" t="n">
        <v>1.0</v>
      </c>
      <c r="K369" s="33" t="n">
        <f>1997</f>
        <v>1997.0</v>
      </c>
      <c r="L369" s="34" t="s">
        <v>48</v>
      </c>
      <c r="M369" s="33" t="n">
        <f>2001</f>
        <v>2001.0</v>
      </c>
      <c r="N369" s="34" t="s">
        <v>48</v>
      </c>
      <c r="O369" s="33" t="n">
        <f>1656</f>
        <v>1656.0</v>
      </c>
      <c r="P369" s="34" t="s">
        <v>197</v>
      </c>
      <c r="Q369" s="33" t="n">
        <f>1710</f>
        <v>1710.0</v>
      </c>
      <c r="R369" s="34" t="s">
        <v>51</v>
      </c>
      <c r="S369" s="35" t="n">
        <f>1813.36</f>
        <v>1813.36</v>
      </c>
      <c r="T369" s="32" t="n">
        <f>35013</f>
        <v>35013.0</v>
      </c>
      <c r="U369" s="32" t="str">
        <f>"－"</f>
        <v>－</v>
      </c>
      <c r="V369" s="32" t="n">
        <f>63895816</f>
        <v>6.3895816E7</v>
      </c>
      <c r="W369" s="32" t="str">
        <f>"－"</f>
        <v>－</v>
      </c>
      <c r="X369" s="36" t="n">
        <f>22</f>
        <v>22.0</v>
      </c>
    </row>
    <row r="370">
      <c r="A370" s="27" t="s">
        <v>42</v>
      </c>
      <c r="B370" s="27" t="s">
        <v>1157</v>
      </c>
      <c r="C370" s="27" t="s">
        <v>1158</v>
      </c>
      <c r="D370" s="27" t="s">
        <v>1159</v>
      </c>
      <c r="E370" s="28" t="s">
        <v>46</v>
      </c>
      <c r="F370" s="29" t="s">
        <v>46</v>
      </c>
      <c r="G370" s="30" t="s">
        <v>46</v>
      </c>
      <c r="H370" s="31"/>
      <c r="I370" s="31" t="s">
        <v>47</v>
      </c>
      <c r="J370" s="32" t="n">
        <v>1.0</v>
      </c>
      <c r="K370" s="33" t="n">
        <f>1149</f>
        <v>1149.0</v>
      </c>
      <c r="L370" s="34" t="s">
        <v>48</v>
      </c>
      <c r="M370" s="33" t="n">
        <f>1169</f>
        <v>1169.0</v>
      </c>
      <c r="N370" s="34" t="s">
        <v>75</v>
      </c>
      <c r="O370" s="33" t="n">
        <f>1144</f>
        <v>1144.0</v>
      </c>
      <c r="P370" s="34" t="s">
        <v>214</v>
      </c>
      <c r="Q370" s="33" t="n">
        <f>1149</f>
        <v>1149.0</v>
      </c>
      <c r="R370" s="34" t="s">
        <v>51</v>
      </c>
      <c r="S370" s="35" t="n">
        <f>1155.5</f>
        <v>1155.5</v>
      </c>
      <c r="T370" s="32" t="n">
        <f>1207195</f>
        <v>1207195.0</v>
      </c>
      <c r="U370" s="32" t="n">
        <f>88173</f>
        <v>88173.0</v>
      </c>
      <c r="V370" s="32" t="n">
        <f>1392554261</f>
        <v>1.392554261E9</v>
      </c>
      <c r="W370" s="32" t="n">
        <f>101378945</f>
        <v>1.01378945E8</v>
      </c>
      <c r="X370" s="36" t="n">
        <f>22</f>
        <v>22.0</v>
      </c>
    </row>
    <row r="371">
      <c r="A371" s="27" t="s">
        <v>42</v>
      </c>
      <c r="B371" s="27" t="s">
        <v>1160</v>
      </c>
      <c r="C371" s="27" t="s">
        <v>1161</v>
      </c>
      <c r="D371" s="27" t="s">
        <v>1162</v>
      </c>
      <c r="E371" s="28" t="s">
        <v>758</v>
      </c>
      <c r="F371" s="29" t="s">
        <v>759</v>
      </c>
      <c r="G371" s="30" t="s">
        <v>46</v>
      </c>
      <c r="H371" s="31"/>
      <c r="I371" s="31" t="s">
        <v>47</v>
      </c>
      <c r="J371" s="32" t="n">
        <v>1.0</v>
      </c>
      <c r="K371" s="33" t="n">
        <f>78650</f>
        <v>78650.0</v>
      </c>
      <c r="L371" s="34" t="s">
        <v>48</v>
      </c>
      <c r="M371" s="33" t="n">
        <f>79200</f>
        <v>79200.0</v>
      </c>
      <c r="N371" s="34" t="s">
        <v>48</v>
      </c>
      <c r="O371" s="33" t="n">
        <f>76000</f>
        <v>76000.0</v>
      </c>
      <c r="P371" s="34" t="s">
        <v>69</v>
      </c>
      <c r="Q371" s="33" t="n">
        <f>76640</f>
        <v>76640.0</v>
      </c>
      <c r="R371" s="34" t="s">
        <v>69</v>
      </c>
      <c r="S371" s="35" t="n">
        <f>77535</f>
        <v>77535.0</v>
      </c>
      <c r="T371" s="32" t="n">
        <f>25265</f>
        <v>25265.0</v>
      </c>
      <c r="U371" s="32" t="n">
        <f>320</f>
        <v>320.0</v>
      </c>
      <c r="V371" s="32" t="n">
        <f>1964985174</f>
        <v>1.964985174E9</v>
      </c>
      <c r="W371" s="32" t="n">
        <f>24713554</f>
        <v>2.4713554E7</v>
      </c>
      <c r="X371" s="36" t="n">
        <f>2</f>
        <v>2.0</v>
      </c>
    </row>
    <row r="372">
      <c r="A372" s="27" t="s">
        <v>42</v>
      </c>
      <c r="B372" s="27" t="s">
        <v>1160</v>
      </c>
      <c r="C372" s="27" t="s">
        <v>1161</v>
      </c>
      <c r="D372" s="27" t="s">
        <v>1162</v>
      </c>
      <c r="E372" s="28" t="s">
        <v>758</v>
      </c>
      <c r="F372" s="29" t="s">
        <v>759</v>
      </c>
      <c r="G372" s="30" t="s">
        <v>46</v>
      </c>
      <c r="H372" s="31"/>
      <c r="I372" s="31" t="s">
        <v>47</v>
      </c>
      <c r="J372" s="32" t="n">
        <v>1.0</v>
      </c>
      <c r="K372" s="33" t="n">
        <f>2998</f>
        <v>2998.0</v>
      </c>
      <c r="L372" s="34" t="s">
        <v>214</v>
      </c>
      <c r="M372" s="33" t="n">
        <f>3060</f>
        <v>3060.0</v>
      </c>
      <c r="N372" s="34" t="s">
        <v>274</v>
      </c>
      <c r="O372" s="33" t="n">
        <f>2541</f>
        <v>2541.0</v>
      </c>
      <c r="P372" s="34" t="s">
        <v>197</v>
      </c>
      <c r="Q372" s="33" t="n">
        <f>2756</f>
        <v>2756.0</v>
      </c>
      <c r="R372" s="34" t="s">
        <v>51</v>
      </c>
      <c r="S372" s="35" t="n">
        <f>2879.05</f>
        <v>2879.05</v>
      </c>
      <c r="T372" s="32" t="n">
        <f>3212647</f>
        <v>3212647.0</v>
      </c>
      <c r="U372" s="32" t="n">
        <f>29694</f>
        <v>29694.0</v>
      </c>
      <c r="V372" s="32" t="n">
        <f>9213939690</f>
        <v>9.21393969E9</v>
      </c>
      <c r="W372" s="32" t="n">
        <f>83916479</f>
        <v>8.3916479E7</v>
      </c>
      <c r="X372" s="36" t="n">
        <f>20</f>
        <v>20.0</v>
      </c>
    </row>
    <row r="373">
      <c r="A373" s="27" t="s">
        <v>42</v>
      </c>
      <c r="B373" s="27" t="s">
        <v>1163</v>
      </c>
      <c r="C373" s="27" t="s">
        <v>1164</v>
      </c>
      <c r="D373" s="27" t="s">
        <v>1165</v>
      </c>
      <c r="E373" s="28" t="s">
        <v>46</v>
      </c>
      <c r="F373" s="29" t="s">
        <v>46</v>
      </c>
      <c r="G373" s="30" t="s">
        <v>46</v>
      </c>
      <c r="H373" s="31"/>
      <c r="I373" s="31" t="s">
        <v>47</v>
      </c>
      <c r="J373" s="32" t="n">
        <v>1.0</v>
      </c>
      <c r="K373" s="33" t="n">
        <f>7253</f>
        <v>7253.0</v>
      </c>
      <c r="L373" s="34" t="s">
        <v>48</v>
      </c>
      <c r="M373" s="33" t="n">
        <f>8895</f>
        <v>8895.0</v>
      </c>
      <c r="N373" s="34" t="s">
        <v>197</v>
      </c>
      <c r="O373" s="33" t="n">
        <f>7250</f>
        <v>7250.0</v>
      </c>
      <c r="P373" s="34" t="s">
        <v>48</v>
      </c>
      <c r="Q373" s="33" t="n">
        <f>8194</f>
        <v>8194.0</v>
      </c>
      <c r="R373" s="34" t="s">
        <v>51</v>
      </c>
      <c r="S373" s="35" t="n">
        <f>7915.55</f>
        <v>7915.55</v>
      </c>
      <c r="T373" s="32" t="n">
        <f>657308</f>
        <v>657308.0</v>
      </c>
      <c r="U373" s="32" t="n">
        <f>3360</f>
        <v>3360.0</v>
      </c>
      <c r="V373" s="32" t="n">
        <f>5254741153</f>
        <v>5.254741153E9</v>
      </c>
      <c r="W373" s="32" t="n">
        <f>26782377</f>
        <v>2.6782377E7</v>
      </c>
      <c r="X373" s="36" t="n">
        <f>22</f>
        <v>22.0</v>
      </c>
    </row>
    <row r="374">
      <c r="A374" s="27" t="s">
        <v>42</v>
      </c>
      <c r="B374" s="27" t="s">
        <v>1166</v>
      </c>
      <c r="C374" s="27" t="s">
        <v>1167</v>
      </c>
      <c r="D374" s="27" t="s">
        <v>1168</v>
      </c>
      <c r="E374" s="28" t="s">
        <v>46</v>
      </c>
      <c r="F374" s="29" t="s">
        <v>46</v>
      </c>
      <c r="G374" s="30" t="s">
        <v>46</v>
      </c>
      <c r="H374" s="31"/>
      <c r="I374" s="31" t="s">
        <v>47</v>
      </c>
      <c r="J374" s="32" t="n">
        <v>1.0</v>
      </c>
      <c r="K374" s="33" t="n">
        <f>2978</f>
        <v>2978.0</v>
      </c>
      <c r="L374" s="34" t="s">
        <v>48</v>
      </c>
      <c r="M374" s="33" t="n">
        <f>3013</f>
        <v>3013.0</v>
      </c>
      <c r="N374" s="34" t="s">
        <v>58</v>
      </c>
      <c r="O374" s="33" t="n">
        <f>2810</f>
        <v>2810.0</v>
      </c>
      <c r="P374" s="34" t="s">
        <v>50</v>
      </c>
      <c r="Q374" s="33" t="n">
        <f>2849</f>
        <v>2849.0</v>
      </c>
      <c r="R374" s="34" t="s">
        <v>197</v>
      </c>
      <c r="S374" s="35" t="n">
        <f>2932.33</f>
        <v>2932.33</v>
      </c>
      <c r="T374" s="32" t="n">
        <f>1592</f>
        <v>1592.0</v>
      </c>
      <c r="U374" s="32" t="str">
        <f>"－"</f>
        <v>－</v>
      </c>
      <c r="V374" s="32" t="n">
        <f>4722009</f>
        <v>4722009.0</v>
      </c>
      <c r="W374" s="32" t="str">
        <f>"－"</f>
        <v>－</v>
      </c>
      <c r="X374" s="36" t="n">
        <f>18</f>
        <v>18.0</v>
      </c>
    </row>
    <row r="375">
      <c r="A375" s="27" t="s">
        <v>42</v>
      </c>
      <c r="B375" s="27" t="s">
        <v>1169</v>
      </c>
      <c r="C375" s="27" t="s">
        <v>1170</v>
      </c>
      <c r="D375" s="27" t="s">
        <v>1171</v>
      </c>
      <c r="E375" s="28" t="s">
        <v>46</v>
      </c>
      <c r="F375" s="29" t="s">
        <v>46</v>
      </c>
      <c r="G375" s="30" t="s">
        <v>46</v>
      </c>
      <c r="H375" s="31"/>
      <c r="I375" s="31" t="s">
        <v>47</v>
      </c>
      <c r="J375" s="32" t="n">
        <v>1.0</v>
      </c>
      <c r="K375" s="33" t="n">
        <f>10070</f>
        <v>10070.0</v>
      </c>
      <c r="L375" s="34" t="s">
        <v>48</v>
      </c>
      <c r="M375" s="33" t="n">
        <f>10105</f>
        <v>10105.0</v>
      </c>
      <c r="N375" s="34" t="s">
        <v>474</v>
      </c>
      <c r="O375" s="33" t="n">
        <f>9651</f>
        <v>9651.0</v>
      </c>
      <c r="P375" s="34" t="s">
        <v>160</v>
      </c>
      <c r="Q375" s="33" t="n">
        <f>9835</f>
        <v>9835.0</v>
      </c>
      <c r="R375" s="34" t="s">
        <v>51</v>
      </c>
      <c r="S375" s="35" t="n">
        <f>9962.24</f>
        <v>9962.24</v>
      </c>
      <c r="T375" s="32" t="n">
        <f>555</f>
        <v>555.0</v>
      </c>
      <c r="U375" s="32" t="str">
        <f>"－"</f>
        <v>－</v>
      </c>
      <c r="V375" s="32" t="n">
        <f>5518149</f>
        <v>5518149.0</v>
      </c>
      <c r="W375" s="32" t="str">
        <f>"－"</f>
        <v>－</v>
      </c>
      <c r="X375" s="36" t="n">
        <f>21</f>
        <v>21.0</v>
      </c>
    </row>
    <row r="376">
      <c r="A376" s="27" t="s">
        <v>42</v>
      </c>
      <c r="B376" s="27" t="s">
        <v>1172</v>
      </c>
      <c r="C376" s="27" t="s">
        <v>1173</v>
      </c>
      <c r="D376" s="27" t="s">
        <v>1174</v>
      </c>
      <c r="E376" s="28" t="s">
        <v>46</v>
      </c>
      <c r="F376" s="29" t="s">
        <v>46</v>
      </c>
      <c r="G376" s="30" t="s">
        <v>46</v>
      </c>
      <c r="H376" s="31"/>
      <c r="I376" s="31" t="s">
        <v>47</v>
      </c>
      <c r="J376" s="32" t="n">
        <v>1.0</v>
      </c>
      <c r="K376" s="33" t="n">
        <f>116000</f>
        <v>116000.0</v>
      </c>
      <c r="L376" s="34" t="s">
        <v>48</v>
      </c>
      <c r="M376" s="33" t="n">
        <f>119100</f>
        <v>119100.0</v>
      </c>
      <c r="N376" s="34" t="s">
        <v>75</v>
      </c>
      <c r="O376" s="33" t="n">
        <f>111800</f>
        <v>111800.0</v>
      </c>
      <c r="P376" s="34" t="s">
        <v>51</v>
      </c>
      <c r="Q376" s="33" t="n">
        <f>111800</f>
        <v>111800.0</v>
      </c>
      <c r="R376" s="34" t="s">
        <v>51</v>
      </c>
      <c r="S376" s="35" t="n">
        <f>116859.09</f>
        <v>116859.09</v>
      </c>
      <c r="T376" s="32" t="n">
        <f>20218</f>
        <v>20218.0</v>
      </c>
      <c r="U376" s="32" t="n">
        <f>2586</f>
        <v>2586.0</v>
      </c>
      <c r="V376" s="32" t="n">
        <f>2354049021</f>
        <v>2.354049021E9</v>
      </c>
      <c r="W376" s="32" t="n">
        <f>300415421</f>
        <v>3.00415421E8</v>
      </c>
      <c r="X376" s="36" t="n">
        <f>22</f>
        <v>22.0</v>
      </c>
    </row>
    <row r="377">
      <c r="A377" s="27" t="s">
        <v>42</v>
      </c>
      <c r="B377" s="27" t="s">
        <v>1175</v>
      </c>
      <c r="C377" s="27" t="s">
        <v>1176</v>
      </c>
      <c r="D377" s="27" t="s">
        <v>1177</v>
      </c>
      <c r="E377" s="28" t="s">
        <v>46</v>
      </c>
      <c r="F377" s="29" t="s">
        <v>46</v>
      </c>
      <c r="G377" s="30" t="s">
        <v>46</v>
      </c>
      <c r="H377" s="31"/>
      <c r="I377" s="31" t="s">
        <v>416</v>
      </c>
      <c r="J377" s="32" t="n">
        <v>1.0</v>
      </c>
      <c r="K377" s="33" t="n">
        <f>114000</f>
        <v>114000.0</v>
      </c>
      <c r="L377" s="34" t="s">
        <v>48</v>
      </c>
      <c r="M377" s="33" t="n">
        <f>118000</f>
        <v>118000.0</v>
      </c>
      <c r="N377" s="34" t="s">
        <v>58</v>
      </c>
      <c r="O377" s="33" t="n">
        <f>105400</f>
        <v>105400.0</v>
      </c>
      <c r="P377" s="34" t="s">
        <v>197</v>
      </c>
      <c r="Q377" s="33" t="n">
        <f>106600</f>
        <v>106600.0</v>
      </c>
      <c r="R377" s="34" t="s">
        <v>51</v>
      </c>
      <c r="S377" s="35" t="n">
        <f>111477.27</f>
        <v>111477.27</v>
      </c>
      <c r="T377" s="32" t="n">
        <f>48783</f>
        <v>48783.0</v>
      </c>
      <c r="U377" s="32" t="n">
        <f>8832</f>
        <v>8832.0</v>
      </c>
      <c r="V377" s="32" t="n">
        <f>5367844322</f>
        <v>5.367844322E9</v>
      </c>
      <c r="W377" s="32" t="n">
        <f>956494822</f>
        <v>9.56494822E8</v>
      </c>
      <c r="X377" s="36" t="n">
        <f>22</f>
        <v>22.0</v>
      </c>
    </row>
    <row r="378">
      <c r="A378" s="27" t="s">
        <v>42</v>
      </c>
      <c r="B378" s="27" t="s">
        <v>1178</v>
      </c>
      <c r="C378" s="27" t="s">
        <v>1179</v>
      </c>
      <c r="D378" s="27" t="s">
        <v>1180</v>
      </c>
      <c r="E378" s="28" t="s">
        <v>46</v>
      </c>
      <c r="F378" s="29" t="s">
        <v>46</v>
      </c>
      <c r="G378" s="30" t="s">
        <v>46</v>
      </c>
      <c r="H378" s="31"/>
      <c r="I378" s="31" t="s">
        <v>47</v>
      </c>
      <c r="J378" s="32" t="n">
        <v>1.0</v>
      </c>
      <c r="K378" s="33" t="n">
        <f>114100</f>
        <v>114100.0</v>
      </c>
      <c r="L378" s="34" t="s">
        <v>48</v>
      </c>
      <c r="M378" s="33" t="n">
        <f>116100</f>
        <v>116100.0</v>
      </c>
      <c r="N378" s="34" t="s">
        <v>58</v>
      </c>
      <c r="O378" s="33" t="n">
        <f>106400</f>
        <v>106400.0</v>
      </c>
      <c r="P378" s="34" t="s">
        <v>71</v>
      </c>
      <c r="Q378" s="33" t="n">
        <f>108800</f>
        <v>108800.0</v>
      </c>
      <c r="R378" s="34" t="s">
        <v>51</v>
      </c>
      <c r="S378" s="35" t="n">
        <f>111031.82</f>
        <v>111031.82</v>
      </c>
      <c r="T378" s="32" t="n">
        <f>55195</f>
        <v>55195.0</v>
      </c>
      <c r="U378" s="32" t="n">
        <f>8327</f>
        <v>8327.0</v>
      </c>
      <c r="V378" s="32" t="n">
        <f>6112885253</f>
        <v>6.112885253E9</v>
      </c>
      <c r="W378" s="32" t="n">
        <f>919620153</f>
        <v>9.19620153E8</v>
      </c>
      <c r="X378" s="36" t="n">
        <f>22</f>
        <v>22.0</v>
      </c>
    </row>
    <row r="379">
      <c r="A379" s="27" t="s">
        <v>42</v>
      </c>
      <c r="B379" s="27" t="s">
        <v>1181</v>
      </c>
      <c r="C379" s="27" t="s">
        <v>1182</v>
      </c>
      <c r="D379" s="27" t="s">
        <v>1183</v>
      </c>
      <c r="E379" s="28" t="s">
        <v>46</v>
      </c>
      <c r="F379" s="29" t="s">
        <v>46</v>
      </c>
      <c r="G379" s="30" t="s">
        <v>46</v>
      </c>
      <c r="H379" s="31"/>
      <c r="I379" s="31" t="s">
        <v>416</v>
      </c>
      <c r="J379" s="32" t="n">
        <v>1.0</v>
      </c>
      <c r="K379" s="33" t="n">
        <f>103300</f>
        <v>103300.0</v>
      </c>
      <c r="L379" s="34" t="s">
        <v>48</v>
      </c>
      <c r="M379" s="33" t="n">
        <f>104900</f>
        <v>104900.0</v>
      </c>
      <c r="N379" s="34" t="s">
        <v>58</v>
      </c>
      <c r="O379" s="33" t="n">
        <f>99200</f>
        <v>99200.0</v>
      </c>
      <c r="P379" s="34" t="s">
        <v>197</v>
      </c>
      <c r="Q379" s="33" t="n">
        <f>99500</f>
        <v>99500.0</v>
      </c>
      <c r="R379" s="34" t="s">
        <v>51</v>
      </c>
      <c r="S379" s="35" t="n">
        <f>102777.27</f>
        <v>102777.27</v>
      </c>
      <c r="T379" s="32" t="n">
        <f>37972</f>
        <v>37972.0</v>
      </c>
      <c r="U379" s="32" t="n">
        <f>2936</f>
        <v>2936.0</v>
      </c>
      <c r="V379" s="32" t="n">
        <f>3887819684</f>
        <v>3.887819684E9</v>
      </c>
      <c r="W379" s="32" t="n">
        <f>300262084</f>
        <v>3.00262084E8</v>
      </c>
      <c r="X379" s="36" t="n">
        <f>22</f>
        <v>22.0</v>
      </c>
    </row>
    <row r="380">
      <c r="A380" s="27" t="s">
        <v>42</v>
      </c>
      <c r="B380" s="27" t="s">
        <v>1184</v>
      </c>
      <c r="C380" s="27" t="s">
        <v>1185</v>
      </c>
      <c r="D380" s="27" t="s">
        <v>1186</v>
      </c>
      <c r="E380" s="28" t="s">
        <v>46</v>
      </c>
      <c r="F380" s="29" t="s">
        <v>46</v>
      </c>
      <c r="G380" s="30" t="s">
        <v>46</v>
      </c>
      <c r="H380" s="31"/>
      <c r="I380" s="31" t="s">
        <v>47</v>
      </c>
      <c r="J380" s="32" t="n">
        <v>10.0</v>
      </c>
      <c r="K380" s="33" t="n">
        <f>261.8</f>
        <v>261.8</v>
      </c>
      <c r="L380" s="34" t="s">
        <v>48</v>
      </c>
      <c r="M380" s="33" t="n">
        <f>270.8</f>
        <v>270.8</v>
      </c>
      <c r="N380" s="34" t="s">
        <v>249</v>
      </c>
      <c r="O380" s="33" t="n">
        <f>256.6</f>
        <v>256.6</v>
      </c>
      <c r="P380" s="34" t="s">
        <v>197</v>
      </c>
      <c r="Q380" s="33" t="n">
        <f>258.1</f>
        <v>258.1</v>
      </c>
      <c r="R380" s="34" t="s">
        <v>51</v>
      </c>
      <c r="S380" s="35" t="n">
        <f>264.04</f>
        <v>264.04</v>
      </c>
      <c r="T380" s="32" t="n">
        <f>2676360</f>
        <v>2676360.0</v>
      </c>
      <c r="U380" s="32" t="str">
        <f>"－"</f>
        <v>－</v>
      </c>
      <c r="V380" s="32" t="n">
        <f>708379189</f>
        <v>7.08379189E8</v>
      </c>
      <c r="W380" s="32" t="str">
        <f>"－"</f>
        <v>－</v>
      </c>
      <c r="X380" s="36" t="n">
        <f>22</f>
        <v>22.0</v>
      </c>
    </row>
    <row r="381">
      <c r="A381" s="27" t="s">
        <v>42</v>
      </c>
      <c r="B381" s="27" t="s">
        <v>1187</v>
      </c>
      <c r="C381" s="27" t="s">
        <v>1188</v>
      </c>
      <c r="D381" s="27" t="s">
        <v>1189</v>
      </c>
      <c r="E381" s="28" t="s">
        <v>46</v>
      </c>
      <c r="F381" s="29" t="s">
        <v>46</v>
      </c>
      <c r="G381" s="30" t="s">
        <v>46</v>
      </c>
      <c r="H381" s="31"/>
      <c r="I381" s="31" t="s">
        <v>47</v>
      </c>
      <c r="J381" s="32" t="n">
        <v>10.0</v>
      </c>
      <c r="K381" s="33" t="n">
        <f>308.7</f>
        <v>308.7</v>
      </c>
      <c r="L381" s="34" t="s">
        <v>48</v>
      </c>
      <c r="M381" s="33" t="n">
        <f>321.8</f>
        <v>321.8</v>
      </c>
      <c r="N381" s="34" t="s">
        <v>58</v>
      </c>
      <c r="O381" s="33" t="n">
        <f>305.4</f>
        <v>305.4</v>
      </c>
      <c r="P381" s="34" t="s">
        <v>48</v>
      </c>
      <c r="Q381" s="33" t="n">
        <f>311.5</f>
        <v>311.5</v>
      </c>
      <c r="R381" s="34" t="s">
        <v>51</v>
      </c>
      <c r="S381" s="35" t="n">
        <f>313.68</f>
        <v>313.68</v>
      </c>
      <c r="T381" s="32" t="n">
        <f>35397290</f>
        <v>3.539729E7</v>
      </c>
      <c r="U381" s="32" t="n">
        <f>2998410</f>
        <v>2998410.0</v>
      </c>
      <c r="V381" s="32" t="n">
        <f>11088445137</f>
        <v>1.1088445137E10</v>
      </c>
      <c r="W381" s="32" t="n">
        <f>932241201</f>
        <v>9.32241201E8</v>
      </c>
      <c r="X381" s="36" t="n">
        <f>22</f>
        <v>22.0</v>
      </c>
    </row>
    <row r="382">
      <c r="A382" s="27" t="s">
        <v>42</v>
      </c>
      <c r="B382" s="27" t="s">
        <v>1190</v>
      </c>
      <c r="C382" s="27" t="s">
        <v>1191</v>
      </c>
      <c r="D382" s="27" t="s">
        <v>1192</v>
      </c>
      <c r="E382" s="28" t="s">
        <v>46</v>
      </c>
      <c r="F382" s="29" t="s">
        <v>46</v>
      </c>
      <c r="G382" s="30" t="s">
        <v>46</v>
      </c>
      <c r="H382" s="31"/>
      <c r="I382" s="31" t="s">
        <v>47</v>
      </c>
      <c r="J382" s="32" t="n">
        <v>1.0</v>
      </c>
      <c r="K382" s="33" t="n">
        <f>1762</f>
        <v>1762.0</v>
      </c>
      <c r="L382" s="34" t="s">
        <v>48</v>
      </c>
      <c r="M382" s="33" t="n">
        <f>2023</f>
        <v>2023.0</v>
      </c>
      <c r="N382" s="34" t="s">
        <v>62</v>
      </c>
      <c r="O382" s="33" t="n">
        <f>1762</f>
        <v>1762.0</v>
      </c>
      <c r="P382" s="34" t="s">
        <v>48</v>
      </c>
      <c r="Q382" s="33" t="n">
        <f>1929</f>
        <v>1929.0</v>
      </c>
      <c r="R382" s="34" t="s">
        <v>51</v>
      </c>
      <c r="S382" s="35" t="n">
        <f>1915.36</f>
        <v>1915.36</v>
      </c>
      <c r="T382" s="32" t="n">
        <f>7351432</f>
        <v>7351432.0</v>
      </c>
      <c r="U382" s="32" t="n">
        <f>611643</f>
        <v>611643.0</v>
      </c>
      <c r="V382" s="32" t="n">
        <f>14159233518</f>
        <v>1.4159233518E10</v>
      </c>
      <c r="W382" s="32" t="n">
        <f>1192370224</f>
        <v>1.192370224E9</v>
      </c>
      <c r="X382" s="36" t="n">
        <f>22</f>
        <v>22.0</v>
      </c>
    </row>
    <row r="383">
      <c r="A383" s="27" t="s">
        <v>42</v>
      </c>
      <c r="B383" s="27" t="s">
        <v>1193</v>
      </c>
      <c r="C383" s="27" t="s">
        <v>1194</v>
      </c>
      <c r="D383" s="27" t="s">
        <v>1195</v>
      </c>
      <c r="E383" s="28" t="s">
        <v>46</v>
      </c>
      <c r="F383" s="29" t="s">
        <v>46</v>
      </c>
      <c r="G383" s="30" t="s">
        <v>46</v>
      </c>
      <c r="H383" s="31"/>
      <c r="I383" s="31" t="s">
        <v>47</v>
      </c>
      <c r="J383" s="32" t="n">
        <v>1.0</v>
      </c>
      <c r="K383" s="33" t="n">
        <f>2548</f>
        <v>2548.0</v>
      </c>
      <c r="L383" s="34" t="s">
        <v>48</v>
      </c>
      <c r="M383" s="33" t="n">
        <f>2678</f>
        <v>2678.0</v>
      </c>
      <c r="N383" s="34" t="s">
        <v>249</v>
      </c>
      <c r="O383" s="33" t="n">
        <f>2483</f>
        <v>2483.0</v>
      </c>
      <c r="P383" s="34" t="s">
        <v>197</v>
      </c>
      <c r="Q383" s="33" t="n">
        <f>2550</f>
        <v>2550.0</v>
      </c>
      <c r="R383" s="34" t="s">
        <v>51</v>
      </c>
      <c r="S383" s="35" t="n">
        <f>2575.77</f>
        <v>2575.77</v>
      </c>
      <c r="T383" s="32" t="n">
        <f>5563952</f>
        <v>5563952.0</v>
      </c>
      <c r="U383" s="32" t="n">
        <f>141325</f>
        <v>141325.0</v>
      </c>
      <c r="V383" s="32" t="n">
        <f>14351304572</f>
        <v>1.4351304572E10</v>
      </c>
      <c r="W383" s="32" t="n">
        <f>372494071</f>
        <v>3.72494071E8</v>
      </c>
      <c r="X383" s="36" t="n">
        <f>22</f>
        <v>22.0</v>
      </c>
    </row>
    <row r="384">
      <c r="A384" s="27" t="s">
        <v>42</v>
      </c>
      <c r="B384" s="27" t="s">
        <v>1196</v>
      </c>
      <c r="C384" s="27" t="s">
        <v>1197</v>
      </c>
      <c r="D384" s="27" t="s">
        <v>1198</v>
      </c>
      <c r="E384" s="28" t="s">
        <v>46</v>
      </c>
      <c r="F384" s="29" t="s">
        <v>46</v>
      </c>
      <c r="G384" s="30" t="s">
        <v>46</v>
      </c>
      <c r="H384" s="31"/>
      <c r="I384" s="31" t="s">
        <v>47</v>
      </c>
      <c r="J384" s="32" t="n">
        <v>10.0</v>
      </c>
      <c r="K384" s="33" t="n">
        <f>458.1</f>
        <v>458.1</v>
      </c>
      <c r="L384" s="34" t="s">
        <v>48</v>
      </c>
      <c r="M384" s="33" t="n">
        <f>481.8</f>
        <v>481.8</v>
      </c>
      <c r="N384" s="34" t="s">
        <v>197</v>
      </c>
      <c r="O384" s="33" t="n">
        <f>425</f>
        <v>425.0</v>
      </c>
      <c r="P384" s="34" t="s">
        <v>249</v>
      </c>
      <c r="Q384" s="33" t="n">
        <f>435.8</f>
        <v>435.8</v>
      </c>
      <c r="R384" s="34" t="s">
        <v>51</v>
      </c>
      <c r="S384" s="35" t="n">
        <f>447.24</f>
        <v>447.24</v>
      </c>
      <c r="T384" s="32" t="n">
        <f>24408470</f>
        <v>2.440847E7</v>
      </c>
      <c r="U384" s="32" t="n">
        <f>3400</f>
        <v>3400.0</v>
      </c>
      <c r="V384" s="32" t="n">
        <f>10926529129</f>
        <v>1.0926529129E10</v>
      </c>
      <c r="W384" s="32" t="n">
        <f>1515896</f>
        <v>1515896.0</v>
      </c>
      <c r="X384" s="36" t="n">
        <f>22</f>
        <v>22.0</v>
      </c>
    </row>
    <row r="385">
      <c r="A385" s="27" t="s">
        <v>42</v>
      </c>
      <c r="B385" s="27" t="s">
        <v>1199</v>
      </c>
      <c r="C385" s="27" t="s">
        <v>1200</v>
      </c>
      <c r="D385" s="27" t="s">
        <v>1201</v>
      </c>
      <c r="E385" s="28" t="s">
        <v>46</v>
      </c>
      <c r="F385" s="29" t="s">
        <v>46</v>
      </c>
      <c r="G385" s="30" t="s">
        <v>46</v>
      </c>
      <c r="H385" s="31"/>
      <c r="I385" s="31" t="s">
        <v>47</v>
      </c>
      <c r="J385" s="32" t="n">
        <v>1.0</v>
      </c>
      <c r="K385" s="33" t="n">
        <f>122000</f>
        <v>122000.0</v>
      </c>
      <c r="L385" s="34" t="s">
        <v>48</v>
      </c>
      <c r="M385" s="33" t="n">
        <f>126800</f>
        <v>126800.0</v>
      </c>
      <c r="N385" s="34" t="s">
        <v>58</v>
      </c>
      <c r="O385" s="33" t="n">
        <f>121200</f>
        <v>121200.0</v>
      </c>
      <c r="P385" s="34" t="s">
        <v>48</v>
      </c>
      <c r="Q385" s="33" t="n">
        <f>122800</f>
        <v>122800.0</v>
      </c>
      <c r="R385" s="34" t="s">
        <v>51</v>
      </c>
      <c r="S385" s="35" t="n">
        <f>123327.27</f>
        <v>123327.27</v>
      </c>
      <c r="T385" s="32" t="n">
        <f>169227</f>
        <v>169227.0</v>
      </c>
      <c r="U385" s="32" t="n">
        <f>40478</f>
        <v>40478.0</v>
      </c>
      <c r="V385" s="32" t="n">
        <f>20885800478</f>
        <v>2.0885800478E10</v>
      </c>
      <c r="W385" s="32" t="n">
        <f>4992327678</f>
        <v>4.992327678E9</v>
      </c>
      <c r="X385" s="36" t="n">
        <f>22</f>
        <v>22.0</v>
      </c>
    </row>
    <row r="386">
      <c r="A386" s="27" t="s">
        <v>42</v>
      </c>
      <c r="B386" s="27" t="s">
        <v>1202</v>
      </c>
      <c r="C386" s="27" t="s">
        <v>1203</v>
      </c>
      <c r="D386" s="27" t="s">
        <v>1204</v>
      </c>
      <c r="E386" s="28" t="s">
        <v>46</v>
      </c>
      <c r="F386" s="29" t="s">
        <v>46</v>
      </c>
      <c r="G386" s="30" t="s">
        <v>46</v>
      </c>
      <c r="H386" s="31"/>
      <c r="I386" s="31" t="s">
        <v>47</v>
      </c>
      <c r="J386" s="32" t="n">
        <v>1.0</v>
      </c>
      <c r="K386" s="33" t="n">
        <f>129000</f>
        <v>129000.0</v>
      </c>
      <c r="L386" s="34" t="s">
        <v>48</v>
      </c>
      <c r="M386" s="33" t="n">
        <f>136700</f>
        <v>136700.0</v>
      </c>
      <c r="N386" s="34" t="s">
        <v>75</v>
      </c>
      <c r="O386" s="33" t="n">
        <f>127000</f>
        <v>127000.0</v>
      </c>
      <c r="P386" s="34" t="s">
        <v>48</v>
      </c>
      <c r="Q386" s="33" t="n">
        <f>130100</f>
        <v>130100.0</v>
      </c>
      <c r="R386" s="34" t="s">
        <v>51</v>
      </c>
      <c r="S386" s="35" t="n">
        <f>131177.27</f>
        <v>131177.27</v>
      </c>
      <c r="T386" s="32" t="n">
        <f>115107</f>
        <v>115107.0</v>
      </c>
      <c r="U386" s="32" t="n">
        <f>17682</f>
        <v>17682.0</v>
      </c>
      <c r="V386" s="32" t="n">
        <f>15177946141</f>
        <v>1.5177946141E10</v>
      </c>
      <c r="W386" s="32" t="n">
        <f>2331712541</f>
        <v>2.331712541E9</v>
      </c>
      <c r="X386" s="36" t="n">
        <f>22</f>
        <v>22.0</v>
      </c>
    </row>
    <row r="387">
      <c r="A387" s="27" t="s">
        <v>42</v>
      </c>
      <c r="B387" s="27" t="s">
        <v>1205</v>
      </c>
      <c r="C387" s="27" t="s">
        <v>1206</v>
      </c>
      <c r="D387" s="27" t="s">
        <v>1207</v>
      </c>
      <c r="E387" s="28" t="s">
        <v>46</v>
      </c>
      <c r="F387" s="29" t="s">
        <v>46</v>
      </c>
      <c r="G387" s="30" t="s">
        <v>46</v>
      </c>
      <c r="H387" s="31"/>
      <c r="I387" s="31" t="s">
        <v>47</v>
      </c>
      <c r="J387" s="32" t="n">
        <v>1.0</v>
      </c>
      <c r="K387" s="33" t="n">
        <f>142400</f>
        <v>142400.0</v>
      </c>
      <c r="L387" s="34" t="s">
        <v>48</v>
      </c>
      <c r="M387" s="33" t="n">
        <f>150700</f>
        <v>150700.0</v>
      </c>
      <c r="N387" s="34" t="s">
        <v>75</v>
      </c>
      <c r="O387" s="33" t="n">
        <f>140100</f>
        <v>140100.0</v>
      </c>
      <c r="P387" s="34" t="s">
        <v>48</v>
      </c>
      <c r="Q387" s="33" t="n">
        <f>141300</f>
        <v>141300.0</v>
      </c>
      <c r="R387" s="34" t="s">
        <v>51</v>
      </c>
      <c r="S387" s="35" t="n">
        <f>144827.27</f>
        <v>144827.27</v>
      </c>
      <c r="T387" s="32" t="n">
        <f>247333</f>
        <v>247333.0</v>
      </c>
      <c r="U387" s="32" t="n">
        <f>55399</f>
        <v>55399.0</v>
      </c>
      <c r="V387" s="32" t="n">
        <f>35951010095</f>
        <v>3.5951010095E10</v>
      </c>
      <c r="W387" s="32" t="n">
        <f>8070049895</f>
        <v>8.070049895E9</v>
      </c>
      <c r="X387" s="36" t="n">
        <f>22</f>
        <v>22.0</v>
      </c>
    </row>
    <row r="388">
      <c r="A388" s="27" t="s">
        <v>42</v>
      </c>
      <c r="B388" s="27" t="s">
        <v>1208</v>
      </c>
      <c r="C388" s="27" t="s">
        <v>1209</v>
      </c>
      <c r="D388" s="27" t="s">
        <v>1210</v>
      </c>
      <c r="E388" s="28" t="s">
        <v>46</v>
      </c>
      <c r="F388" s="29" t="s">
        <v>46</v>
      </c>
      <c r="G388" s="30" t="s">
        <v>46</v>
      </c>
      <c r="H388" s="31"/>
      <c r="I388" s="31" t="s">
        <v>47</v>
      </c>
      <c r="J388" s="32" t="n">
        <v>1.0</v>
      </c>
      <c r="K388" s="33" t="n">
        <f>150900</f>
        <v>150900.0</v>
      </c>
      <c r="L388" s="34" t="s">
        <v>48</v>
      </c>
      <c r="M388" s="33" t="n">
        <f>154100</f>
        <v>154100.0</v>
      </c>
      <c r="N388" s="34" t="s">
        <v>49</v>
      </c>
      <c r="O388" s="33" t="n">
        <f>147900</f>
        <v>147900.0</v>
      </c>
      <c r="P388" s="34" t="s">
        <v>51</v>
      </c>
      <c r="Q388" s="33" t="n">
        <f>147900</f>
        <v>147900.0</v>
      </c>
      <c r="R388" s="34" t="s">
        <v>51</v>
      </c>
      <c r="S388" s="35" t="n">
        <f>150986.36</f>
        <v>150986.36</v>
      </c>
      <c r="T388" s="32" t="n">
        <f>269700</f>
        <v>269700.0</v>
      </c>
      <c r="U388" s="32" t="n">
        <f>87618</f>
        <v>87618.0</v>
      </c>
      <c r="V388" s="32" t="n">
        <f>40760662922</f>
        <v>4.0760662922E10</v>
      </c>
      <c r="W388" s="32" t="n">
        <f>13260537722</f>
        <v>1.3260537722E10</v>
      </c>
      <c r="X388" s="36" t="n">
        <f>22</f>
        <v>22.0</v>
      </c>
    </row>
    <row r="389">
      <c r="A389" s="27" t="s">
        <v>42</v>
      </c>
      <c r="B389" s="27" t="s">
        <v>1211</v>
      </c>
      <c r="C389" s="27" t="s">
        <v>1212</v>
      </c>
      <c r="D389" s="27" t="s">
        <v>1213</v>
      </c>
      <c r="E389" s="28" t="s">
        <v>46</v>
      </c>
      <c r="F389" s="29" t="s">
        <v>46</v>
      </c>
      <c r="G389" s="30" t="s">
        <v>46</v>
      </c>
      <c r="H389" s="31"/>
      <c r="I389" s="31" t="s">
        <v>47</v>
      </c>
      <c r="J389" s="32" t="n">
        <v>1.0</v>
      </c>
      <c r="K389" s="33" t="n">
        <f>137400</f>
        <v>137400.0</v>
      </c>
      <c r="L389" s="34" t="s">
        <v>48</v>
      </c>
      <c r="M389" s="33" t="n">
        <f>145700</f>
        <v>145700.0</v>
      </c>
      <c r="N389" s="34" t="s">
        <v>75</v>
      </c>
      <c r="O389" s="33" t="n">
        <f>135600</f>
        <v>135600.0</v>
      </c>
      <c r="P389" s="34" t="s">
        <v>48</v>
      </c>
      <c r="Q389" s="33" t="n">
        <f>142900</f>
        <v>142900.0</v>
      </c>
      <c r="R389" s="34" t="s">
        <v>51</v>
      </c>
      <c r="S389" s="35" t="n">
        <f>139850</f>
        <v>139850.0</v>
      </c>
      <c r="T389" s="32" t="n">
        <f>147131</f>
        <v>147131.0</v>
      </c>
      <c r="U389" s="32" t="n">
        <f>34477</f>
        <v>34477.0</v>
      </c>
      <c r="V389" s="32" t="n">
        <f>20654048176</f>
        <v>2.0654048176E10</v>
      </c>
      <c r="W389" s="32" t="n">
        <f>4850545876</f>
        <v>4.850545876E9</v>
      </c>
      <c r="X389" s="36" t="n">
        <f>22</f>
        <v>22.0</v>
      </c>
    </row>
    <row r="390">
      <c r="A390" s="27" t="s">
        <v>42</v>
      </c>
      <c r="B390" s="27" t="s">
        <v>1214</v>
      </c>
      <c r="C390" s="27" t="s">
        <v>1215</v>
      </c>
      <c r="D390" s="27" t="s">
        <v>1216</v>
      </c>
      <c r="E390" s="28" t="s">
        <v>46</v>
      </c>
      <c r="F390" s="29" t="s">
        <v>46</v>
      </c>
      <c r="G390" s="30" t="s">
        <v>46</v>
      </c>
      <c r="H390" s="31"/>
      <c r="I390" s="31" t="s">
        <v>47</v>
      </c>
      <c r="J390" s="32" t="n">
        <v>1.0</v>
      </c>
      <c r="K390" s="33" t="n">
        <f>137500</f>
        <v>137500.0</v>
      </c>
      <c r="L390" s="34" t="s">
        <v>48</v>
      </c>
      <c r="M390" s="33" t="n">
        <f>149900</f>
        <v>149900.0</v>
      </c>
      <c r="N390" s="34" t="s">
        <v>75</v>
      </c>
      <c r="O390" s="33" t="n">
        <f>135400</f>
        <v>135400.0</v>
      </c>
      <c r="P390" s="34" t="s">
        <v>48</v>
      </c>
      <c r="Q390" s="33" t="n">
        <f>145000</f>
        <v>145000.0</v>
      </c>
      <c r="R390" s="34" t="s">
        <v>51</v>
      </c>
      <c r="S390" s="35" t="n">
        <f>142050</f>
        <v>142050.0</v>
      </c>
      <c r="T390" s="32" t="n">
        <f>491842</f>
        <v>491842.0</v>
      </c>
      <c r="U390" s="32" t="n">
        <f>157024</f>
        <v>157024.0</v>
      </c>
      <c r="V390" s="32" t="n">
        <f>70859148541</f>
        <v>7.0859148541E10</v>
      </c>
      <c r="W390" s="32" t="n">
        <f>22827515641</f>
        <v>2.2827515641E10</v>
      </c>
      <c r="X390" s="36" t="n">
        <f>22</f>
        <v>22.0</v>
      </c>
    </row>
    <row r="391">
      <c r="A391" s="27" t="s">
        <v>42</v>
      </c>
      <c r="B391" s="27" t="s">
        <v>1217</v>
      </c>
      <c r="C391" s="27" t="s">
        <v>1218</v>
      </c>
      <c r="D391" s="27" t="s">
        <v>1219</v>
      </c>
      <c r="E391" s="28" t="s">
        <v>46</v>
      </c>
      <c r="F391" s="29" t="s">
        <v>46</v>
      </c>
      <c r="G391" s="30" t="s">
        <v>46</v>
      </c>
      <c r="H391" s="31"/>
      <c r="I391" s="31" t="s">
        <v>47</v>
      </c>
      <c r="J391" s="32" t="n">
        <v>1.0</v>
      </c>
      <c r="K391" s="33" t="n">
        <f>103700</f>
        <v>103700.0</v>
      </c>
      <c r="L391" s="34" t="s">
        <v>48</v>
      </c>
      <c r="M391" s="33" t="n">
        <f>107500</f>
        <v>107500.0</v>
      </c>
      <c r="N391" s="34" t="s">
        <v>49</v>
      </c>
      <c r="O391" s="33" t="n">
        <f>102100</f>
        <v>102100.0</v>
      </c>
      <c r="P391" s="34" t="s">
        <v>51</v>
      </c>
      <c r="Q391" s="33" t="n">
        <f>102100</f>
        <v>102100.0</v>
      </c>
      <c r="R391" s="34" t="s">
        <v>51</v>
      </c>
      <c r="S391" s="35" t="n">
        <f>105031.82</f>
        <v>105031.82</v>
      </c>
      <c r="T391" s="32" t="n">
        <f>238774</f>
        <v>238774.0</v>
      </c>
      <c r="U391" s="32" t="n">
        <f>37173</f>
        <v>37173.0</v>
      </c>
      <c r="V391" s="32" t="n">
        <f>25116334607</f>
        <v>2.5116334607E10</v>
      </c>
      <c r="W391" s="32" t="n">
        <f>3910008507</f>
        <v>3.910008507E9</v>
      </c>
      <c r="X391" s="36" t="n">
        <f>22</f>
        <v>22.0</v>
      </c>
    </row>
    <row r="392">
      <c r="A392" s="27" t="s">
        <v>42</v>
      </c>
      <c r="B392" s="27" t="s">
        <v>1220</v>
      </c>
      <c r="C392" s="27" t="s">
        <v>1221</v>
      </c>
      <c r="D392" s="27" t="s">
        <v>1222</v>
      </c>
      <c r="E392" s="28" t="s">
        <v>46</v>
      </c>
      <c r="F392" s="29" t="s">
        <v>46</v>
      </c>
      <c r="G392" s="30" t="s">
        <v>46</v>
      </c>
      <c r="H392" s="31"/>
      <c r="I392" s="31" t="s">
        <v>47</v>
      </c>
      <c r="J392" s="32" t="n">
        <v>1.0</v>
      </c>
      <c r="K392" s="33" t="n">
        <f>86900</f>
        <v>86900.0</v>
      </c>
      <c r="L392" s="34" t="s">
        <v>48</v>
      </c>
      <c r="M392" s="33" t="n">
        <f>93600</f>
        <v>93600.0</v>
      </c>
      <c r="N392" s="34" t="s">
        <v>75</v>
      </c>
      <c r="O392" s="33" t="n">
        <f>85100</f>
        <v>85100.0</v>
      </c>
      <c r="P392" s="34" t="s">
        <v>48</v>
      </c>
      <c r="Q392" s="33" t="n">
        <f>90600</f>
        <v>90600.0</v>
      </c>
      <c r="R392" s="34" t="s">
        <v>51</v>
      </c>
      <c r="S392" s="35" t="n">
        <f>89350</f>
        <v>89350.0</v>
      </c>
      <c r="T392" s="32" t="n">
        <f>398242</f>
        <v>398242.0</v>
      </c>
      <c r="U392" s="32" t="n">
        <f>103739</f>
        <v>103739.0</v>
      </c>
      <c r="V392" s="32" t="n">
        <f>35708199423</f>
        <v>3.5708199423E10</v>
      </c>
      <c r="W392" s="32" t="n">
        <f>9309567023</f>
        <v>9.309567023E9</v>
      </c>
      <c r="X392" s="36" t="n">
        <f>22</f>
        <v>22.0</v>
      </c>
    </row>
    <row r="393">
      <c r="A393" s="27" t="s">
        <v>42</v>
      </c>
      <c r="B393" s="27" t="s">
        <v>1223</v>
      </c>
      <c r="C393" s="27" t="s">
        <v>1224</v>
      </c>
      <c r="D393" s="27" t="s">
        <v>1225</v>
      </c>
      <c r="E393" s="28" t="s">
        <v>46</v>
      </c>
      <c r="F393" s="29" t="s">
        <v>46</v>
      </c>
      <c r="G393" s="30" t="s">
        <v>46</v>
      </c>
      <c r="H393" s="31"/>
      <c r="I393" s="31" t="s">
        <v>47</v>
      </c>
      <c r="J393" s="32" t="n">
        <v>1.0</v>
      </c>
      <c r="K393" s="33" t="n">
        <f>240900</f>
        <v>240900.0</v>
      </c>
      <c r="L393" s="34" t="s">
        <v>48</v>
      </c>
      <c r="M393" s="33" t="n">
        <f>249600</f>
        <v>249600.0</v>
      </c>
      <c r="N393" s="34" t="s">
        <v>75</v>
      </c>
      <c r="O393" s="33" t="n">
        <f>236000</f>
        <v>236000.0</v>
      </c>
      <c r="P393" s="34" t="s">
        <v>661</v>
      </c>
      <c r="Q393" s="33" t="n">
        <f>244000</f>
        <v>244000.0</v>
      </c>
      <c r="R393" s="34" t="s">
        <v>51</v>
      </c>
      <c r="S393" s="35" t="n">
        <f>242563.64</f>
        <v>242563.64</v>
      </c>
      <c r="T393" s="32" t="n">
        <f>45450</f>
        <v>45450.0</v>
      </c>
      <c r="U393" s="32" t="n">
        <f>8998</f>
        <v>8998.0</v>
      </c>
      <c r="V393" s="32" t="n">
        <f>11034709783</f>
        <v>1.1034709783E10</v>
      </c>
      <c r="W393" s="32" t="n">
        <f>2185382683</f>
        <v>2.185382683E9</v>
      </c>
      <c r="X393" s="36" t="n">
        <f>22</f>
        <v>22.0</v>
      </c>
    </row>
    <row r="394">
      <c r="A394" s="27" t="s">
        <v>42</v>
      </c>
      <c r="B394" s="27" t="s">
        <v>1226</v>
      </c>
      <c r="C394" s="27" t="s">
        <v>1227</v>
      </c>
      <c r="D394" s="27" t="s">
        <v>1228</v>
      </c>
      <c r="E394" s="28" t="s">
        <v>46</v>
      </c>
      <c r="F394" s="29" t="s">
        <v>46</v>
      </c>
      <c r="G394" s="30" t="s">
        <v>46</v>
      </c>
      <c r="H394" s="31"/>
      <c r="I394" s="31" t="s">
        <v>47</v>
      </c>
      <c r="J394" s="32" t="n">
        <v>1.0</v>
      </c>
      <c r="K394" s="33" t="n">
        <f>1392</f>
        <v>1392.0</v>
      </c>
      <c r="L394" s="34" t="s">
        <v>48</v>
      </c>
      <c r="M394" s="33" t="n">
        <f>1392</f>
        <v>1392.0</v>
      </c>
      <c r="N394" s="34" t="s">
        <v>48</v>
      </c>
      <c r="O394" s="33" t="n">
        <f>1315</f>
        <v>1315.0</v>
      </c>
      <c r="P394" s="34" t="s">
        <v>50</v>
      </c>
      <c r="Q394" s="33" t="n">
        <f>1336</f>
        <v>1336.0</v>
      </c>
      <c r="R394" s="34" t="s">
        <v>51</v>
      </c>
      <c r="S394" s="35" t="n">
        <f>1346.82</f>
        <v>1346.82</v>
      </c>
      <c r="T394" s="32" t="n">
        <f>53472</f>
        <v>53472.0</v>
      </c>
      <c r="U394" s="32" t="str">
        <f>"－"</f>
        <v>－</v>
      </c>
      <c r="V394" s="32" t="n">
        <f>72743608</f>
        <v>7.2743608E7</v>
      </c>
      <c r="W394" s="32" t="str">
        <f>"－"</f>
        <v>－</v>
      </c>
      <c r="X394" s="36" t="n">
        <f>22</f>
        <v>22.0</v>
      </c>
    </row>
    <row r="395">
      <c r="A395" s="27" t="s">
        <v>42</v>
      </c>
      <c r="B395" s="27" t="s">
        <v>1229</v>
      </c>
      <c r="C395" s="27" t="s">
        <v>1230</v>
      </c>
      <c r="D395" s="27" t="s">
        <v>1231</v>
      </c>
      <c r="E395" s="28" t="s">
        <v>46</v>
      </c>
      <c r="F395" s="29" t="s">
        <v>46</v>
      </c>
      <c r="G395" s="30" t="s">
        <v>46</v>
      </c>
      <c r="H395" s="31"/>
      <c r="I395" s="31" t="s">
        <v>47</v>
      </c>
      <c r="J395" s="32" t="n">
        <v>1.0</v>
      </c>
      <c r="K395" s="33" t="n">
        <f>74700</f>
        <v>74700.0</v>
      </c>
      <c r="L395" s="34" t="s">
        <v>48</v>
      </c>
      <c r="M395" s="33" t="n">
        <f>80800</f>
        <v>80800.0</v>
      </c>
      <c r="N395" s="34" t="s">
        <v>197</v>
      </c>
      <c r="O395" s="33" t="n">
        <f>74000</f>
        <v>74000.0</v>
      </c>
      <c r="P395" s="34" t="s">
        <v>48</v>
      </c>
      <c r="Q395" s="33" t="n">
        <f>79200</f>
        <v>79200.0</v>
      </c>
      <c r="R395" s="34" t="s">
        <v>51</v>
      </c>
      <c r="S395" s="35" t="n">
        <f>76863.64</f>
        <v>76863.64</v>
      </c>
      <c r="T395" s="32" t="n">
        <f>99208</f>
        <v>99208.0</v>
      </c>
      <c r="U395" s="32" t="n">
        <f>23619</f>
        <v>23619.0</v>
      </c>
      <c r="V395" s="32" t="n">
        <f>7742976446</f>
        <v>7.742976446E9</v>
      </c>
      <c r="W395" s="32" t="n">
        <f>1876013246</f>
        <v>1.876013246E9</v>
      </c>
      <c r="X395" s="36" t="n">
        <f>22</f>
        <v>22.0</v>
      </c>
    </row>
    <row r="396">
      <c r="A396" s="27" t="s">
        <v>42</v>
      </c>
      <c r="B396" s="27" t="s">
        <v>1232</v>
      </c>
      <c r="C396" s="27" t="s">
        <v>1233</v>
      </c>
      <c r="D396" s="27" t="s">
        <v>1234</v>
      </c>
      <c r="E396" s="28" t="s">
        <v>46</v>
      </c>
      <c r="F396" s="29" t="s">
        <v>46</v>
      </c>
      <c r="G396" s="30" t="s">
        <v>46</v>
      </c>
      <c r="H396" s="31"/>
      <c r="I396" s="31" t="s">
        <v>47</v>
      </c>
      <c r="J396" s="32" t="n">
        <v>1.0</v>
      </c>
      <c r="K396" s="33" t="n">
        <f>123100</f>
        <v>123100.0</v>
      </c>
      <c r="L396" s="34" t="s">
        <v>48</v>
      </c>
      <c r="M396" s="33" t="n">
        <f>129300</f>
        <v>129300.0</v>
      </c>
      <c r="N396" s="34" t="s">
        <v>75</v>
      </c>
      <c r="O396" s="33" t="n">
        <f>121900</f>
        <v>121900.0</v>
      </c>
      <c r="P396" s="34" t="s">
        <v>48</v>
      </c>
      <c r="Q396" s="33" t="n">
        <f>121900</f>
        <v>121900.0</v>
      </c>
      <c r="R396" s="34" t="s">
        <v>51</v>
      </c>
      <c r="S396" s="35" t="n">
        <f>125254.55</f>
        <v>125254.55</v>
      </c>
      <c r="T396" s="32" t="n">
        <f>142434</f>
        <v>142434.0</v>
      </c>
      <c r="U396" s="32" t="n">
        <f>27227</f>
        <v>27227.0</v>
      </c>
      <c r="V396" s="32" t="n">
        <f>17883193248</f>
        <v>1.7883193248E10</v>
      </c>
      <c r="W396" s="32" t="n">
        <f>3412665548</f>
        <v>3.412665548E9</v>
      </c>
      <c r="X396" s="36" t="n">
        <f>22</f>
        <v>22.0</v>
      </c>
    </row>
    <row r="397">
      <c r="A397" s="27" t="s">
        <v>42</v>
      </c>
      <c r="B397" s="27" t="s">
        <v>1235</v>
      </c>
      <c r="C397" s="27" t="s">
        <v>1236</v>
      </c>
      <c r="D397" s="27" t="s">
        <v>1237</v>
      </c>
      <c r="E397" s="28" t="s">
        <v>46</v>
      </c>
      <c r="F397" s="29" t="s">
        <v>46</v>
      </c>
      <c r="G397" s="30" t="s">
        <v>46</v>
      </c>
      <c r="H397" s="31"/>
      <c r="I397" s="31" t="s">
        <v>47</v>
      </c>
      <c r="J397" s="32" t="n">
        <v>1.0</v>
      </c>
      <c r="K397" s="33" t="n">
        <f>155300</f>
        <v>155300.0</v>
      </c>
      <c r="L397" s="34" t="s">
        <v>48</v>
      </c>
      <c r="M397" s="33" t="n">
        <f>163100</f>
        <v>163100.0</v>
      </c>
      <c r="N397" s="34" t="s">
        <v>75</v>
      </c>
      <c r="O397" s="33" t="n">
        <f>153400</f>
        <v>153400.0</v>
      </c>
      <c r="P397" s="34" t="s">
        <v>48</v>
      </c>
      <c r="Q397" s="33" t="n">
        <f>157500</f>
        <v>157500.0</v>
      </c>
      <c r="R397" s="34" t="s">
        <v>51</v>
      </c>
      <c r="S397" s="35" t="n">
        <f>158118.18</f>
        <v>158118.18</v>
      </c>
      <c r="T397" s="32" t="n">
        <f>64129</f>
        <v>64129.0</v>
      </c>
      <c r="U397" s="32" t="n">
        <f>9583</f>
        <v>9583.0</v>
      </c>
      <c r="V397" s="32" t="n">
        <f>10164237773</f>
        <v>1.0164237773E10</v>
      </c>
      <c r="W397" s="32" t="n">
        <f>1519760873</f>
        <v>1.519760873E9</v>
      </c>
      <c r="X397" s="36" t="n">
        <f>22</f>
        <v>22.0</v>
      </c>
    </row>
    <row r="398">
      <c r="A398" s="27" t="s">
        <v>42</v>
      </c>
      <c r="B398" s="27" t="s">
        <v>1238</v>
      </c>
      <c r="C398" s="27" t="s">
        <v>1239</v>
      </c>
      <c r="D398" s="27" t="s">
        <v>1240</v>
      </c>
      <c r="E398" s="28" t="s">
        <v>46</v>
      </c>
      <c r="F398" s="29" t="s">
        <v>46</v>
      </c>
      <c r="G398" s="30" t="s">
        <v>46</v>
      </c>
      <c r="H398" s="31"/>
      <c r="I398" s="31" t="s">
        <v>47</v>
      </c>
      <c r="J398" s="32" t="n">
        <v>1.0</v>
      </c>
      <c r="K398" s="33" t="n">
        <f>83500</f>
        <v>83500.0</v>
      </c>
      <c r="L398" s="34" t="s">
        <v>48</v>
      </c>
      <c r="M398" s="33" t="n">
        <f>86100</f>
        <v>86100.0</v>
      </c>
      <c r="N398" s="34" t="s">
        <v>75</v>
      </c>
      <c r="O398" s="33" t="n">
        <f>82200</f>
        <v>82200.0</v>
      </c>
      <c r="P398" s="34" t="s">
        <v>48</v>
      </c>
      <c r="Q398" s="33" t="n">
        <f>83800</f>
        <v>83800.0</v>
      </c>
      <c r="R398" s="34" t="s">
        <v>51</v>
      </c>
      <c r="S398" s="35" t="n">
        <f>84081.82</f>
        <v>84081.82</v>
      </c>
      <c r="T398" s="32" t="n">
        <f>151383</f>
        <v>151383.0</v>
      </c>
      <c r="U398" s="32" t="n">
        <f>48127</f>
        <v>48127.0</v>
      </c>
      <c r="V398" s="32" t="n">
        <f>12715003144</f>
        <v>1.2715003144E10</v>
      </c>
      <c r="W398" s="32" t="n">
        <f>4035674144</f>
        <v>4.035674144E9</v>
      </c>
      <c r="X398" s="36" t="n">
        <f>22</f>
        <v>22.0</v>
      </c>
    </row>
    <row r="399">
      <c r="A399" s="27" t="s">
        <v>42</v>
      </c>
      <c r="B399" s="27" t="s">
        <v>1241</v>
      </c>
      <c r="C399" s="27" t="s">
        <v>1242</v>
      </c>
      <c r="D399" s="27" t="s">
        <v>1243</v>
      </c>
      <c r="E399" s="28" t="s">
        <v>46</v>
      </c>
      <c r="F399" s="29" t="s">
        <v>46</v>
      </c>
      <c r="G399" s="30" t="s">
        <v>46</v>
      </c>
      <c r="H399" s="31"/>
      <c r="I399" s="31" t="s">
        <v>47</v>
      </c>
      <c r="J399" s="32" t="n">
        <v>1.0</v>
      </c>
      <c r="K399" s="33" t="n">
        <f>76800</f>
        <v>76800.0</v>
      </c>
      <c r="L399" s="34" t="s">
        <v>48</v>
      </c>
      <c r="M399" s="33" t="n">
        <f>78400</f>
        <v>78400.0</v>
      </c>
      <c r="N399" s="34" t="s">
        <v>116</v>
      </c>
      <c r="O399" s="33" t="n">
        <f>75700</f>
        <v>75700.0</v>
      </c>
      <c r="P399" s="34" t="s">
        <v>48</v>
      </c>
      <c r="Q399" s="33" t="n">
        <f>75800</f>
        <v>75800.0</v>
      </c>
      <c r="R399" s="34" t="s">
        <v>51</v>
      </c>
      <c r="S399" s="35" t="n">
        <f>76890.91</f>
        <v>76890.91</v>
      </c>
      <c r="T399" s="32" t="n">
        <f>378692</f>
        <v>378692.0</v>
      </c>
      <c r="U399" s="32" t="n">
        <f>111078</f>
        <v>111078.0</v>
      </c>
      <c r="V399" s="32" t="n">
        <f>29159074360</f>
        <v>2.915907436E10</v>
      </c>
      <c r="W399" s="32" t="n">
        <f>8554000860</f>
        <v>8.55400086E9</v>
      </c>
      <c r="X399" s="36" t="n">
        <f>22</f>
        <v>22.0</v>
      </c>
    </row>
    <row r="400">
      <c r="A400" s="27" t="s">
        <v>42</v>
      </c>
      <c r="B400" s="27" t="s">
        <v>1244</v>
      </c>
      <c r="C400" s="27" t="s">
        <v>1245</v>
      </c>
      <c r="D400" s="27" t="s">
        <v>1246</v>
      </c>
      <c r="E400" s="28" t="s">
        <v>46</v>
      </c>
      <c r="F400" s="29" t="s">
        <v>46</v>
      </c>
      <c r="G400" s="30" t="s">
        <v>46</v>
      </c>
      <c r="H400" s="31"/>
      <c r="I400" s="31" t="s">
        <v>416</v>
      </c>
      <c r="J400" s="32" t="n">
        <v>1.0</v>
      </c>
      <c r="K400" s="33" t="n">
        <f>134300</f>
        <v>134300.0</v>
      </c>
      <c r="L400" s="34" t="s">
        <v>48</v>
      </c>
      <c r="M400" s="33" t="n">
        <f>137600</f>
        <v>137600.0</v>
      </c>
      <c r="N400" s="34" t="s">
        <v>51</v>
      </c>
      <c r="O400" s="33" t="n">
        <f>131900</f>
        <v>131900.0</v>
      </c>
      <c r="P400" s="34" t="s">
        <v>71</v>
      </c>
      <c r="Q400" s="33" t="n">
        <f>133400</f>
        <v>133400.0</v>
      </c>
      <c r="R400" s="34" t="s">
        <v>51</v>
      </c>
      <c r="S400" s="35" t="n">
        <f>134209.09</f>
        <v>134209.09</v>
      </c>
      <c r="T400" s="32" t="n">
        <f>20103</f>
        <v>20103.0</v>
      </c>
      <c r="U400" s="32" t="n">
        <f>4214</f>
        <v>4214.0</v>
      </c>
      <c r="V400" s="32" t="n">
        <f>2705719853</f>
        <v>2.705719853E9</v>
      </c>
      <c r="W400" s="32" t="n">
        <f>568255853</f>
        <v>5.68255853E8</v>
      </c>
      <c r="X400" s="36" t="n">
        <f>22</f>
        <v>22.0</v>
      </c>
    </row>
    <row r="401">
      <c r="A401" s="27" t="s">
        <v>42</v>
      </c>
      <c r="B401" s="27" t="s">
        <v>1247</v>
      </c>
      <c r="C401" s="27" t="s">
        <v>1248</v>
      </c>
      <c r="D401" s="27" t="s">
        <v>1249</v>
      </c>
      <c r="E401" s="28" t="s">
        <v>46</v>
      </c>
      <c r="F401" s="29" t="s">
        <v>46</v>
      </c>
      <c r="G401" s="30" t="s">
        <v>46</v>
      </c>
      <c r="H401" s="31"/>
      <c r="I401" s="31" t="s">
        <v>47</v>
      </c>
      <c r="J401" s="32" t="n">
        <v>1.0</v>
      </c>
      <c r="K401" s="33" t="n">
        <f>111300</f>
        <v>111300.0</v>
      </c>
      <c r="L401" s="34" t="s">
        <v>48</v>
      </c>
      <c r="M401" s="33" t="n">
        <f>113100</f>
        <v>113100.0</v>
      </c>
      <c r="N401" s="34" t="s">
        <v>58</v>
      </c>
      <c r="O401" s="33" t="n">
        <f>105400</f>
        <v>105400.0</v>
      </c>
      <c r="P401" s="34" t="s">
        <v>51</v>
      </c>
      <c r="Q401" s="33" t="n">
        <f>105400</f>
        <v>105400.0</v>
      </c>
      <c r="R401" s="34" t="s">
        <v>51</v>
      </c>
      <c r="S401" s="35" t="n">
        <f>110140.91</f>
        <v>110140.91</v>
      </c>
      <c r="T401" s="32" t="n">
        <f>37656</f>
        <v>37656.0</v>
      </c>
      <c r="U401" s="32" t="n">
        <f>9577</f>
        <v>9577.0</v>
      </c>
      <c r="V401" s="32" t="n">
        <f>4138030841</f>
        <v>4.138030841E9</v>
      </c>
      <c r="W401" s="32" t="n">
        <f>1052099741</f>
        <v>1.052099741E9</v>
      </c>
      <c r="X401" s="36" t="n">
        <f>22</f>
        <v>22.0</v>
      </c>
    </row>
    <row r="402">
      <c r="A402" s="27" t="s">
        <v>42</v>
      </c>
      <c r="B402" s="27" t="s">
        <v>1250</v>
      </c>
      <c r="C402" s="27" t="s">
        <v>1251</v>
      </c>
      <c r="D402" s="27" t="s">
        <v>1252</v>
      </c>
      <c r="E402" s="28" t="s">
        <v>46</v>
      </c>
      <c r="F402" s="29" t="s">
        <v>46</v>
      </c>
      <c r="G402" s="30" t="s">
        <v>46</v>
      </c>
      <c r="H402" s="31"/>
      <c r="I402" s="31" t="s">
        <v>47</v>
      </c>
      <c r="J402" s="32" t="n">
        <v>1.0</v>
      </c>
      <c r="K402" s="33" t="n">
        <f>96200</f>
        <v>96200.0</v>
      </c>
      <c r="L402" s="34" t="s">
        <v>48</v>
      </c>
      <c r="M402" s="33" t="n">
        <f>97800</f>
        <v>97800.0</v>
      </c>
      <c r="N402" s="34" t="s">
        <v>58</v>
      </c>
      <c r="O402" s="33" t="n">
        <f>91300</f>
        <v>91300.0</v>
      </c>
      <c r="P402" s="34" t="s">
        <v>51</v>
      </c>
      <c r="Q402" s="33" t="n">
        <f>91300</f>
        <v>91300.0</v>
      </c>
      <c r="R402" s="34" t="s">
        <v>51</v>
      </c>
      <c r="S402" s="35" t="n">
        <f>95009.09</f>
        <v>95009.09</v>
      </c>
      <c r="T402" s="32" t="n">
        <f>37042</f>
        <v>37042.0</v>
      </c>
      <c r="U402" s="32" t="n">
        <f>3256</f>
        <v>3256.0</v>
      </c>
      <c r="V402" s="32" t="n">
        <f>3516811128</f>
        <v>3.516811128E9</v>
      </c>
      <c r="W402" s="32" t="n">
        <f>308780528</f>
        <v>3.08780528E8</v>
      </c>
      <c r="X402" s="36" t="n">
        <f>22</f>
        <v>22.0</v>
      </c>
    </row>
    <row r="403">
      <c r="A403" s="27" t="s">
        <v>42</v>
      </c>
      <c r="B403" s="27" t="s">
        <v>1253</v>
      </c>
      <c r="C403" s="27" t="s">
        <v>1254</v>
      </c>
      <c r="D403" s="27" t="s">
        <v>1255</v>
      </c>
      <c r="E403" s="28" t="s">
        <v>46</v>
      </c>
      <c r="F403" s="29" t="s">
        <v>46</v>
      </c>
      <c r="G403" s="30" t="s">
        <v>46</v>
      </c>
      <c r="H403" s="31"/>
      <c r="I403" s="31" t="s">
        <v>416</v>
      </c>
      <c r="J403" s="32" t="n">
        <v>1.0</v>
      </c>
      <c r="K403" s="33" t="n">
        <f>14895</f>
        <v>14895.0</v>
      </c>
      <c r="L403" s="34" t="s">
        <v>48</v>
      </c>
      <c r="M403" s="33" t="n">
        <f>16115</f>
        <v>16115.0</v>
      </c>
      <c r="N403" s="34" t="s">
        <v>75</v>
      </c>
      <c r="O403" s="33" t="n">
        <f>14685</f>
        <v>14685.0</v>
      </c>
      <c r="P403" s="34" t="s">
        <v>48</v>
      </c>
      <c r="Q403" s="33" t="n">
        <f>15590</f>
        <v>15590.0</v>
      </c>
      <c r="R403" s="34" t="s">
        <v>51</v>
      </c>
      <c r="S403" s="35" t="n">
        <f>15463.86</f>
        <v>15463.86</v>
      </c>
      <c r="T403" s="32" t="n">
        <f>22599</f>
        <v>22599.0</v>
      </c>
      <c r="U403" s="32" t="str">
        <f>"－"</f>
        <v>－</v>
      </c>
      <c r="V403" s="32" t="n">
        <f>347114745</f>
        <v>3.47114745E8</v>
      </c>
      <c r="W403" s="32" t="str">
        <f>"－"</f>
        <v>－</v>
      </c>
      <c r="X403" s="36" t="n">
        <f>22</f>
        <v>22.0</v>
      </c>
    </row>
    <row r="404">
      <c r="A404" s="27" t="s">
        <v>42</v>
      </c>
      <c r="B404" s="27" t="s">
        <v>1256</v>
      </c>
      <c r="C404" s="27" t="s">
        <v>1257</v>
      </c>
      <c r="D404" s="27" t="s">
        <v>1258</v>
      </c>
      <c r="E404" s="28" t="s">
        <v>46</v>
      </c>
      <c r="F404" s="29" t="s">
        <v>46</v>
      </c>
      <c r="G404" s="30" t="s">
        <v>46</v>
      </c>
      <c r="H404" s="31"/>
      <c r="I404" s="31" t="s">
        <v>47</v>
      </c>
      <c r="J404" s="32" t="n">
        <v>1.0</v>
      </c>
      <c r="K404" s="33" t="n">
        <f>151800</f>
        <v>151800.0</v>
      </c>
      <c r="L404" s="34" t="s">
        <v>48</v>
      </c>
      <c r="M404" s="33" t="n">
        <f>158000</f>
        <v>158000.0</v>
      </c>
      <c r="N404" s="34" t="s">
        <v>75</v>
      </c>
      <c r="O404" s="33" t="n">
        <f>149900</f>
        <v>149900.0</v>
      </c>
      <c r="P404" s="34" t="s">
        <v>48</v>
      </c>
      <c r="Q404" s="33" t="n">
        <f>152700</f>
        <v>152700.0</v>
      </c>
      <c r="R404" s="34" t="s">
        <v>51</v>
      </c>
      <c r="S404" s="35" t="n">
        <f>153886.36</f>
        <v>153886.36</v>
      </c>
      <c r="T404" s="32" t="n">
        <f>223668</f>
        <v>223668.0</v>
      </c>
      <c r="U404" s="32" t="n">
        <f>51271</f>
        <v>51271.0</v>
      </c>
      <c r="V404" s="32" t="n">
        <f>34481880076</f>
        <v>3.4481880076E10</v>
      </c>
      <c r="W404" s="32" t="n">
        <f>7905728276</f>
        <v>7.905728276E9</v>
      </c>
      <c r="X404" s="36" t="n">
        <f>22</f>
        <v>22.0</v>
      </c>
    </row>
    <row r="405">
      <c r="A405" s="27" t="s">
        <v>42</v>
      </c>
      <c r="B405" s="27" t="s">
        <v>1259</v>
      </c>
      <c r="C405" s="27" t="s">
        <v>1260</v>
      </c>
      <c r="D405" s="27" t="s">
        <v>1261</v>
      </c>
      <c r="E405" s="28" t="s">
        <v>46</v>
      </c>
      <c r="F405" s="29" t="s">
        <v>46</v>
      </c>
      <c r="G405" s="30" t="s">
        <v>46</v>
      </c>
      <c r="H405" s="31"/>
      <c r="I405" s="31" t="s">
        <v>416</v>
      </c>
      <c r="J405" s="32" t="n">
        <v>1.0</v>
      </c>
      <c r="K405" s="33" t="n">
        <f>115600</f>
        <v>115600.0</v>
      </c>
      <c r="L405" s="34" t="s">
        <v>48</v>
      </c>
      <c r="M405" s="33" t="n">
        <f>123600</f>
        <v>123600.0</v>
      </c>
      <c r="N405" s="34" t="s">
        <v>474</v>
      </c>
      <c r="O405" s="33" t="n">
        <f>114000</f>
        <v>114000.0</v>
      </c>
      <c r="P405" s="34" t="s">
        <v>51</v>
      </c>
      <c r="Q405" s="33" t="n">
        <f>114000</f>
        <v>114000.0</v>
      </c>
      <c r="R405" s="34" t="s">
        <v>51</v>
      </c>
      <c r="S405" s="35" t="n">
        <f>119877.27</f>
        <v>119877.27</v>
      </c>
      <c r="T405" s="32" t="n">
        <f>23979</f>
        <v>23979.0</v>
      </c>
      <c r="U405" s="32" t="n">
        <f>2297</f>
        <v>2297.0</v>
      </c>
      <c r="V405" s="32" t="n">
        <f>2870552797</f>
        <v>2.870552797E9</v>
      </c>
      <c r="W405" s="32" t="n">
        <f>274696297</f>
        <v>2.74696297E8</v>
      </c>
      <c r="X405" s="36" t="n">
        <f>22</f>
        <v>22.0</v>
      </c>
    </row>
    <row r="406">
      <c r="A406" s="27" t="s">
        <v>42</v>
      </c>
      <c r="B406" s="27" t="s">
        <v>1262</v>
      </c>
      <c r="C406" s="27" t="s">
        <v>1263</v>
      </c>
      <c r="D406" s="27" t="s">
        <v>1264</v>
      </c>
      <c r="E406" s="28" t="s">
        <v>46</v>
      </c>
      <c r="F406" s="29" t="s">
        <v>46</v>
      </c>
      <c r="G406" s="30" t="s">
        <v>46</v>
      </c>
      <c r="H406" s="31"/>
      <c r="I406" s="31" t="s">
        <v>47</v>
      </c>
      <c r="J406" s="32" t="n">
        <v>1.0</v>
      </c>
      <c r="K406" s="33" t="n">
        <f>146000</f>
        <v>146000.0</v>
      </c>
      <c r="L406" s="34" t="s">
        <v>48</v>
      </c>
      <c r="M406" s="33" t="n">
        <f>156900</f>
        <v>156900.0</v>
      </c>
      <c r="N406" s="34" t="s">
        <v>75</v>
      </c>
      <c r="O406" s="33" t="n">
        <f>144800</f>
        <v>144800.0</v>
      </c>
      <c r="P406" s="34" t="s">
        <v>48</v>
      </c>
      <c r="Q406" s="33" t="n">
        <f>152600</f>
        <v>152600.0</v>
      </c>
      <c r="R406" s="34" t="s">
        <v>51</v>
      </c>
      <c r="S406" s="35" t="n">
        <f>150068.18</f>
        <v>150068.18</v>
      </c>
      <c r="T406" s="32" t="n">
        <f>127303</f>
        <v>127303.0</v>
      </c>
      <c r="U406" s="32" t="n">
        <f>30901</f>
        <v>30901.0</v>
      </c>
      <c r="V406" s="32" t="n">
        <f>19207940107</f>
        <v>1.9207940107E10</v>
      </c>
      <c r="W406" s="32" t="n">
        <f>4673307007</f>
        <v>4.673307007E9</v>
      </c>
      <c r="X406" s="36" t="n">
        <f>22</f>
        <v>22.0</v>
      </c>
    </row>
    <row r="407">
      <c r="A407" s="27" t="s">
        <v>42</v>
      </c>
      <c r="B407" s="27" t="s">
        <v>1265</v>
      </c>
      <c r="C407" s="27" t="s">
        <v>1266</v>
      </c>
      <c r="D407" s="27" t="s">
        <v>1267</v>
      </c>
      <c r="E407" s="28" t="s">
        <v>46</v>
      </c>
      <c r="F407" s="29" t="s">
        <v>46</v>
      </c>
      <c r="G407" s="30" t="s">
        <v>46</v>
      </c>
      <c r="H407" s="31"/>
      <c r="I407" s="31" t="s">
        <v>47</v>
      </c>
      <c r="J407" s="32" t="n">
        <v>1.0</v>
      </c>
      <c r="K407" s="33" t="n">
        <f>55100</f>
        <v>55100.0</v>
      </c>
      <c r="L407" s="34" t="s">
        <v>48</v>
      </c>
      <c r="M407" s="33" t="n">
        <f>57400</f>
        <v>57400.0</v>
      </c>
      <c r="N407" s="34" t="s">
        <v>156</v>
      </c>
      <c r="O407" s="33" t="n">
        <f>53600</f>
        <v>53600.0</v>
      </c>
      <c r="P407" s="34" t="s">
        <v>51</v>
      </c>
      <c r="Q407" s="33" t="n">
        <f>53600</f>
        <v>53600.0</v>
      </c>
      <c r="R407" s="34" t="s">
        <v>51</v>
      </c>
      <c r="S407" s="35" t="n">
        <f>55690.91</f>
        <v>55690.91</v>
      </c>
      <c r="T407" s="32" t="n">
        <f>195986</f>
        <v>195986.0</v>
      </c>
      <c r="U407" s="32" t="n">
        <f>38760</f>
        <v>38760.0</v>
      </c>
      <c r="V407" s="32" t="n">
        <f>10928380582</f>
        <v>1.0928380582E10</v>
      </c>
      <c r="W407" s="32" t="n">
        <f>2157056582</f>
        <v>2.157056582E9</v>
      </c>
      <c r="X407" s="36" t="n">
        <f>22</f>
        <v>22.0</v>
      </c>
    </row>
    <row r="408">
      <c r="A408" s="27" t="s">
        <v>42</v>
      </c>
      <c r="B408" s="27" t="s">
        <v>1268</v>
      </c>
      <c r="C408" s="27" t="s">
        <v>1269</v>
      </c>
      <c r="D408" s="27" t="s">
        <v>1270</v>
      </c>
      <c r="E408" s="28" t="s">
        <v>46</v>
      </c>
      <c r="F408" s="29" t="s">
        <v>46</v>
      </c>
      <c r="G408" s="30" t="s">
        <v>46</v>
      </c>
      <c r="H408" s="31"/>
      <c r="I408" s="31" t="s">
        <v>47</v>
      </c>
      <c r="J408" s="32" t="n">
        <v>1.0</v>
      </c>
      <c r="K408" s="33" t="n">
        <f>5473</f>
        <v>5473.0</v>
      </c>
      <c r="L408" s="34" t="s">
        <v>48</v>
      </c>
      <c r="M408" s="33" t="n">
        <f>5560</f>
        <v>5560.0</v>
      </c>
      <c r="N408" s="34" t="s">
        <v>48</v>
      </c>
      <c r="O408" s="33" t="n">
        <f>4520</f>
        <v>4520.0</v>
      </c>
      <c r="P408" s="34" t="s">
        <v>197</v>
      </c>
      <c r="Q408" s="33" t="n">
        <f>4879</f>
        <v>4879.0</v>
      </c>
      <c r="R408" s="34" t="s">
        <v>51</v>
      </c>
      <c r="S408" s="35" t="n">
        <f>5082.91</f>
        <v>5082.91</v>
      </c>
      <c r="T408" s="32" t="n">
        <f>294235</f>
        <v>294235.0</v>
      </c>
      <c r="U408" s="32" t="n">
        <f>173</f>
        <v>173.0</v>
      </c>
      <c r="V408" s="32" t="n">
        <f>1486103427</f>
        <v>1.486103427E9</v>
      </c>
      <c r="W408" s="32" t="n">
        <f>871343</f>
        <v>871343.0</v>
      </c>
      <c r="X408" s="36" t="n">
        <f>22</f>
        <v>22.0</v>
      </c>
    </row>
    <row r="409">
      <c r="A409" s="27" t="s">
        <v>42</v>
      </c>
      <c r="B409" s="27" t="s">
        <v>1271</v>
      </c>
      <c r="C409" s="27" t="s">
        <v>1272</v>
      </c>
      <c r="D409" s="27" t="s">
        <v>1273</v>
      </c>
      <c r="E409" s="28" t="s">
        <v>46</v>
      </c>
      <c r="F409" s="29" t="s">
        <v>46</v>
      </c>
      <c r="G409" s="30" t="s">
        <v>46</v>
      </c>
      <c r="H409" s="31"/>
      <c r="I409" s="31" t="s">
        <v>416</v>
      </c>
      <c r="J409" s="32" t="n">
        <v>1.0</v>
      </c>
      <c r="K409" s="33" t="n">
        <f>106100</f>
        <v>106100.0</v>
      </c>
      <c r="L409" s="34" t="s">
        <v>48</v>
      </c>
      <c r="M409" s="33" t="n">
        <f>107100</f>
        <v>107100.0</v>
      </c>
      <c r="N409" s="34" t="s">
        <v>160</v>
      </c>
      <c r="O409" s="33" t="n">
        <f>103900</f>
        <v>103900.0</v>
      </c>
      <c r="P409" s="34" t="s">
        <v>197</v>
      </c>
      <c r="Q409" s="33" t="n">
        <f>104500</f>
        <v>104500.0</v>
      </c>
      <c r="R409" s="34" t="s">
        <v>51</v>
      </c>
      <c r="S409" s="35" t="n">
        <f>105777.27</f>
        <v>105777.27</v>
      </c>
      <c r="T409" s="32" t="n">
        <f>21791</f>
        <v>21791.0</v>
      </c>
      <c r="U409" s="32" t="n">
        <f>2064</f>
        <v>2064.0</v>
      </c>
      <c r="V409" s="32" t="n">
        <f>2304828486</f>
        <v>2.304828486E9</v>
      </c>
      <c r="W409" s="32" t="n">
        <f>218262786</f>
        <v>2.18262786E8</v>
      </c>
      <c r="X409" s="36" t="n">
        <f>22</f>
        <v>22.0</v>
      </c>
    </row>
    <row r="410">
      <c r="A410" s="27" t="s">
        <v>42</v>
      </c>
      <c r="B410" s="27" t="s">
        <v>1274</v>
      </c>
      <c r="C410" s="27" t="s">
        <v>1275</v>
      </c>
      <c r="D410" s="27" t="s">
        <v>1276</v>
      </c>
      <c r="E410" s="28" t="s">
        <v>46</v>
      </c>
      <c r="F410" s="29" t="s">
        <v>46</v>
      </c>
      <c r="G410" s="30" t="s">
        <v>46</v>
      </c>
      <c r="H410" s="31"/>
      <c r="I410" s="31" t="s">
        <v>47</v>
      </c>
      <c r="J410" s="32" t="n">
        <v>1.0</v>
      </c>
      <c r="K410" s="33" t="n">
        <f>108000</f>
        <v>108000.0</v>
      </c>
      <c r="L410" s="34" t="s">
        <v>48</v>
      </c>
      <c r="M410" s="33" t="n">
        <f>114500</f>
        <v>114500.0</v>
      </c>
      <c r="N410" s="34" t="s">
        <v>75</v>
      </c>
      <c r="O410" s="33" t="n">
        <f>106300</f>
        <v>106300.0</v>
      </c>
      <c r="P410" s="34" t="s">
        <v>48</v>
      </c>
      <c r="Q410" s="33" t="n">
        <f>108100</f>
        <v>108100.0</v>
      </c>
      <c r="R410" s="34" t="s">
        <v>51</v>
      </c>
      <c r="S410" s="35" t="n">
        <f>110231.82</f>
        <v>110231.82</v>
      </c>
      <c r="T410" s="32" t="n">
        <f>224252</f>
        <v>224252.0</v>
      </c>
      <c r="U410" s="32" t="n">
        <f>67580</f>
        <v>67580.0</v>
      </c>
      <c r="V410" s="32" t="n">
        <f>24822432687</f>
        <v>2.4822432687E10</v>
      </c>
      <c r="W410" s="32" t="n">
        <f>7493400087</f>
        <v>7.493400087E9</v>
      </c>
      <c r="X410" s="36" t="n">
        <f>22</f>
        <v>22.0</v>
      </c>
    </row>
    <row r="411">
      <c r="A411" s="27" t="s">
        <v>42</v>
      </c>
      <c r="B411" s="27" t="s">
        <v>1277</v>
      </c>
      <c r="C411" s="27" t="s">
        <v>1278</v>
      </c>
      <c r="D411" s="27" t="s">
        <v>1279</v>
      </c>
      <c r="E411" s="28" t="s">
        <v>46</v>
      </c>
      <c r="F411" s="29" t="s">
        <v>46</v>
      </c>
      <c r="G411" s="30" t="s">
        <v>46</v>
      </c>
      <c r="H411" s="31"/>
      <c r="I411" s="31" t="s">
        <v>416</v>
      </c>
      <c r="J411" s="32" t="n">
        <v>1.0</v>
      </c>
      <c r="K411" s="33" t="n">
        <f>65000</f>
        <v>65000.0</v>
      </c>
      <c r="L411" s="34" t="s">
        <v>48</v>
      </c>
      <c r="M411" s="33" t="n">
        <f>67400</f>
        <v>67400.0</v>
      </c>
      <c r="N411" s="34" t="s">
        <v>249</v>
      </c>
      <c r="O411" s="33" t="n">
        <f>63500</f>
        <v>63500.0</v>
      </c>
      <c r="P411" s="34" t="s">
        <v>71</v>
      </c>
      <c r="Q411" s="33" t="n">
        <f>65600</f>
        <v>65600.0</v>
      </c>
      <c r="R411" s="34" t="s">
        <v>51</v>
      </c>
      <c r="S411" s="35" t="n">
        <f>65731.82</f>
        <v>65731.82</v>
      </c>
      <c r="T411" s="32" t="n">
        <f>43017</f>
        <v>43017.0</v>
      </c>
      <c r="U411" s="32" t="n">
        <f>6830</f>
        <v>6830.0</v>
      </c>
      <c r="V411" s="32" t="n">
        <f>2819614542</f>
        <v>2.819614542E9</v>
      </c>
      <c r="W411" s="32" t="n">
        <f>445763242</f>
        <v>4.45763242E8</v>
      </c>
      <c r="X411" s="36" t="n">
        <f>22</f>
        <v>22.0</v>
      </c>
    </row>
    <row r="412">
      <c r="A412" s="27" t="s">
        <v>42</v>
      </c>
      <c r="B412" s="27" t="s">
        <v>1280</v>
      </c>
      <c r="C412" s="27" t="s">
        <v>1281</v>
      </c>
      <c r="D412" s="27" t="s">
        <v>1282</v>
      </c>
      <c r="E412" s="28" t="s">
        <v>46</v>
      </c>
      <c r="F412" s="29" t="s">
        <v>46</v>
      </c>
      <c r="G412" s="30" t="s">
        <v>46</v>
      </c>
      <c r="H412" s="31"/>
      <c r="I412" s="31" t="s">
        <v>47</v>
      </c>
      <c r="J412" s="32" t="n">
        <v>1.0</v>
      </c>
      <c r="K412" s="33" t="n">
        <f>41900</f>
        <v>41900.0</v>
      </c>
      <c r="L412" s="34" t="s">
        <v>48</v>
      </c>
      <c r="M412" s="33" t="n">
        <f>42750</f>
        <v>42750.0</v>
      </c>
      <c r="N412" s="34" t="s">
        <v>58</v>
      </c>
      <c r="O412" s="33" t="n">
        <f>41000</f>
        <v>41000.0</v>
      </c>
      <c r="P412" s="34" t="s">
        <v>116</v>
      </c>
      <c r="Q412" s="33" t="n">
        <f>41750</f>
        <v>41750.0</v>
      </c>
      <c r="R412" s="34" t="s">
        <v>51</v>
      </c>
      <c r="S412" s="35" t="n">
        <f>41968.18</f>
        <v>41968.18</v>
      </c>
      <c r="T412" s="32" t="n">
        <f>137546</f>
        <v>137546.0</v>
      </c>
      <c r="U412" s="32" t="n">
        <f>24256</f>
        <v>24256.0</v>
      </c>
      <c r="V412" s="32" t="n">
        <f>5773876214</f>
        <v>5.773876214E9</v>
      </c>
      <c r="W412" s="32" t="n">
        <f>1019505364</f>
        <v>1.019505364E9</v>
      </c>
      <c r="X412" s="36" t="n">
        <f>22</f>
        <v>22.0</v>
      </c>
    </row>
    <row r="413">
      <c r="A413" s="27" t="s">
        <v>42</v>
      </c>
      <c r="B413" s="27" t="s">
        <v>1283</v>
      </c>
      <c r="C413" s="27" t="s">
        <v>1284</v>
      </c>
      <c r="D413" s="27" t="s">
        <v>1285</v>
      </c>
      <c r="E413" s="28" t="s">
        <v>46</v>
      </c>
      <c r="F413" s="29" t="s">
        <v>46</v>
      </c>
      <c r="G413" s="30" t="s">
        <v>46</v>
      </c>
      <c r="H413" s="31"/>
      <c r="I413" s="31" t="s">
        <v>47</v>
      </c>
      <c r="J413" s="32" t="n">
        <v>1.0</v>
      </c>
      <c r="K413" s="33" t="n">
        <f>119900</f>
        <v>119900.0</v>
      </c>
      <c r="L413" s="34" t="s">
        <v>48</v>
      </c>
      <c r="M413" s="33" t="n">
        <f>127500</f>
        <v>127500.0</v>
      </c>
      <c r="N413" s="34" t="s">
        <v>51</v>
      </c>
      <c r="O413" s="33" t="n">
        <f>118700</f>
        <v>118700.0</v>
      </c>
      <c r="P413" s="34" t="s">
        <v>48</v>
      </c>
      <c r="Q413" s="33" t="n">
        <f>124500</f>
        <v>124500.0</v>
      </c>
      <c r="R413" s="34" t="s">
        <v>51</v>
      </c>
      <c r="S413" s="35" t="n">
        <f>122704.55</f>
        <v>122704.55</v>
      </c>
      <c r="T413" s="32" t="n">
        <f>81325</f>
        <v>81325.0</v>
      </c>
      <c r="U413" s="32" t="n">
        <f>16679</f>
        <v>16679.0</v>
      </c>
      <c r="V413" s="32" t="n">
        <f>10006761708</f>
        <v>1.0006761708E10</v>
      </c>
      <c r="W413" s="32" t="n">
        <f>2051900408</f>
        <v>2.051900408E9</v>
      </c>
      <c r="X413" s="36" t="n">
        <f>22</f>
        <v>22.0</v>
      </c>
    </row>
    <row r="414">
      <c r="A414" s="27" t="s">
        <v>42</v>
      </c>
      <c r="B414" s="27" t="s">
        <v>1286</v>
      </c>
      <c r="C414" s="27" t="s">
        <v>1287</v>
      </c>
      <c r="D414" s="27" t="s">
        <v>1288</v>
      </c>
      <c r="E414" s="28" t="s">
        <v>46</v>
      </c>
      <c r="F414" s="29" t="s">
        <v>46</v>
      </c>
      <c r="G414" s="30" t="s">
        <v>46</v>
      </c>
      <c r="H414" s="31"/>
      <c r="I414" s="31" t="s">
        <v>47</v>
      </c>
      <c r="J414" s="32" t="n">
        <v>1.0</v>
      </c>
      <c r="K414" s="33" t="n">
        <f>140300</f>
        <v>140300.0</v>
      </c>
      <c r="L414" s="34" t="s">
        <v>48</v>
      </c>
      <c r="M414" s="33" t="n">
        <f>147200</f>
        <v>147200.0</v>
      </c>
      <c r="N414" s="34" t="s">
        <v>75</v>
      </c>
      <c r="O414" s="33" t="n">
        <f>138300</f>
        <v>138300.0</v>
      </c>
      <c r="P414" s="34" t="s">
        <v>48</v>
      </c>
      <c r="Q414" s="33" t="n">
        <f>141000</f>
        <v>141000.0</v>
      </c>
      <c r="R414" s="34" t="s">
        <v>51</v>
      </c>
      <c r="S414" s="35" t="n">
        <f>142490.91</f>
        <v>142490.91</v>
      </c>
      <c r="T414" s="32" t="n">
        <f>61217</f>
        <v>61217.0</v>
      </c>
      <c r="U414" s="32" t="n">
        <f>15895</f>
        <v>15895.0</v>
      </c>
      <c r="V414" s="32" t="n">
        <f>8746347272</f>
        <v>8.746347272E9</v>
      </c>
      <c r="W414" s="32" t="n">
        <f>2276119972</f>
        <v>2.276119972E9</v>
      </c>
      <c r="X414" s="36" t="n">
        <f>22</f>
        <v>22.0</v>
      </c>
    </row>
    <row r="415">
      <c r="A415" s="27" t="s">
        <v>42</v>
      </c>
      <c r="B415" s="27" t="s">
        <v>1289</v>
      </c>
      <c r="C415" s="27" t="s">
        <v>1290</v>
      </c>
      <c r="D415" s="27" t="s">
        <v>1291</v>
      </c>
      <c r="E415" s="28" t="s">
        <v>46</v>
      </c>
      <c r="F415" s="29" t="s">
        <v>46</v>
      </c>
      <c r="G415" s="30" t="s">
        <v>46</v>
      </c>
      <c r="H415" s="31"/>
      <c r="I415" s="31" t="s">
        <v>416</v>
      </c>
      <c r="J415" s="32" t="n">
        <v>1.0</v>
      </c>
      <c r="K415" s="33" t="n">
        <f>104500</f>
        <v>104500.0</v>
      </c>
      <c r="L415" s="34" t="s">
        <v>48</v>
      </c>
      <c r="M415" s="33" t="n">
        <f>106500</f>
        <v>106500.0</v>
      </c>
      <c r="N415" s="34" t="s">
        <v>197</v>
      </c>
      <c r="O415" s="33" t="n">
        <f>104100</f>
        <v>104100.0</v>
      </c>
      <c r="P415" s="34" t="s">
        <v>48</v>
      </c>
      <c r="Q415" s="33" t="n">
        <f>105300</f>
        <v>105300.0</v>
      </c>
      <c r="R415" s="34" t="s">
        <v>51</v>
      </c>
      <c r="S415" s="35" t="n">
        <f>105404.55</f>
        <v>105404.55</v>
      </c>
      <c r="T415" s="32" t="n">
        <f>26848</f>
        <v>26848.0</v>
      </c>
      <c r="U415" s="32" t="n">
        <f>5597</f>
        <v>5597.0</v>
      </c>
      <c r="V415" s="32" t="n">
        <f>2836921019</f>
        <v>2.836921019E9</v>
      </c>
      <c r="W415" s="32" t="n">
        <f>593199719</f>
        <v>5.93199719E8</v>
      </c>
      <c r="X415" s="36" t="n">
        <f>22</f>
        <v>22.0</v>
      </c>
    </row>
    <row r="416">
      <c r="A416" s="27" t="s">
        <v>42</v>
      </c>
      <c r="B416" s="27" t="s">
        <v>1292</v>
      </c>
      <c r="C416" s="27" t="s">
        <v>1293</v>
      </c>
      <c r="D416" s="27" t="s">
        <v>1294</v>
      </c>
      <c r="E416" s="28" t="s">
        <v>46</v>
      </c>
      <c r="F416" s="29" t="s">
        <v>46</v>
      </c>
      <c r="G416" s="30" t="s">
        <v>46</v>
      </c>
      <c r="H416" s="31"/>
      <c r="I416" s="31" t="s">
        <v>47</v>
      </c>
      <c r="J416" s="32" t="n">
        <v>10.0</v>
      </c>
      <c r="K416" s="33" t="n">
        <f>300</f>
        <v>300.0</v>
      </c>
      <c r="L416" s="34" t="s">
        <v>48</v>
      </c>
      <c r="M416" s="33" t="n">
        <f>308.7</f>
        <v>308.7</v>
      </c>
      <c r="N416" s="34" t="s">
        <v>49</v>
      </c>
      <c r="O416" s="33" t="n">
        <f>290.1</f>
        <v>290.1</v>
      </c>
      <c r="P416" s="34" t="s">
        <v>71</v>
      </c>
      <c r="Q416" s="33" t="n">
        <f>295.6</f>
        <v>295.6</v>
      </c>
      <c r="R416" s="34" t="s">
        <v>51</v>
      </c>
      <c r="S416" s="35" t="n">
        <f>300.3</f>
        <v>300.3</v>
      </c>
      <c r="T416" s="32" t="n">
        <f>3013340</f>
        <v>3013340.0</v>
      </c>
      <c r="U416" s="32" t="n">
        <f>860</f>
        <v>860.0</v>
      </c>
      <c r="V416" s="32" t="n">
        <f>904695084</f>
        <v>9.04695084E8</v>
      </c>
      <c r="W416" s="32" t="n">
        <f>246270</f>
        <v>246270.0</v>
      </c>
      <c r="X416" s="36" t="n">
        <f>22</f>
        <v>22.0</v>
      </c>
    </row>
    <row r="417">
      <c r="A417" s="27" t="s">
        <v>42</v>
      </c>
      <c r="B417" s="27" t="s">
        <v>1295</v>
      </c>
      <c r="C417" s="27" t="s">
        <v>1296</v>
      </c>
      <c r="D417" s="27" t="s">
        <v>1297</v>
      </c>
      <c r="E417" s="28" t="s">
        <v>46</v>
      </c>
      <c r="F417" s="29" t="s">
        <v>46</v>
      </c>
      <c r="G417" s="30" t="s">
        <v>46</v>
      </c>
      <c r="H417" s="31"/>
      <c r="I417" s="31" t="s">
        <v>47</v>
      </c>
      <c r="J417" s="32" t="n">
        <v>1.0</v>
      </c>
      <c r="K417" s="33" t="n">
        <f>83100</f>
        <v>83100.0</v>
      </c>
      <c r="L417" s="34" t="s">
        <v>48</v>
      </c>
      <c r="M417" s="33" t="n">
        <f>85300</f>
        <v>85300.0</v>
      </c>
      <c r="N417" s="34" t="s">
        <v>58</v>
      </c>
      <c r="O417" s="33" t="n">
        <f>81900</f>
        <v>81900.0</v>
      </c>
      <c r="P417" s="34" t="s">
        <v>71</v>
      </c>
      <c r="Q417" s="33" t="n">
        <f>82600</f>
        <v>82600.0</v>
      </c>
      <c r="R417" s="34" t="s">
        <v>51</v>
      </c>
      <c r="S417" s="35" t="n">
        <f>83172.73</f>
        <v>83172.73</v>
      </c>
      <c r="T417" s="32" t="n">
        <f>114236</f>
        <v>114236.0</v>
      </c>
      <c r="U417" s="32" t="n">
        <f>15318</f>
        <v>15318.0</v>
      </c>
      <c r="V417" s="32" t="n">
        <f>9512577046</f>
        <v>9.512577046E9</v>
      </c>
      <c r="W417" s="32" t="n">
        <f>1277003046</f>
        <v>1.277003046E9</v>
      </c>
      <c r="X417" s="36" t="n">
        <f>22</f>
        <v>22.0</v>
      </c>
    </row>
    <row r="418">
      <c r="A418" s="27" t="s">
        <v>42</v>
      </c>
      <c r="B418" s="27" t="s">
        <v>1298</v>
      </c>
      <c r="C418" s="27" t="s">
        <v>1299</v>
      </c>
      <c r="D418" s="27" t="s">
        <v>1300</v>
      </c>
      <c r="E418" s="28" t="s">
        <v>46</v>
      </c>
      <c r="F418" s="29" t="s">
        <v>46</v>
      </c>
      <c r="G418" s="30" t="s">
        <v>46</v>
      </c>
      <c r="H418" s="31"/>
      <c r="I418" s="31" t="s">
        <v>47</v>
      </c>
      <c r="J418" s="32" t="n">
        <v>10.0</v>
      </c>
      <c r="K418" s="33" t="n">
        <f>889.9</f>
        <v>889.9</v>
      </c>
      <c r="L418" s="34" t="s">
        <v>48</v>
      </c>
      <c r="M418" s="33" t="n">
        <f>910</f>
        <v>910.0</v>
      </c>
      <c r="N418" s="34" t="s">
        <v>58</v>
      </c>
      <c r="O418" s="33" t="n">
        <f>788</f>
        <v>788.0</v>
      </c>
      <c r="P418" s="34" t="s">
        <v>75</v>
      </c>
      <c r="Q418" s="33" t="n">
        <f>826.4</f>
        <v>826.4</v>
      </c>
      <c r="R418" s="34" t="s">
        <v>51</v>
      </c>
      <c r="S418" s="35" t="n">
        <f>850.74</f>
        <v>850.74</v>
      </c>
      <c r="T418" s="32" t="n">
        <f>178670</f>
        <v>178670.0</v>
      </c>
      <c r="U418" s="32" t="str">
        <f>"－"</f>
        <v>－</v>
      </c>
      <c r="V418" s="32" t="n">
        <f>153336835</f>
        <v>1.53336835E8</v>
      </c>
      <c r="W418" s="32" t="str">
        <f>"－"</f>
        <v>－</v>
      </c>
      <c r="X418" s="36" t="n">
        <f>22</f>
        <v>22.0</v>
      </c>
    </row>
    <row r="419">
      <c r="A419" s="27" t="s">
        <v>42</v>
      </c>
      <c r="B419" s="27" t="s">
        <v>1301</v>
      </c>
      <c r="C419" s="27" t="s">
        <v>1302</v>
      </c>
      <c r="D419" s="27" t="s">
        <v>1303</v>
      </c>
      <c r="E419" s="28" t="s">
        <v>46</v>
      </c>
      <c r="F419" s="29" t="s">
        <v>46</v>
      </c>
      <c r="G419" s="30" t="s">
        <v>46</v>
      </c>
      <c r="H419" s="31"/>
      <c r="I419" s="31" t="s">
        <v>47</v>
      </c>
      <c r="J419" s="32" t="n">
        <v>1.0</v>
      </c>
      <c r="K419" s="33" t="n">
        <f>3088</f>
        <v>3088.0</v>
      </c>
      <c r="L419" s="34" t="s">
        <v>48</v>
      </c>
      <c r="M419" s="33" t="n">
        <f>3365</f>
        <v>3365.0</v>
      </c>
      <c r="N419" s="34" t="s">
        <v>75</v>
      </c>
      <c r="O419" s="33" t="n">
        <f>3047</f>
        <v>3047.0</v>
      </c>
      <c r="P419" s="34" t="s">
        <v>48</v>
      </c>
      <c r="Q419" s="33" t="n">
        <f>3250</f>
        <v>3250.0</v>
      </c>
      <c r="R419" s="34" t="s">
        <v>51</v>
      </c>
      <c r="S419" s="35" t="n">
        <f>3178.55</f>
        <v>3178.55</v>
      </c>
      <c r="T419" s="32" t="n">
        <f>2790631</f>
        <v>2790631.0</v>
      </c>
      <c r="U419" s="32" t="n">
        <f>1273676</f>
        <v>1273676.0</v>
      </c>
      <c r="V419" s="32" t="n">
        <f>8917498930</f>
        <v>8.91749893E9</v>
      </c>
      <c r="W419" s="32" t="n">
        <f>4030219345</f>
        <v>4.030219345E9</v>
      </c>
      <c r="X419" s="36" t="n">
        <f>22</f>
        <v>22.0</v>
      </c>
    </row>
    <row r="420">
      <c r="A420" s="27" t="s">
        <v>42</v>
      </c>
      <c r="B420" s="27" t="s">
        <v>1304</v>
      </c>
      <c r="C420" s="27" t="s">
        <v>1305</v>
      </c>
      <c r="D420" s="27" t="s">
        <v>1306</v>
      </c>
      <c r="E420" s="28" t="s">
        <v>46</v>
      </c>
      <c r="F420" s="29" t="s">
        <v>46</v>
      </c>
      <c r="G420" s="30" t="s">
        <v>46</v>
      </c>
      <c r="H420" s="31"/>
      <c r="I420" s="31" t="s">
        <v>47</v>
      </c>
      <c r="J420" s="32" t="n">
        <v>1.0</v>
      </c>
      <c r="K420" s="33" t="n">
        <f>1574</f>
        <v>1574.0</v>
      </c>
      <c r="L420" s="34" t="s">
        <v>48</v>
      </c>
      <c r="M420" s="33" t="n">
        <f>1579</f>
        <v>1579.0</v>
      </c>
      <c r="N420" s="34" t="s">
        <v>50</v>
      </c>
      <c r="O420" s="33" t="n">
        <f>1538</f>
        <v>1538.0</v>
      </c>
      <c r="P420" s="34" t="s">
        <v>51</v>
      </c>
      <c r="Q420" s="33" t="n">
        <f>1540</f>
        <v>1540.0</v>
      </c>
      <c r="R420" s="34" t="s">
        <v>51</v>
      </c>
      <c r="S420" s="35" t="n">
        <f>1557.23</f>
        <v>1557.23</v>
      </c>
      <c r="T420" s="32" t="n">
        <f>330710</f>
        <v>330710.0</v>
      </c>
      <c r="U420" s="32" t="str">
        <f>"－"</f>
        <v>－</v>
      </c>
      <c r="V420" s="32" t="n">
        <f>516302551</f>
        <v>5.16302551E8</v>
      </c>
      <c r="W420" s="32" t="str">
        <f>"－"</f>
        <v>－</v>
      </c>
      <c r="X420" s="36" t="n">
        <f>22</f>
        <v>22.0</v>
      </c>
    </row>
    <row r="421">
      <c r="A421" s="27" t="s">
        <v>42</v>
      </c>
      <c r="B421" s="27" t="s">
        <v>1307</v>
      </c>
      <c r="C421" s="27" t="s">
        <v>1308</v>
      </c>
      <c r="D421" s="27" t="s">
        <v>1309</v>
      </c>
      <c r="E421" s="28" t="s">
        <v>46</v>
      </c>
      <c r="F421" s="29" t="s">
        <v>46</v>
      </c>
      <c r="G421" s="30" t="s">
        <v>46</v>
      </c>
      <c r="H421" s="31"/>
      <c r="I421" s="31" t="s">
        <v>47</v>
      </c>
      <c r="J421" s="32" t="n">
        <v>10.0</v>
      </c>
      <c r="K421" s="33" t="n">
        <f>1094</f>
        <v>1094.0</v>
      </c>
      <c r="L421" s="34" t="s">
        <v>48</v>
      </c>
      <c r="M421" s="33" t="n">
        <f>1142</f>
        <v>1142.0</v>
      </c>
      <c r="N421" s="34" t="s">
        <v>156</v>
      </c>
      <c r="O421" s="33" t="n">
        <f>1091.5</f>
        <v>1091.5</v>
      </c>
      <c r="P421" s="34" t="s">
        <v>48</v>
      </c>
      <c r="Q421" s="33" t="n">
        <f>1134</f>
        <v>1134.0</v>
      </c>
      <c r="R421" s="34" t="s">
        <v>156</v>
      </c>
      <c r="S421" s="35" t="n">
        <f>1113.5</f>
        <v>1113.5</v>
      </c>
      <c r="T421" s="32" t="n">
        <f>1800</f>
        <v>1800.0</v>
      </c>
      <c r="U421" s="32" t="str">
        <f>"－"</f>
        <v>－</v>
      </c>
      <c r="V421" s="32" t="n">
        <f>2024315</f>
        <v>2024315.0</v>
      </c>
      <c r="W421" s="32" t="str">
        <f>"－"</f>
        <v>－</v>
      </c>
      <c r="X421" s="36" t="n">
        <f>13</f>
        <v>13.0</v>
      </c>
    </row>
    <row r="422">
      <c r="A422" s="27" t="s">
        <v>42</v>
      </c>
      <c r="B422" s="27" t="s">
        <v>1310</v>
      </c>
      <c r="C422" s="27" t="s">
        <v>1311</v>
      </c>
      <c r="D422" s="27" t="s">
        <v>1312</v>
      </c>
      <c r="E422" s="28" t="s">
        <v>46</v>
      </c>
      <c r="F422" s="29" t="s">
        <v>46</v>
      </c>
      <c r="G422" s="30" t="s">
        <v>46</v>
      </c>
      <c r="H422" s="31"/>
      <c r="I422" s="31" t="s">
        <v>47</v>
      </c>
      <c r="J422" s="32" t="n">
        <v>1.0</v>
      </c>
      <c r="K422" s="33" t="n">
        <f>2653</f>
        <v>2653.0</v>
      </c>
      <c r="L422" s="34" t="s">
        <v>48</v>
      </c>
      <c r="M422" s="33" t="n">
        <f>2838</f>
        <v>2838.0</v>
      </c>
      <c r="N422" s="34" t="s">
        <v>197</v>
      </c>
      <c r="O422" s="33" t="n">
        <f>2653</f>
        <v>2653.0</v>
      </c>
      <c r="P422" s="34" t="s">
        <v>48</v>
      </c>
      <c r="Q422" s="33" t="n">
        <f>2812</f>
        <v>2812.0</v>
      </c>
      <c r="R422" s="34" t="s">
        <v>51</v>
      </c>
      <c r="S422" s="35" t="n">
        <f>2752.5</f>
        <v>2752.5</v>
      </c>
      <c r="T422" s="32" t="n">
        <f>11491</f>
        <v>11491.0</v>
      </c>
      <c r="U422" s="32" t="str">
        <f>"－"</f>
        <v>－</v>
      </c>
      <c r="V422" s="32" t="n">
        <f>31640155</f>
        <v>3.1640155E7</v>
      </c>
      <c r="W422" s="32" t="str">
        <f>"－"</f>
        <v>－</v>
      </c>
      <c r="X422" s="36" t="n">
        <f>22</f>
        <v>22.0</v>
      </c>
    </row>
    <row r="423">
      <c r="A423" s="27" t="s">
        <v>42</v>
      </c>
      <c r="B423" s="27" t="s">
        <v>1313</v>
      </c>
      <c r="C423" s="27" t="s">
        <v>1314</v>
      </c>
      <c r="D423" s="27" t="s">
        <v>1315</v>
      </c>
      <c r="E423" s="28" t="s">
        <v>46</v>
      </c>
      <c r="F423" s="29" t="s">
        <v>46</v>
      </c>
      <c r="G423" s="30" t="s">
        <v>46</v>
      </c>
      <c r="H423" s="31"/>
      <c r="I423" s="31" t="s">
        <v>47</v>
      </c>
      <c r="J423" s="32" t="n">
        <v>1.0</v>
      </c>
      <c r="K423" s="33" t="n">
        <f>2536</f>
        <v>2536.0</v>
      </c>
      <c r="L423" s="34" t="s">
        <v>48</v>
      </c>
      <c r="M423" s="33" t="n">
        <f>2647</f>
        <v>2647.0</v>
      </c>
      <c r="N423" s="34" t="s">
        <v>75</v>
      </c>
      <c r="O423" s="33" t="n">
        <f>2504</f>
        <v>2504.0</v>
      </c>
      <c r="P423" s="34" t="s">
        <v>207</v>
      </c>
      <c r="Q423" s="33" t="n">
        <f>2531</f>
        <v>2531.0</v>
      </c>
      <c r="R423" s="34" t="s">
        <v>51</v>
      </c>
      <c r="S423" s="35" t="n">
        <f>2557.36</f>
        <v>2557.36</v>
      </c>
      <c r="T423" s="32" t="n">
        <f>382770</f>
        <v>382770.0</v>
      </c>
      <c r="U423" s="32" t="str">
        <f>"－"</f>
        <v>－</v>
      </c>
      <c r="V423" s="32" t="n">
        <f>981899019</f>
        <v>9.81899019E8</v>
      </c>
      <c r="W423" s="32" t="str">
        <f>"－"</f>
        <v>－</v>
      </c>
      <c r="X423" s="36" t="n">
        <f>22</f>
        <v>22.0</v>
      </c>
    </row>
    <row r="424">
      <c r="A424" s="27" t="s">
        <v>42</v>
      </c>
      <c r="B424" s="27" t="s">
        <v>1316</v>
      </c>
      <c r="C424" s="27" t="s">
        <v>1317</v>
      </c>
      <c r="D424" s="27" t="s">
        <v>1318</v>
      </c>
      <c r="E424" s="28" t="s">
        <v>46</v>
      </c>
      <c r="F424" s="29" t="s">
        <v>46</v>
      </c>
      <c r="G424" s="30" t="s">
        <v>46</v>
      </c>
      <c r="H424" s="31"/>
      <c r="I424" s="31" t="s">
        <v>47</v>
      </c>
      <c r="J424" s="32" t="n">
        <v>1.0</v>
      </c>
      <c r="K424" s="33" t="n">
        <f>4981</f>
        <v>4981.0</v>
      </c>
      <c r="L424" s="34" t="s">
        <v>48</v>
      </c>
      <c r="M424" s="33" t="n">
        <f>5002</f>
        <v>5002.0</v>
      </c>
      <c r="N424" s="34" t="s">
        <v>50</v>
      </c>
      <c r="O424" s="33" t="n">
        <f>4904</f>
        <v>4904.0</v>
      </c>
      <c r="P424" s="34" t="s">
        <v>51</v>
      </c>
      <c r="Q424" s="33" t="n">
        <f>4915</f>
        <v>4915.0</v>
      </c>
      <c r="R424" s="34" t="s">
        <v>51</v>
      </c>
      <c r="S424" s="35" t="n">
        <f>4945.23</f>
        <v>4945.23</v>
      </c>
      <c r="T424" s="32" t="n">
        <f>47168</f>
        <v>47168.0</v>
      </c>
      <c r="U424" s="32" t="str">
        <f>"－"</f>
        <v>－</v>
      </c>
      <c r="V424" s="32" t="n">
        <f>233559466</f>
        <v>2.33559466E8</v>
      </c>
      <c r="W424" s="32" t="str">
        <f>"－"</f>
        <v>－</v>
      </c>
      <c r="X424" s="36" t="n">
        <f>13</f>
        <v>13.0</v>
      </c>
    </row>
    <row r="425">
      <c r="A425" s="27" t="s">
        <v>42</v>
      </c>
      <c r="B425" s="27" t="s">
        <v>1319</v>
      </c>
      <c r="C425" s="27" t="s">
        <v>1320</v>
      </c>
      <c r="D425" s="27" t="s">
        <v>1321</v>
      </c>
      <c r="E425" s="28" t="s">
        <v>46</v>
      </c>
      <c r="F425" s="29" t="s">
        <v>46</v>
      </c>
      <c r="G425" s="30" t="s">
        <v>46</v>
      </c>
      <c r="H425" s="31"/>
      <c r="I425" s="31" t="s">
        <v>47</v>
      </c>
      <c r="J425" s="32" t="n">
        <v>1.0</v>
      </c>
      <c r="K425" s="33" t="n">
        <f>1364</f>
        <v>1364.0</v>
      </c>
      <c r="L425" s="34" t="s">
        <v>48</v>
      </c>
      <c r="M425" s="33" t="n">
        <f>1395</f>
        <v>1395.0</v>
      </c>
      <c r="N425" s="34" t="s">
        <v>69</v>
      </c>
      <c r="O425" s="33" t="n">
        <f>1334</f>
        <v>1334.0</v>
      </c>
      <c r="P425" s="34" t="s">
        <v>58</v>
      </c>
      <c r="Q425" s="33" t="n">
        <f>1344</f>
        <v>1344.0</v>
      </c>
      <c r="R425" s="34" t="s">
        <v>51</v>
      </c>
      <c r="S425" s="35" t="n">
        <f>1366.38</f>
        <v>1366.38</v>
      </c>
      <c r="T425" s="32" t="n">
        <f>80508</f>
        <v>80508.0</v>
      </c>
      <c r="U425" s="32" t="str">
        <f>"－"</f>
        <v>－</v>
      </c>
      <c r="V425" s="32" t="n">
        <f>110262627</f>
        <v>1.10262627E8</v>
      </c>
      <c r="W425" s="32" t="str">
        <f>"－"</f>
        <v>－</v>
      </c>
      <c r="X425" s="36" t="n">
        <f>21</f>
        <v>21.0</v>
      </c>
    </row>
    <row r="426">
      <c r="A426" s="27" t="s">
        <v>42</v>
      </c>
      <c r="B426" s="27" t="s">
        <v>1322</v>
      </c>
      <c r="C426" s="27" t="s">
        <v>1323</v>
      </c>
      <c r="D426" s="27" t="s">
        <v>1324</v>
      </c>
      <c r="E426" s="28" t="s">
        <v>46</v>
      </c>
      <c r="F426" s="29" t="s">
        <v>46</v>
      </c>
      <c r="G426" s="30" t="s">
        <v>46</v>
      </c>
      <c r="H426" s="31"/>
      <c r="I426" s="31" t="s">
        <v>47</v>
      </c>
      <c r="J426" s="32" t="n">
        <v>1.0</v>
      </c>
      <c r="K426" s="33" t="n">
        <f>977</f>
        <v>977.0</v>
      </c>
      <c r="L426" s="34" t="s">
        <v>48</v>
      </c>
      <c r="M426" s="33" t="n">
        <f>1068</f>
        <v>1068.0</v>
      </c>
      <c r="N426" s="34" t="s">
        <v>100</v>
      </c>
      <c r="O426" s="33" t="n">
        <f>947</f>
        <v>947.0</v>
      </c>
      <c r="P426" s="34" t="s">
        <v>48</v>
      </c>
      <c r="Q426" s="33" t="n">
        <f>1026</f>
        <v>1026.0</v>
      </c>
      <c r="R426" s="34" t="s">
        <v>51</v>
      </c>
      <c r="S426" s="35" t="n">
        <f>1010.55</f>
        <v>1010.55</v>
      </c>
      <c r="T426" s="32" t="n">
        <f>1108319</f>
        <v>1108319.0</v>
      </c>
      <c r="U426" s="32" t="str">
        <f>"－"</f>
        <v>－</v>
      </c>
      <c r="V426" s="32" t="n">
        <f>1134360981</f>
        <v>1.134360981E9</v>
      </c>
      <c r="W426" s="32" t="str">
        <f>"－"</f>
        <v>－</v>
      </c>
      <c r="X426" s="36" t="n">
        <f>22</f>
        <v>22.0</v>
      </c>
    </row>
    <row r="427">
      <c r="A427" s="27" t="s">
        <v>42</v>
      </c>
      <c r="B427" s="27" t="s">
        <v>1325</v>
      </c>
      <c r="C427" s="27" t="s">
        <v>1326</v>
      </c>
      <c r="D427" s="27" t="s">
        <v>1327</v>
      </c>
      <c r="E427" s="28" t="s">
        <v>46</v>
      </c>
      <c r="F427" s="29" t="s">
        <v>46</v>
      </c>
      <c r="G427" s="30" t="s">
        <v>46</v>
      </c>
      <c r="H427" s="31"/>
      <c r="I427" s="31" t="s">
        <v>47</v>
      </c>
      <c r="J427" s="32" t="n">
        <v>1.0</v>
      </c>
      <c r="K427" s="33" t="n">
        <f>2259</f>
        <v>2259.0</v>
      </c>
      <c r="L427" s="34" t="s">
        <v>48</v>
      </c>
      <c r="M427" s="33" t="n">
        <f>2300</f>
        <v>2300.0</v>
      </c>
      <c r="N427" s="34" t="s">
        <v>207</v>
      </c>
      <c r="O427" s="33" t="n">
        <f>2220</f>
        <v>2220.0</v>
      </c>
      <c r="P427" s="34" t="s">
        <v>51</v>
      </c>
      <c r="Q427" s="33" t="n">
        <f>2224</f>
        <v>2224.0</v>
      </c>
      <c r="R427" s="34" t="s">
        <v>51</v>
      </c>
      <c r="S427" s="35" t="n">
        <f>2252.77</f>
        <v>2252.77</v>
      </c>
      <c r="T427" s="32" t="n">
        <f>945419</f>
        <v>945419.0</v>
      </c>
      <c r="U427" s="32" t="n">
        <f>268400</f>
        <v>268400.0</v>
      </c>
      <c r="V427" s="32" t="n">
        <f>2123419640</f>
        <v>2.12341964E9</v>
      </c>
      <c r="W427" s="32" t="n">
        <f>598099008</f>
        <v>5.98099008E8</v>
      </c>
      <c r="X427" s="36" t="n">
        <f>22</f>
        <v>22.0</v>
      </c>
    </row>
    <row r="428">
      <c r="A428" s="27" t="s">
        <v>42</v>
      </c>
      <c r="B428" s="27" t="s">
        <v>1328</v>
      </c>
      <c r="C428" s="27" t="s">
        <v>1329</v>
      </c>
      <c r="D428" s="27" t="s">
        <v>1330</v>
      </c>
      <c r="E428" s="28" t="s">
        <v>46</v>
      </c>
      <c r="F428" s="29" t="s">
        <v>46</v>
      </c>
      <c r="G428" s="30" t="s">
        <v>46</v>
      </c>
      <c r="H428" s="31"/>
      <c r="I428" s="31" t="s">
        <v>47</v>
      </c>
      <c r="J428" s="32" t="n">
        <v>1.0</v>
      </c>
      <c r="K428" s="33" t="n">
        <f>1920</f>
        <v>1920.0</v>
      </c>
      <c r="L428" s="34" t="s">
        <v>48</v>
      </c>
      <c r="M428" s="33" t="n">
        <f>1958</f>
        <v>1958.0</v>
      </c>
      <c r="N428" s="34" t="s">
        <v>116</v>
      </c>
      <c r="O428" s="33" t="n">
        <f>1906</f>
        <v>1906.0</v>
      </c>
      <c r="P428" s="34" t="s">
        <v>71</v>
      </c>
      <c r="Q428" s="33" t="n">
        <f>1913</f>
        <v>1913.0</v>
      </c>
      <c r="R428" s="34" t="s">
        <v>51</v>
      </c>
      <c r="S428" s="35" t="n">
        <f>1914.8</f>
        <v>1914.8</v>
      </c>
      <c r="T428" s="32" t="n">
        <f>101672</f>
        <v>101672.0</v>
      </c>
      <c r="U428" s="32" t="str">
        <f>"－"</f>
        <v>－</v>
      </c>
      <c r="V428" s="32" t="n">
        <f>194545615</f>
        <v>1.94545615E8</v>
      </c>
      <c r="W428" s="32" t="str">
        <f>"－"</f>
        <v>－</v>
      </c>
      <c r="X428" s="36" t="n">
        <f>20</f>
        <v>20.0</v>
      </c>
    </row>
    <row r="429">
      <c r="A429" s="27" t="s">
        <v>42</v>
      </c>
      <c r="B429" s="27" t="s">
        <v>1331</v>
      </c>
      <c r="C429" s="27" t="s">
        <v>1332</v>
      </c>
      <c r="D429" s="27" t="s">
        <v>1333</v>
      </c>
      <c r="E429" s="28" t="s">
        <v>46</v>
      </c>
      <c r="F429" s="29" t="s">
        <v>46</v>
      </c>
      <c r="G429" s="30" t="s">
        <v>46</v>
      </c>
      <c r="H429" s="31"/>
      <c r="I429" s="31" t="s">
        <v>47</v>
      </c>
      <c r="J429" s="32" t="n">
        <v>1.0</v>
      </c>
      <c r="K429" s="33" t="n">
        <f>2650</f>
        <v>2650.0</v>
      </c>
      <c r="L429" s="34" t="s">
        <v>48</v>
      </c>
      <c r="M429" s="33" t="n">
        <f>2736</f>
        <v>2736.0</v>
      </c>
      <c r="N429" s="34" t="s">
        <v>75</v>
      </c>
      <c r="O429" s="33" t="n">
        <f>2621</f>
        <v>2621.0</v>
      </c>
      <c r="P429" s="34" t="s">
        <v>69</v>
      </c>
      <c r="Q429" s="33" t="n">
        <f>2640</f>
        <v>2640.0</v>
      </c>
      <c r="R429" s="34" t="s">
        <v>51</v>
      </c>
      <c r="S429" s="35" t="n">
        <f>2655.59</f>
        <v>2655.59</v>
      </c>
      <c r="T429" s="32" t="n">
        <f>118698</f>
        <v>118698.0</v>
      </c>
      <c r="U429" s="32" t="n">
        <f>37000</f>
        <v>37000.0</v>
      </c>
      <c r="V429" s="32" t="n">
        <f>315410511</f>
        <v>3.15410511E8</v>
      </c>
      <c r="W429" s="32" t="n">
        <f>97597860</f>
        <v>9.759786E7</v>
      </c>
      <c r="X429" s="36" t="n">
        <f>22</f>
        <v>22.0</v>
      </c>
    </row>
    <row r="430">
      <c r="A430" s="27" t="s">
        <v>42</v>
      </c>
      <c r="B430" s="27" t="s">
        <v>1334</v>
      </c>
      <c r="C430" s="27" t="s">
        <v>1335</v>
      </c>
      <c r="D430" s="27" t="s">
        <v>1336</v>
      </c>
      <c r="E430" s="28" t="s">
        <v>46</v>
      </c>
      <c r="F430" s="29" t="s">
        <v>46</v>
      </c>
      <c r="G430" s="30" t="s">
        <v>46</v>
      </c>
      <c r="H430" s="31"/>
      <c r="I430" s="31" t="s">
        <v>416</v>
      </c>
      <c r="J430" s="32" t="n">
        <v>10.0</v>
      </c>
      <c r="K430" s="33" t="n">
        <f>290</f>
        <v>290.0</v>
      </c>
      <c r="L430" s="34" t="s">
        <v>48</v>
      </c>
      <c r="M430" s="33" t="n">
        <f>293.5</f>
        <v>293.5</v>
      </c>
      <c r="N430" s="34" t="s">
        <v>48</v>
      </c>
      <c r="O430" s="33" t="n">
        <f>260.3</f>
        <v>260.3</v>
      </c>
      <c r="P430" s="34" t="s">
        <v>197</v>
      </c>
      <c r="Q430" s="33" t="n">
        <f>269.3</f>
        <v>269.3</v>
      </c>
      <c r="R430" s="34" t="s">
        <v>51</v>
      </c>
      <c r="S430" s="35" t="n">
        <f>278.91</f>
        <v>278.91</v>
      </c>
      <c r="T430" s="32" t="n">
        <f>3235870</f>
        <v>3235870.0</v>
      </c>
      <c r="U430" s="32" t="n">
        <f>397150</f>
        <v>397150.0</v>
      </c>
      <c r="V430" s="32" t="n">
        <f>904001858</f>
        <v>9.04001858E8</v>
      </c>
      <c r="W430" s="32" t="n">
        <f>109701924</f>
        <v>1.09701924E8</v>
      </c>
      <c r="X430" s="36" t="n">
        <f>22</f>
        <v>22.0</v>
      </c>
    </row>
    <row r="431">
      <c r="A431" s="27" t="s">
        <v>42</v>
      </c>
      <c r="B431" s="27" t="s">
        <v>1337</v>
      </c>
      <c r="C431" s="27" t="s">
        <v>1338</v>
      </c>
      <c r="D431" s="27" t="s">
        <v>1339</v>
      </c>
      <c r="E431" s="28" t="s">
        <v>46</v>
      </c>
      <c r="F431" s="29" t="s">
        <v>46</v>
      </c>
      <c r="G431" s="30" t="s">
        <v>46</v>
      </c>
      <c r="H431" s="31"/>
      <c r="I431" s="31" t="s">
        <v>416</v>
      </c>
      <c r="J431" s="32" t="n">
        <v>10.0</v>
      </c>
      <c r="K431" s="33" t="n">
        <f>538.8</f>
        <v>538.8</v>
      </c>
      <c r="L431" s="34" t="s">
        <v>49</v>
      </c>
      <c r="M431" s="33" t="n">
        <f>558.8</f>
        <v>558.8</v>
      </c>
      <c r="N431" s="34" t="s">
        <v>661</v>
      </c>
      <c r="O431" s="33" t="n">
        <f>518</f>
        <v>518.0</v>
      </c>
      <c r="P431" s="34" t="s">
        <v>474</v>
      </c>
      <c r="Q431" s="33" t="n">
        <f>532.6</f>
        <v>532.6</v>
      </c>
      <c r="R431" s="34" t="s">
        <v>51</v>
      </c>
      <c r="S431" s="35" t="n">
        <f>537.17</f>
        <v>537.17</v>
      </c>
      <c r="T431" s="32" t="n">
        <f>2010</f>
        <v>2010.0</v>
      </c>
      <c r="U431" s="32" t="str">
        <f>"－"</f>
        <v>－</v>
      </c>
      <c r="V431" s="32" t="n">
        <f>1076848</f>
        <v>1076848.0</v>
      </c>
      <c r="W431" s="32" t="str">
        <f>"－"</f>
        <v>－</v>
      </c>
      <c r="X431" s="36" t="n">
        <f>11</f>
        <v>11.0</v>
      </c>
    </row>
    <row r="432">
      <c r="A432" s="27" t="s">
        <v>42</v>
      </c>
      <c r="B432" s="27" t="s">
        <v>1340</v>
      </c>
      <c r="C432" s="27" t="s">
        <v>1341</v>
      </c>
      <c r="D432" s="27" t="s">
        <v>1342</v>
      </c>
      <c r="E432" s="28" t="s">
        <v>46</v>
      </c>
      <c r="F432" s="29" t="s">
        <v>46</v>
      </c>
      <c r="G432" s="30" t="s">
        <v>46</v>
      </c>
      <c r="H432" s="31"/>
      <c r="I432" s="31" t="s">
        <v>416</v>
      </c>
      <c r="J432" s="32" t="n">
        <v>10.0</v>
      </c>
      <c r="K432" s="33" t="n">
        <f>960</f>
        <v>960.0</v>
      </c>
      <c r="L432" s="34" t="s">
        <v>48</v>
      </c>
      <c r="M432" s="33" t="n">
        <f>1255</f>
        <v>1255.0</v>
      </c>
      <c r="N432" s="34" t="s">
        <v>49</v>
      </c>
      <c r="O432" s="33" t="n">
        <f>943.6</f>
        <v>943.6</v>
      </c>
      <c r="P432" s="34" t="s">
        <v>50</v>
      </c>
      <c r="Q432" s="33" t="n">
        <f>996.2</f>
        <v>996.2</v>
      </c>
      <c r="R432" s="34" t="s">
        <v>51</v>
      </c>
      <c r="S432" s="35" t="n">
        <f>1025.89</f>
        <v>1025.89</v>
      </c>
      <c r="T432" s="32" t="n">
        <f>3357850</f>
        <v>3357850.0</v>
      </c>
      <c r="U432" s="32" t="n">
        <f>1133330</f>
        <v>1133330.0</v>
      </c>
      <c r="V432" s="32" t="n">
        <f>3468288153</f>
        <v>3.468288153E9</v>
      </c>
      <c r="W432" s="32" t="n">
        <f>1149706657</f>
        <v>1.149706657E9</v>
      </c>
      <c r="X432" s="36" t="n">
        <f>22</f>
        <v>22.0</v>
      </c>
    </row>
    <row r="433">
      <c r="A433" s="27" t="s">
        <v>42</v>
      </c>
      <c r="B433" s="27" t="s">
        <v>1343</v>
      </c>
      <c r="C433" s="27" t="s">
        <v>1344</v>
      </c>
      <c r="D433" s="27" t="s">
        <v>1345</v>
      </c>
      <c r="E433" s="28" t="s">
        <v>46</v>
      </c>
      <c r="F433" s="29" t="s">
        <v>46</v>
      </c>
      <c r="G433" s="30" t="s">
        <v>46</v>
      </c>
      <c r="H433" s="31"/>
      <c r="I433" s="31" t="s">
        <v>416</v>
      </c>
      <c r="J433" s="32" t="n">
        <v>10.0</v>
      </c>
      <c r="K433" s="33" t="n">
        <f>490.7</f>
        <v>490.7</v>
      </c>
      <c r="L433" s="34" t="s">
        <v>48</v>
      </c>
      <c r="M433" s="33" t="n">
        <f>522.3</f>
        <v>522.3</v>
      </c>
      <c r="N433" s="34" t="s">
        <v>51</v>
      </c>
      <c r="O433" s="33" t="n">
        <f>490.7</f>
        <v>490.7</v>
      </c>
      <c r="P433" s="34" t="s">
        <v>48</v>
      </c>
      <c r="Q433" s="33" t="n">
        <f>522.3</f>
        <v>522.3</v>
      </c>
      <c r="R433" s="34" t="s">
        <v>51</v>
      </c>
      <c r="S433" s="35" t="n">
        <f>501.81</f>
        <v>501.81</v>
      </c>
      <c r="T433" s="32" t="n">
        <f>1400</f>
        <v>1400.0</v>
      </c>
      <c r="U433" s="32" t="str">
        <f>"－"</f>
        <v>－</v>
      </c>
      <c r="V433" s="32" t="n">
        <f>703768</f>
        <v>703768.0</v>
      </c>
      <c r="W433" s="32" t="str">
        <f>"－"</f>
        <v>－</v>
      </c>
      <c r="X433" s="36" t="n">
        <f>17</f>
        <v>17.0</v>
      </c>
    </row>
    <row r="434">
      <c r="A434" s="27" t="s">
        <v>42</v>
      </c>
      <c r="B434" s="27" t="s">
        <v>1346</v>
      </c>
      <c r="C434" s="27" t="s">
        <v>1347</v>
      </c>
      <c r="D434" s="27" t="s">
        <v>1348</v>
      </c>
      <c r="E434" s="28" t="s">
        <v>46</v>
      </c>
      <c r="F434" s="29" t="s">
        <v>46</v>
      </c>
      <c r="G434" s="30" t="s">
        <v>46</v>
      </c>
      <c r="H434" s="31"/>
      <c r="I434" s="31" t="s">
        <v>416</v>
      </c>
      <c r="J434" s="32" t="n">
        <v>1.0</v>
      </c>
      <c r="K434" s="33" t="n">
        <f>2119</f>
        <v>2119.0</v>
      </c>
      <c r="L434" s="34" t="s">
        <v>48</v>
      </c>
      <c r="M434" s="33" t="n">
        <f>2367</f>
        <v>2367.0</v>
      </c>
      <c r="N434" s="34" t="s">
        <v>197</v>
      </c>
      <c r="O434" s="33" t="n">
        <f>2088</f>
        <v>2088.0</v>
      </c>
      <c r="P434" s="34" t="s">
        <v>48</v>
      </c>
      <c r="Q434" s="33" t="n">
        <f>2283</f>
        <v>2283.0</v>
      </c>
      <c r="R434" s="34" t="s">
        <v>51</v>
      </c>
      <c r="S434" s="35" t="n">
        <f>2218.27</f>
        <v>2218.27</v>
      </c>
      <c r="T434" s="32" t="n">
        <f>1746454</f>
        <v>1746454.0</v>
      </c>
      <c r="U434" s="32" t="n">
        <f>751000</f>
        <v>751000.0</v>
      </c>
      <c r="V434" s="32" t="n">
        <f>3885989496</f>
        <v>3.885989496E9</v>
      </c>
      <c r="W434" s="32" t="n">
        <f>1664268094</f>
        <v>1.664268094E9</v>
      </c>
      <c r="X434" s="36" t="n">
        <f>22</f>
        <v>22.0</v>
      </c>
    </row>
    <row r="435">
      <c r="A435" s="27" t="s">
        <v>42</v>
      </c>
      <c r="B435" s="27" t="s">
        <v>1349</v>
      </c>
      <c r="C435" s="27" t="s">
        <v>1350</v>
      </c>
      <c r="D435" s="27" t="s">
        <v>1351</v>
      </c>
      <c r="E435" s="28" t="s">
        <v>46</v>
      </c>
      <c r="F435" s="29" t="s">
        <v>46</v>
      </c>
      <c r="G435" s="30" t="s">
        <v>46</v>
      </c>
      <c r="H435" s="31"/>
      <c r="I435" s="31" t="s">
        <v>416</v>
      </c>
      <c r="J435" s="32" t="n">
        <v>1.0</v>
      </c>
      <c r="K435" s="33" t="n">
        <f>100500</f>
        <v>100500.0</v>
      </c>
      <c r="L435" s="34" t="s">
        <v>48</v>
      </c>
      <c r="M435" s="33" t="n">
        <f>100500</f>
        <v>100500.0</v>
      </c>
      <c r="N435" s="34" t="s">
        <v>48</v>
      </c>
      <c r="O435" s="33" t="n">
        <f>94200</f>
        <v>94200.0</v>
      </c>
      <c r="P435" s="34" t="s">
        <v>197</v>
      </c>
      <c r="Q435" s="33" t="n">
        <f>95200</f>
        <v>95200.0</v>
      </c>
      <c r="R435" s="34" t="s">
        <v>51</v>
      </c>
      <c r="S435" s="35" t="n">
        <f>97536.36</f>
        <v>97536.36</v>
      </c>
      <c r="T435" s="32" t="n">
        <f>36951</f>
        <v>36951.0</v>
      </c>
      <c r="U435" s="32" t="n">
        <f>2581</f>
        <v>2581.0</v>
      </c>
      <c r="V435" s="32" t="n">
        <f>3603533832</f>
        <v>3.603533832E9</v>
      </c>
      <c r="W435" s="32" t="n">
        <f>251547032</f>
        <v>2.51547032E8</v>
      </c>
      <c r="X435" s="36" t="n">
        <f>22</f>
        <v>22.0</v>
      </c>
    </row>
    <row r="436">
      <c r="A436" s="27" t="s">
        <v>42</v>
      </c>
      <c r="B436" s="27" t="s">
        <v>1352</v>
      </c>
      <c r="C436" s="27" t="s">
        <v>1353</v>
      </c>
      <c r="D436" s="27" t="s">
        <v>1354</v>
      </c>
      <c r="E436" s="28" t="s">
        <v>46</v>
      </c>
      <c r="F436" s="29" t="s">
        <v>46</v>
      </c>
      <c r="G436" s="30" t="s">
        <v>46</v>
      </c>
      <c r="H436" s="31"/>
      <c r="I436" s="31" t="s">
        <v>416</v>
      </c>
      <c r="J436" s="32" t="n">
        <v>1.0</v>
      </c>
      <c r="K436" s="33" t="n">
        <f>1460</f>
        <v>1460.0</v>
      </c>
      <c r="L436" s="34" t="s">
        <v>48</v>
      </c>
      <c r="M436" s="33" t="n">
        <f>1460</f>
        <v>1460.0</v>
      </c>
      <c r="N436" s="34" t="s">
        <v>48</v>
      </c>
      <c r="O436" s="33" t="n">
        <f>1265</f>
        <v>1265.0</v>
      </c>
      <c r="P436" s="34" t="s">
        <v>197</v>
      </c>
      <c r="Q436" s="33" t="n">
        <f>1283</f>
        <v>1283.0</v>
      </c>
      <c r="R436" s="34" t="s">
        <v>51</v>
      </c>
      <c r="S436" s="35" t="n">
        <f>1349.77</f>
        <v>1349.77</v>
      </c>
      <c r="T436" s="32" t="n">
        <f>350994</f>
        <v>350994.0</v>
      </c>
      <c r="U436" s="32" t="str">
        <f>"－"</f>
        <v>－</v>
      </c>
      <c r="V436" s="32" t="n">
        <f>469133438</f>
        <v>4.69133438E8</v>
      </c>
      <c r="W436" s="32" t="str">
        <f>"－"</f>
        <v>－</v>
      </c>
      <c r="X436" s="36" t="n">
        <f>22</f>
        <v>22.0</v>
      </c>
    </row>
    <row r="437">
      <c r="A437" s="27" t="s">
        <v>42</v>
      </c>
      <c r="B437" s="27" t="s">
        <v>1355</v>
      </c>
      <c r="C437" s="27" t="s">
        <v>1356</v>
      </c>
      <c r="D437" s="27" t="s">
        <v>1357</v>
      </c>
      <c r="E437" s="28" t="s">
        <v>46</v>
      </c>
      <c r="F437" s="29" t="s">
        <v>46</v>
      </c>
      <c r="G437" s="30" t="s">
        <v>46</v>
      </c>
      <c r="H437" s="31"/>
      <c r="I437" s="31" t="s">
        <v>416</v>
      </c>
      <c r="J437" s="32" t="n">
        <v>10.0</v>
      </c>
      <c r="K437" s="33" t="n">
        <f>351</f>
        <v>351.0</v>
      </c>
      <c r="L437" s="34" t="s">
        <v>48</v>
      </c>
      <c r="M437" s="33" t="n">
        <f>351</f>
        <v>351.0</v>
      </c>
      <c r="N437" s="34" t="s">
        <v>48</v>
      </c>
      <c r="O437" s="33" t="n">
        <f>248.5</f>
        <v>248.5</v>
      </c>
      <c r="P437" s="34" t="s">
        <v>197</v>
      </c>
      <c r="Q437" s="33" t="n">
        <f>282.9</f>
        <v>282.9</v>
      </c>
      <c r="R437" s="34" t="s">
        <v>51</v>
      </c>
      <c r="S437" s="35" t="n">
        <f>301.58</f>
        <v>301.58</v>
      </c>
      <c r="T437" s="32" t="n">
        <f>26287240</f>
        <v>2.628724E7</v>
      </c>
      <c r="U437" s="32" t="n">
        <f>2045910</f>
        <v>2045910.0</v>
      </c>
      <c r="V437" s="32" t="n">
        <f>7881989162</f>
        <v>7.881989162E9</v>
      </c>
      <c r="W437" s="32" t="n">
        <f>618151796</f>
        <v>6.18151796E8</v>
      </c>
      <c r="X437" s="36" t="n">
        <f>22</f>
        <v>22.0</v>
      </c>
    </row>
    <row r="438">
      <c r="A438" s="27" t="s">
        <v>42</v>
      </c>
      <c r="B438" s="27" t="s">
        <v>1358</v>
      </c>
      <c r="C438" s="27" t="s">
        <v>1359</v>
      </c>
      <c r="D438" s="27" t="s">
        <v>1360</v>
      </c>
      <c r="E438" s="28" t="s">
        <v>46</v>
      </c>
      <c r="F438" s="29" t="s">
        <v>46</v>
      </c>
      <c r="G438" s="30" t="s">
        <v>46</v>
      </c>
      <c r="H438" s="31"/>
      <c r="I438" s="31" t="s">
        <v>416</v>
      </c>
      <c r="J438" s="32" t="n">
        <v>1.0</v>
      </c>
      <c r="K438" s="33" t="n">
        <f>4953</f>
        <v>4953.0</v>
      </c>
      <c r="L438" s="34" t="s">
        <v>48</v>
      </c>
      <c r="M438" s="33" t="n">
        <f>4980</f>
        <v>4980.0</v>
      </c>
      <c r="N438" s="34" t="s">
        <v>48</v>
      </c>
      <c r="O438" s="33" t="n">
        <f>3577</f>
        <v>3577.0</v>
      </c>
      <c r="P438" s="34" t="s">
        <v>75</v>
      </c>
      <c r="Q438" s="33" t="n">
        <f>4071</f>
        <v>4071.0</v>
      </c>
      <c r="R438" s="34" t="s">
        <v>51</v>
      </c>
      <c r="S438" s="35" t="n">
        <f>4405.82</f>
        <v>4405.82</v>
      </c>
      <c r="T438" s="32" t="n">
        <f>258008</f>
        <v>258008.0</v>
      </c>
      <c r="U438" s="32" t="n">
        <f>8076</f>
        <v>8076.0</v>
      </c>
      <c r="V438" s="32" t="n">
        <f>1103879768</f>
        <v>1.103879768E9</v>
      </c>
      <c r="W438" s="32" t="n">
        <f>32140947</f>
        <v>3.2140947E7</v>
      </c>
      <c r="X438" s="36" t="n">
        <f>22</f>
        <v>22.0</v>
      </c>
    </row>
    <row r="439">
      <c r="A439" s="27" t="s">
        <v>42</v>
      </c>
      <c r="B439" s="27" t="s">
        <v>1361</v>
      </c>
      <c r="C439" s="27" t="s">
        <v>1362</v>
      </c>
      <c r="D439" s="27" t="s">
        <v>1363</v>
      </c>
      <c r="E439" s="28" t="s">
        <v>46</v>
      </c>
      <c r="F439" s="29" t="s">
        <v>46</v>
      </c>
      <c r="G439" s="30" t="s">
        <v>46</v>
      </c>
      <c r="H439" s="31"/>
      <c r="I439" s="31" t="s">
        <v>416</v>
      </c>
      <c r="J439" s="32" t="n">
        <v>1.0</v>
      </c>
      <c r="K439" s="33" t="n">
        <f>4134</f>
        <v>4134.0</v>
      </c>
      <c r="L439" s="34" t="s">
        <v>48</v>
      </c>
      <c r="M439" s="33" t="n">
        <f>4181</f>
        <v>4181.0</v>
      </c>
      <c r="N439" s="34" t="s">
        <v>48</v>
      </c>
      <c r="O439" s="33" t="n">
        <f>3296</f>
        <v>3296.0</v>
      </c>
      <c r="P439" s="34" t="s">
        <v>75</v>
      </c>
      <c r="Q439" s="33" t="n">
        <f>3700</f>
        <v>3700.0</v>
      </c>
      <c r="R439" s="34" t="s">
        <v>51</v>
      </c>
      <c r="S439" s="35" t="n">
        <f>3810.82</f>
        <v>3810.82</v>
      </c>
      <c r="T439" s="32" t="n">
        <f>137323</f>
        <v>137323.0</v>
      </c>
      <c r="U439" s="32" t="n">
        <f>289</f>
        <v>289.0</v>
      </c>
      <c r="V439" s="32" t="n">
        <f>517457921</f>
        <v>5.17457921E8</v>
      </c>
      <c r="W439" s="32" t="n">
        <f>1102905</f>
        <v>1102905.0</v>
      </c>
      <c r="X439" s="36" t="n">
        <f>22</f>
        <v>22.0</v>
      </c>
    </row>
    <row r="440">
      <c r="A440" s="27" t="s">
        <v>42</v>
      </c>
      <c r="B440" s="27" t="s">
        <v>1364</v>
      </c>
      <c r="C440" s="27" t="s">
        <v>1365</v>
      </c>
      <c r="D440" s="27" t="s">
        <v>1366</v>
      </c>
      <c r="E440" s="28" t="s">
        <v>46</v>
      </c>
      <c r="F440" s="29" t="s">
        <v>46</v>
      </c>
      <c r="G440" s="30" t="s">
        <v>46</v>
      </c>
      <c r="H440" s="31"/>
      <c r="I440" s="31" t="s">
        <v>416</v>
      </c>
      <c r="J440" s="32" t="n">
        <v>10.0</v>
      </c>
      <c r="K440" s="33" t="n">
        <f>308</f>
        <v>308.0</v>
      </c>
      <c r="L440" s="34" t="s">
        <v>48</v>
      </c>
      <c r="M440" s="33" t="n">
        <f>322</f>
        <v>322.0</v>
      </c>
      <c r="N440" s="34" t="s">
        <v>58</v>
      </c>
      <c r="O440" s="33" t="n">
        <f>304.3</f>
        <v>304.3</v>
      </c>
      <c r="P440" s="34" t="s">
        <v>48</v>
      </c>
      <c r="Q440" s="33" t="n">
        <f>312.1</f>
        <v>312.1</v>
      </c>
      <c r="R440" s="34" t="s">
        <v>51</v>
      </c>
      <c r="S440" s="35" t="n">
        <f>312.24</f>
        <v>312.24</v>
      </c>
      <c r="T440" s="32" t="n">
        <f>1792520</f>
        <v>1792520.0</v>
      </c>
      <c r="U440" s="32" t="str">
        <f>"－"</f>
        <v>－</v>
      </c>
      <c r="V440" s="32" t="n">
        <f>559815588</f>
        <v>5.59815588E8</v>
      </c>
      <c r="W440" s="32" t="str">
        <f>"－"</f>
        <v>－</v>
      </c>
      <c r="X440" s="36" t="n">
        <f>22</f>
        <v>22.0</v>
      </c>
    </row>
    <row r="441">
      <c r="A441" s="27" t="s">
        <v>42</v>
      </c>
      <c r="B441" s="27" t="s">
        <v>1367</v>
      </c>
      <c r="C441" s="27" t="s">
        <v>1368</v>
      </c>
      <c r="D441" s="27" t="s">
        <v>1369</v>
      </c>
      <c r="E441" s="28" t="s">
        <v>46</v>
      </c>
      <c r="F441" s="29" t="s">
        <v>46</v>
      </c>
      <c r="G441" s="30" t="s">
        <v>46</v>
      </c>
      <c r="H441" s="31"/>
      <c r="I441" s="31" t="s">
        <v>416</v>
      </c>
      <c r="J441" s="32" t="n">
        <v>10.0</v>
      </c>
      <c r="K441" s="33" t="n">
        <f>350</f>
        <v>350.0</v>
      </c>
      <c r="L441" s="34" t="s">
        <v>48</v>
      </c>
      <c r="M441" s="33" t="n">
        <f>363.3</f>
        <v>363.3</v>
      </c>
      <c r="N441" s="34" t="s">
        <v>58</v>
      </c>
      <c r="O441" s="33" t="n">
        <f>345.1</f>
        <v>345.1</v>
      </c>
      <c r="P441" s="34" t="s">
        <v>48</v>
      </c>
      <c r="Q441" s="33" t="n">
        <f>350.5</f>
        <v>350.5</v>
      </c>
      <c r="R441" s="34" t="s">
        <v>51</v>
      </c>
      <c r="S441" s="35" t="n">
        <f>354.03</f>
        <v>354.03</v>
      </c>
      <c r="T441" s="32" t="n">
        <f>5581150</f>
        <v>5581150.0</v>
      </c>
      <c r="U441" s="32" t="n">
        <f>1148500</f>
        <v>1148500.0</v>
      </c>
      <c r="V441" s="32" t="n">
        <f>1979992676</f>
        <v>1.979992676E9</v>
      </c>
      <c r="W441" s="32" t="n">
        <f>410446867</f>
        <v>4.10446867E8</v>
      </c>
      <c r="X441" s="36" t="n">
        <f>22</f>
        <v>22.0</v>
      </c>
    </row>
    <row r="442">
      <c r="A442" s="27" t="s">
        <v>42</v>
      </c>
      <c r="B442" s="27" t="s">
        <v>1370</v>
      </c>
      <c r="C442" s="27" t="s">
        <v>1371</v>
      </c>
      <c r="D442" s="27" t="s">
        <v>1372</v>
      </c>
      <c r="E442" s="28" t="s">
        <v>46</v>
      </c>
      <c r="F442" s="29" t="s">
        <v>46</v>
      </c>
      <c r="G442" s="30" t="s">
        <v>46</v>
      </c>
      <c r="H442" s="31"/>
      <c r="I442" s="31" t="s">
        <v>416</v>
      </c>
      <c r="J442" s="32" t="n">
        <v>1.0</v>
      </c>
      <c r="K442" s="33" t="n">
        <f>1259</f>
        <v>1259.0</v>
      </c>
      <c r="L442" s="34" t="s">
        <v>48</v>
      </c>
      <c r="M442" s="33" t="n">
        <f>1280</f>
        <v>1280.0</v>
      </c>
      <c r="N442" s="34" t="s">
        <v>75</v>
      </c>
      <c r="O442" s="33" t="n">
        <f>1225</f>
        <v>1225.0</v>
      </c>
      <c r="P442" s="34" t="s">
        <v>51</v>
      </c>
      <c r="Q442" s="33" t="n">
        <f>1244</f>
        <v>1244.0</v>
      </c>
      <c r="R442" s="34" t="s">
        <v>51</v>
      </c>
      <c r="S442" s="35" t="n">
        <f>1248.14</f>
        <v>1248.14</v>
      </c>
      <c r="T442" s="32" t="n">
        <f>329588</f>
        <v>329588.0</v>
      </c>
      <c r="U442" s="32" t="n">
        <f>80599</f>
        <v>80599.0</v>
      </c>
      <c r="V442" s="32" t="n">
        <f>410703984</f>
        <v>4.10703984E8</v>
      </c>
      <c r="W442" s="32" t="n">
        <f>99999985</f>
        <v>9.9999985E7</v>
      </c>
      <c r="X442" s="36" t="n">
        <f>22</f>
        <v>22.0</v>
      </c>
    </row>
    <row r="443">
      <c r="A443" s="27" t="s">
        <v>42</v>
      </c>
      <c r="B443" s="27" t="s">
        <v>1373</v>
      </c>
      <c r="C443" s="27" t="s">
        <v>1374</v>
      </c>
      <c r="D443" s="27" t="s">
        <v>1375</v>
      </c>
      <c r="E443" s="28" t="s">
        <v>46</v>
      </c>
      <c r="F443" s="29" t="s">
        <v>46</v>
      </c>
      <c r="G443" s="30" t="s">
        <v>46</v>
      </c>
      <c r="H443" s="31"/>
      <c r="I443" s="31" t="s">
        <v>47</v>
      </c>
      <c r="J443" s="32" t="n">
        <v>1.0</v>
      </c>
      <c r="K443" s="33" t="n">
        <f>2524</f>
        <v>2524.0</v>
      </c>
      <c r="L443" s="34" t="s">
        <v>48</v>
      </c>
      <c r="M443" s="33" t="n">
        <f>2800</f>
        <v>2800.0</v>
      </c>
      <c r="N443" s="34" t="s">
        <v>197</v>
      </c>
      <c r="O443" s="33" t="n">
        <f>2501</f>
        <v>2501.0</v>
      </c>
      <c r="P443" s="34" t="s">
        <v>48</v>
      </c>
      <c r="Q443" s="33" t="n">
        <f>2693</f>
        <v>2693.0</v>
      </c>
      <c r="R443" s="34" t="s">
        <v>51</v>
      </c>
      <c r="S443" s="35" t="n">
        <f>2626.23</f>
        <v>2626.23</v>
      </c>
      <c r="T443" s="32" t="n">
        <f>4721966</f>
        <v>4721966.0</v>
      </c>
      <c r="U443" s="32" t="n">
        <f>1642082</f>
        <v>1642082.0</v>
      </c>
      <c r="V443" s="32" t="n">
        <f>12415785135</f>
        <v>1.2415785135E10</v>
      </c>
      <c r="W443" s="32" t="n">
        <f>4312320456</f>
        <v>4.312320456E9</v>
      </c>
      <c r="X443" s="36" t="n">
        <f>22</f>
        <v>22.0</v>
      </c>
    </row>
    <row r="444">
      <c r="A444" s="27" t="s">
        <v>42</v>
      </c>
      <c r="B444" s="27" t="s">
        <v>1376</v>
      </c>
      <c r="C444" s="27" t="s">
        <v>1377</v>
      </c>
      <c r="D444" s="27" t="s">
        <v>1378</v>
      </c>
      <c r="E444" s="28" t="s">
        <v>46</v>
      </c>
      <c r="F444" s="29" t="s">
        <v>46</v>
      </c>
      <c r="G444" s="30" t="s">
        <v>46</v>
      </c>
      <c r="H444" s="31"/>
      <c r="I444" s="31" t="s">
        <v>416</v>
      </c>
      <c r="J444" s="32" t="n">
        <v>1.0</v>
      </c>
      <c r="K444" s="33" t="n">
        <f>1860</f>
        <v>1860.0</v>
      </c>
      <c r="L444" s="34" t="s">
        <v>48</v>
      </c>
      <c r="M444" s="33" t="n">
        <f>2001</f>
        <v>2001.0</v>
      </c>
      <c r="N444" s="34" t="s">
        <v>474</v>
      </c>
      <c r="O444" s="33" t="n">
        <f>1851</f>
        <v>1851.0</v>
      </c>
      <c r="P444" s="34" t="s">
        <v>48</v>
      </c>
      <c r="Q444" s="33" t="n">
        <f>1927</f>
        <v>1927.0</v>
      </c>
      <c r="R444" s="34" t="s">
        <v>51</v>
      </c>
      <c r="S444" s="35" t="n">
        <f>1916.59</f>
        <v>1916.59</v>
      </c>
      <c r="T444" s="32" t="n">
        <f>1337316</f>
        <v>1337316.0</v>
      </c>
      <c r="U444" s="32" t="n">
        <f>973000</f>
        <v>973000.0</v>
      </c>
      <c r="V444" s="32" t="n">
        <f>2596313472</f>
        <v>2.596313472E9</v>
      </c>
      <c r="W444" s="32" t="n">
        <f>1893284170</f>
        <v>1.89328417E9</v>
      </c>
      <c r="X444" s="36" t="n">
        <f>22</f>
        <v>22.0</v>
      </c>
    </row>
    <row r="445">
      <c r="A445" s="27" t="s">
        <v>42</v>
      </c>
      <c r="B445" s="27" t="s">
        <v>1379</v>
      </c>
      <c r="C445" s="27" t="s">
        <v>1380</v>
      </c>
      <c r="D445" s="27" t="s">
        <v>1381</v>
      </c>
      <c r="E445" s="28" t="s">
        <v>46</v>
      </c>
      <c r="F445" s="29" t="s">
        <v>46</v>
      </c>
      <c r="G445" s="30" t="s">
        <v>46</v>
      </c>
      <c r="H445" s="31"/>
      <c r="I445" s="31" t="s">
        <v>416</v>
      </c>
      <c r="J445" s="32" t="n">
        <v>10.0</v>
      </c>
      <c r="K445" s="33" t="n">
        <f>260.8</f>
        <v>260.8</v>
      </c>
      <c r="L445" s="34" t="s">
        <v>48</v>
      </c>
      <c r="M445" s="33" t="n">
        <f>271.5</f>
        <v>271.5</v>
      </c>
      <c r="N445" s="34" t="s">
        <v>58</v>
      </c>
      <c r="O445" s="33" t="n">
        <f>257</f>
        <v>257.0</v>
      </c>
      <c r="P445" s="34" t="s">
        <v>50</v>
      </c>
      <c r="Q445" s="33" t="n">
        <f>261.3</f>
        <v>261.3</v>
      </c>
      <c r="R445" s="34" t="s">
        <v>51</v>
      </c>
      <c r="S445" s="35" t="n">
        <f>264.12</f>
        <v>264.12</v>
      </c>
      <c r="T445" s="32" t="n">
        <f>1741080</f>
        <v>1741080.0</v>
      </c>
      <c r="U445" s="32" t="n">
        <f>39100</f>
        <v>39100.0</v>
      </c>
      <c r="V445" s="32" t="n">
        <f>459465415</f>
        <v>4.59465415E8</v>
      </c>
      <c r="W445" s="32" t="n">
        <f>10128533</f>
        <v>1.0128533E7</v>
      </c>
      <c r="X445" s="36" t="n">
        <f>22</f>
        <v>22.0</v>
      </c>
    </row>
    <row r="446">
      <c r="A446" s="27" t="s">
        <v>42</v>
      </c>
      <c r="B446" s="27" t="s">
        <v>1382</v>
      </c>
      <c r="C446" s="27" t="s">
        <v>1383</v>
      </c>
      <c r="D446" s="27" t="s">
        <v>1384</v>
      </c>
      <c r="E446" s="28" t="s">
        <v>46</v>
      </c>
      <c r="F446" s="29" t="s">
        <v>46</v>
      </c>
      <c r="G446" s="30" t="s">
        <v>46</v>
      </c>
      <c r="H446" s="31"/>
      <c r="I446" s="31" t="s">
        <v>416</v>
      </c>
      <c r="J446" s="32" t="n">
        <v>10.0</v>
      </c>
      <c r="K446" s="33" t="n">
        <f>242.7</f>
        <v>242.7</v>
      </c>
      <c r="L446" s="34" t="s">
        <v>48</v>
      </c>
      <c r="M446" s="33" t="n">
        <f>257.7</f>
        <v>257.7</v>
      </c>
      <c r="N446" s="34" t="s">
        <v>58</v>
      </c>
      <c r="O446" s="33" t="n">
        <f>239</f>
        <v>239.0</v>
      </c>
      <c r="P446" s="34" t="s">
        <v>48</v>
      </c>
      <c r="Q446" s="33" t="n">
        <f>245.3</f>
        <v>245.3</v>
      </c>
      <c r="R446" s="34" t="s">
        <v>51</v>
      </c>
      <c r="S446" s="35" t="n">
        <f>245.15</f>
        <v>245.15</v>
      </c>
      <c r="T446" s="32" t="n">
        <f>149380</f>
        <v>149380.0</v>
      </c>
      <c r="U446" s="32" t="str">
        <f>"－"</f>
        <v>－</v>
      </c>
      <c r="V446" s="32" t="n">
        <f>36653928</f>
        <v>3.6653928E7</v>
      </c>
      <c r="W446" s="32" t="str">
        <f>"－"</f>
        <v>－</v>
      </c>
      <c r="X446" s="36" t="n">
        <f>22</f>
        <v>22.0</v>
      </c>
    </row>
    <row r="447">
      <c r="A447" s="27" t="s">
        <v>42</v>
      </c>
      <c r="B447" s="27" t="s">
        <v>1385</v>
      </c>
      <c r="C447" s="27" t="s">
        <v>1386</v>
      </c>
      <c r="D447" s="27" t="s">
        <v>1387</v>
      </c>
      <c r="E447" s="28" t="s">
        <v>46</v>
      </c>
      <c r="F447" s="29" t="s">
        <v>46</v>
      </c>
      <c r="G447" s="30" t="s">
        <v>46</v>
      </c>
      <c r="H447" s="31"/>
      <c r="I447" s="31" t="s">
        <v>416</v>
      </c>
      <c r="J447" s="32" t="n">
        <v>10.0</v>
      </c>
      <c r="K447" s="33" t="n">
        <f>836</f>
        <v>836.0</v>
      </c>
      <c r="L447" s="34" t="s">
        <v>48</v>
      </c>
      <c r="M447" s="33" t="n">
        <f>843.6</f>
        <v>843.6</v>
      </c>
      <c r="N447" s="34" t="s">
        <v>48</v>
      </c>
      <c r="O447" s="33" t="n">
        <f>812</f>
        <v>812.0</v>
      </c>
      <c r="P447" s="34" t="s">
        <v>51</v>
      </c>
      <c r="Q447" s="33" t="n">
        <f>815.3</f>
        <v>815.3</v>
      </c>
      <c r="R447" s="34" t="s">
        <v>51</v>
      </c>
      <c r="S447" s="35" t="n">
        <f>826.08</f>
        <v>826.08</v>
      </c>
      <c r="T447" s="32" t="n">
        <f>1614230</f>
        <v>1614230.0</v>
      </c>
      <c r="U447" s="32" t="str">
        <f>"－"</f>
        <v>－</v>
      </c>
      <c r="V447" s="32" t="n">
        <f>1335864138</f>
        <v>1.335864138E9</v>
      </c>
      <c r="W447" s="32" t="str">
        <f>"－"</f>
        <v>－</v>
      </c>
      <c r="X447" s="36" t="n">
        <f>22</f>
        <v>22.0</v>
      </c>
    </row>
    <row r="448">
      <c r="A448" s="27" t="s">
        <v>42</v>
      </c>
      <c r="B448" s="27" t="s">
        <v>1388</v>
      </c>
      <c r="C448" s="27" t="s">
        <v>1389</v>
      </c>
      <c r="D448" s="27" t="s">
        <v>1390</v>
      </c>
      <c r="E448" s="28" t="s">
        <v>46</v>
      </c>
      <c r="F448" s="29" t="s">
        <v>46</v>
      </c>
      <c r="G448" s="30" t="s">
        <v>46</v>
      </c>
      <c r="H448" s="31"/>
      <c r="I448" s="31" t="s">
        <v>416</v>
      </c>
      <c r="J448" s="32" t="n">
        <v>10.0</v>
      </c>
      <c r="K448" s="33" t="n">
        <f>770</f>
        <v>770.0</v>
      </c>
      <c r="L448" s="34" t="s">
        <v>48</v>
      </c>
      <c r="M448" s="33" t="n">
        <f>783.5</f>
        <v>783.5</v>
      </c>
      <c r="N448" s="34" t="s">
        <v>49</v>
      </c>
      <c r="O448" s="33" t="n">
        <f>754.9</f>
        <v>754.9</v>
      </c>
      <c r="P448" s="34" t="s">
        <v>197</v>
      </c>
      <c r="Q448" s="33" t="n">
        <f>768.8</f>
        <v>768.8</v>
      </c>
      <c r="R448" s="34" t="s">
        <v>51</v>
      </c>
      <c r="S448" s="35" t="n">
        <f>771.17</f>
        <v>771.17</v>
      </c>
      <c r="T448" s="32" t="n">
        <f>1302050</f>
        <v>1302050.0</v>
      </c>
      <c r="U448" s="32" t="n">
        <f>1280000</f>
        <v>1280000.0</v>
      </c>
      <c r="V448" s="32" t="n">
        <f>1009791277</f>
        <v>1.009791277E9</v>
      </c>
      <c r="W448" s="32" t="n">
        <f>992947200</f>
        <v>9.929472E8</v>
      </c>
      <c r="X448" s="36" t="n">
        <f>22</f>
        <v>22.0</v>
      </c>
    </row>
    <row r="449">
      <c r="A449" s="27" t="s">
        <v>42</v>
      </c>
      <c r="B449" s="27" t="s">
        <v>1391</v>
      </c>
      <c r="C449" s="27" t="s">
        <v>1392</v>
      </c>
      <c r="D449" s="27" t="s">
        <v>1393</v>
      </c>
      <c r="E449" s="28" t="s">
        <v>46</v>
      </c>
      <c r="F449" s="29" t="s">
        <v>46</v>
      </c>
      <c r="G449" s="30" t="s">
        <v>46</v>
      </c>
      <c r="H449" s="31"/>
      <c r="I449" s="31" t="s">
        <v>416</v>
      </c>
      <c r="J449" s="32" t="n">
        <v>10.0</v>
      </c>
      <c r="K449" s="33" t="n">
        <f>309.7</f>
        <v>309.7</v>
      </c>
      <c r="L449" s="34" t="s">
        <v>48</v>
      </c>
      <c r="M449" s="33" t="n">
        <f>316.2</f>
        <v>316.2</v>
      </c>
      <c r="N449" s="34" t="s">
        <v>197</v>
      </c>
      <c r="O449" s="33" t="n">
        <f>296.7</f>
        <v>296.7</v>
      </c>
      <c r="P449" s="34" t="s">
        <v>48</v>
      </c>
      <c r="Q449" s="33" t="n">
        <f>302.8</f>
        <v>302.8</v>
      </c>
      <c r="R449" s="34" t="s">
        <v>51</v>
      </c>
      <c r="S449" s="35" t="n">
        <f>304.02</f>
        <v>304.02</v>
      </c>
      <c r="T449" s="32" t="n">
        <f>594580</f>
        <v>594580.0</v>
      </c>
      <c r="U449" s="32" t="n">
        <f>1610</f>
        <v>1610.0</v>
      </c>
      <c r="V449" s="32" t="n">
        <f>180515509</f>
        <v>1.80515509E8</v>
      </c>
      <c r="W449" s="32" t="n">
        <f>457924</f>
        <v>457924.0</v>
      </c>
      <c r="X449" s="36" t="n">
        <f>22</f>
        <v>22.0</v>
      </c>
    </row>
    <row r="450">
      <c r="A450" s="27" t="s">
        <v>42</v>
      </c>
      <c r="B450" s="27" t="s">
        <v>1394</v>
      </c>
      <c r="C450" s="27" t="s">
        <v>1395</v>
      </c>
      <c r="D450" s="27" t="s">
        <v>1396</v>
      </c>
      <c r="E450" s="28" t="s">
        <v>46</v>
      </c>
      <c r="F450" s="29" t="s">
        <v>46</v>
      </c>
      <c r="G450" s="30" t="s">
        <v>46</v>
      </c>
      <c r="H450" s="31"/>
      <c r="I450" s="31" t="s">
        <v>416</v>
      </c>
      <c r="J450" s="32" t="n">
        <v>10.0</v>
      </c>
      <c r="K450" s="33" t="n">
        <f>825.9</f>
        <v>825.9</v>
      </c>
      <c r="L450" s="34" t="s">
        <v>48</v>
      </c>
      <c r="M450" s="33" t="n">
        <f>835</f>
        <v>835.0</v>
      </c>
      <c r="N450" s="34" t="s">
        <v>274</v>
      </c>
      <c r="O450" s="33" t="n">
        <f>813.4</f>
        <v>813.4</v>
      </c>
      <c r="P450" s="34" t="s">
        <v>51</v>
      </c>
      <c r="Q450" s="33" t="n">
        <f>819.9</f>
        <v>819.9</v>
      </c>
      <c r="R450" s="34" t="s">
        <v>51</v>
      </c>
      <c r="S450" s="35" t="n">
        <f>825.4</f>
        <v>825.4</v>
      </c>
      <c r="T450" s="32" t="n">
        <f>5537010</f>
        <v>5537010.0</v>
      </c>
      <c r="U450" s="32" t="n">
        <f>241580</f>
        <v>241580.0</v>
      </c>
      <c r="V450" s="32" t="n">
        <f>4566208237</f>
        <v>4.566208237E9</v>
      </c>
      <c r="W450" s="32" t="n">
        <f>200891989</f>
        <v>2.00891989E8</v>
      </c>
      <c r="X450" s="36" t="n">
        <f>22</f>
        <v>22.0</v>
      </c>
    </row>
    <row r="451">
      <c r="A451" s="27" t="s">
        <v>42</v>
      </c>
      <c r="B451" s="27" t="s">
        <v>1397</v>
      </c>
      <c r="C451" s="27" t="s">
        <v>1398</v>
      </c>
      <c r="D451" s="27" t="s">
        <v>1399</v>
      </c>
      <c r="E451" s="28" t="s">
        <v>46</v>
      </c>
      <c r="F451" s="29" t="s">
        <v>46</v>
      </c>
      <c r="G451" s="30" t="s">
        <v>46</v>
      </c>
      <c r="H451" s="31"/>
      <c r="I451" s="31" t="s">
        <v>416</v>
      </c>
      <c r="J451" s="32" t="n">
        <v>10.0</v>
      </c>
      <c r="K451" s="33" t="n">
        <f>819.5</f>
        <v>819.5</v>
      </c>
      <c r="L451" s="34" t="s">
        <v>48</v>
      </c>
      <c r="M451" s="33" t="n">
        <f>819.9</f>
        <v>819.9</v>
      </c>
      <c r="N451" s="34" t="s">
        <v>48</v>
      </c>
      <c r="O451" s="33" t="n">
        <f>765.2</f>
        <v>765.2</v>
      </c>
      <c r="P451" s="34" t="s">
        <v>51</v>
      </c>
      <c r="Q451" s="33" t="n">
        <f>777</f>
        <v>777.0</v>
      </c>
      <c r="R451" s="34" t="s">
        <v>51</v>
      </c>
      <c r="S451" s="35" t="n">
        <f>794.37</f>
        <v>794.37</v>
      </c>
      <c r="T451" s="32" t="n">
        <f>2216830</f>
        <v>2216830.0</v>
      </c>
      <c r="U451" s="32" t="n">
        <f>310</f>
        <v>310.0</v>
      </c>
      <c r="V451" s="32" t="n">
        <f>1752970915</f>
        <v>1.752970915E9</v>
      </c>
      <c r="W451" s="32" t="n">
        <f>244993</f>
        <v>244993.0</v>
      </c>
      <c r="X451" s="36" t="n">
        <f>22</f>
        <v>22.0</v>
      </c>
    </row>
    <row r="452">
      <c r="A452" s="27" t="s">
        <v>42</v>
      </c>
      <c r="B452" s="27" t="s">
        <v>1400</v>
      </c>
      <c r="C452" s="27" t="s">
        <v>1401</v>
      </c>
      <c r="D452" s="27" t="s">
        <v>1402</v>
      </c>
      <c r="E452" s="28" t="s">
        <v>46</v>
      </c>
      <c r="F452" s="29" t="s">
        <v>46</v>
      </c>
      <c r="G452" s="30" t="s">
        <v>46</v>
      </c>
      <c r="H452" s="31"/>
      <c r="I452" s="31" t="s">
        <v>416</v>
      </c>
      <c r="J452" s="32" t="n">
        <v>1.0</v>
      </c>
      <c r="K452" s="33" t="n">
        <f>10395</f>
        <v>10395.0</v>
      </c>
      <c r="L452" s="34" t="s">
        <v>48</v>
      </c>
      <c r="M452" s="33" t="n">
        <f>11055</f>
        <v>11055.0</v>
      </c>
      <c r="N452" s="34" t="s">
        <v>661</v>
      </c>
      <c r="O452" s="33" t="n">
        <f>10120</f>
        <v>10120.0</v>
      </c>
      <c r="P452" s="34" t="s">
        <v>661</v>
      </c>
      <c r="Q452" s="33" t="n">
        <f>10695</f>
        <v>10695.0</v>
      </c>
      <c r="R452" s="34" t="s">
        <v>51</v>
      </c>
      <c r="S452" s="35" t="n">
        <f>10549.09</f>
        <v>10549.09</v>
      </c>
      <c r="T452" s="32" t="n">
        <f>1245</f>
        <v>1245.0</v>
      </c>
      <c r="U452" s="32" t="str">
        <f>"－"</f>
        <v>－</v>
      </c>
      <c r="V452" s="32" t="n">
        <f>13064090</f>
        <v>1.306409E7</v>
      </c>
      <c r="W452" s="32" t="str">
        <f>"－"</f>
        <v>－</v>
      </c>
      <c r="X452" s="36" t="n">
        <f>22</f>
        <v>22.0</v>
      </c>
    </row>
    <row r="453">
      <c r="A453" s="27" t="s">
        <v>42</v>
      </c>
      <c r="B453" s="27" t="s">
        <v>1403</v>
      </c>
      <c r="C453" s="27" t="s">
        <v>1404</v>
      </c>
      <c r="D453" s="27" t="s">
        <v>1405</v>
      </c>
      <c r="E453" s="28" t="s">
        <v>46</v>
      </c>
      <c r="F453" s="29" t="s">
        <v>46</v>
      </c>
      <c r="G453" s="30" t="s">
        <v>46</v>
      </c>
      <c r="H453" s="31"/>
      <c r="I453" s="31" t="s">
        <v>416</v>
      </c>
      <c r="J453" s="32" t="n">
        <v>1.0</v>
      </c>
      <c r="K453" s="33" t="n">
        <f>2415</f>
        <v>2415.0</v>
      </c>
      <c r="L453" s="34" t="s">
        <v>48</v>
      </c>
      <c r="M453" s="33" t="n">
        <f>2645</f>
        <v>2645.0</v>
      </c>
      <c r="N453" s="34" t="s">
        <v>156</v>
      </c>
      <c r="O453" s="33" t="n">
        <f>2370</f>
        <v>2370.0</v>
      </c>
      <c r="P453" s="34" t="s">
        <v>69</v>
      </c>
      <c r="Q453" s="33" t="n">
        <f>2547</f>
        <v>2547.0</v>
      </c>
      <c r="R453" s="34" t="s">
        <v>51</v>
      </c>
      <c r="S453" s="35" t="n">
        <f>2524.32</f>
        <v>2524.32</v>
      </c>
      <c r="T453" s="32" t="n">
        <f>88163</f>
        <v>88163.0</v>
      </c>
      <c r="U453" s="32" t="str">
        <f>"－"</f>
        <v>－</v>
      </c>
      <c r="V453" s="32" t="n">
        <f>219852180</f>
        <v>2.1985218E8</v>
      </c>
      <c r="W453" s="32" t="str">
        <f>"－"</f>
        <v>－</v>
      </c>
      <c r="X453" s="36" t="n">
        <f>22</f>
        <v>22.0</v>
      </c>
    </row>
    <row r="454">
      <c r="A454" s="27" t="s">
        <v>42</v>
      </c>
      <c r="B454" s="27" t="s">
        <v>1406</v>
      </c>
      <c r="C454" s="27" t="s">
        <v>1407</v>
      </c>
      <c r="D454" s="27" t="s">
        <v>1408</v>
      </c>
      <c r="E454" s="28" t="s">
        <v>46</v>
      </c>
      <c r="F454" s="29" t="s">
        <v>46</v>
      </c>
      <c r="G454" s="30" t="s">
        <v>46</v>
      </c>
      <c r="H454" s="31"/>
      <c r="I454" s="31" t="s">
        <v>416</v>
      </c>
      <c r="J454" s="32" t="n">
        <v>1.0</v>
      </c>
      <c r="K454" s="33" t="n">
        <f>1258</f>
        <v>1258.0</v>
      </c>
      <c r="L454" s="34" t="s">
        <v>48</v>
      </c>
      <c r="M454" s="33" t="n">
        <f>1350</f>
        <v>1350.0</v>
      </c>
      <c r="N454" s="34" t="s">
        <v>197</v>
      </c>
      <c r="O454" s="33" t="n">
        <f>1231</f>
        <v>1231.0</v>
      </c>
      <c r="P454" s="34" t="s">
        <v>661</v>
      </c>
      <c r="Q454" s="33" t="n">
        <f>1288</f>
        <v>1288.0</v>
      </c>
      <c r="R454" s="34" t="s">
        <v>51</v>
      </c>
      <c r="S454" s="35" t="n">
        <f>1267</f>
        <v>1267.0</v>
      </c>
      <c r="T454" s="32" t="n">
        <f>432799</f>
        <v>432799.0</v>
      </c>
      <c r="U454" s="32" t="n">
        <f>83960</f>
        <v>83960.0</v>
      </c>
      <c r="V454" s="32" t="n">
        <f>552842989</f>
        <v>5.52842989E8</v>
      </c>
      <c r="W454" s="32" t="n">
        <f>109999354</f>
        <v>1.09999354E8</v>
      </c>
      <c r="X454" s="36" t="n">
        <f>22</f>
        <v>22.0</v>
      </c>
    </row>
    <row r="455">
      <c r="A455" s="27" t="s">
        <v>42</v>
      </c>
      <c r="B455" s="27" t="s">
        <v>1409</v>
      </c>
      <c r="C455" s="27" t="s">
        <v>1410</v>
      </c>
      <c r="D455" s="27" t="s">
        <v>1411</v>
      </c>
      <c r="E455" s="28" t="s">
        <v>46</v>
      </c>
      <c r="F455" s="29" t="s">
        <v>46</v>
      </c>
      <c r="G455" s="30" t="s">
        <v>46</v>
      </c>
      <c r="H455" s="31"/>
      <c r="I455" s="31" t="s">
        <v>416</v>
      </c>
      <c r="J455" s="32" t="n">
        <v>1.0</v>
      </c>
      <c r="K455" s="33" t="n">
        <f>1000</f>
        <v>1000.0</v>
      </c>
      <c r="L455" s="34" t="s">
        <v>48</v>
      </c>
      <c r="M455" s="33" t="n">
        <f>1095</f>
        <v>1095.0</v>
      </c>
      <c r="N455" s="34" t="s">
        <v>49</v>
      </c>
      <c r="O455" s="33" t="n">
        <f>1000</f>
        <v>1000.0</v>
      </c>
      <c r="P455" s="34" t="s">
        <v>48</v>
      </c>
      <c r="Q455" s="33" t="n">
        <f>1039</f>
        <v>1039.0</v>
      </c>
      <c r="R455" s="34" t="s">
        <v>51</v>
      </c>
      <c r="S455" s="35" t="n">
        <f>1045.73</f>
        <v>1045.73</v>
      </c>
      <c r="T455" s="32" t="n">
        <f>761440</f>
        <v>761440.0</v>
      </c>
      <c r="U455" s="32" t="n">
        <f>10738</f>
        <v>10738.0</v>
      </c>
      <c r="V455" s="32" t="n">
        <f>800544732</f>
        <v>8.00544732E8</v>
      </c>
      <c r="W455" s="32" t="n">
        <f>10995197</f>
        <v>1.0995197E7</v>
      </c>
      <c r="X455" s="36" t="n">
        <f>22</f>
        <v>22.0</v>
      </c>
    </row>
    <row r="456">
      <c r="A456" s="27" t="s">
        <v>42</v>
      </c>
      <c r="B456" s="27" t="s">
        <v>1412</v>
      </c>
      <c r="C456" s="27" t="s">
        <v>1413</v>
      </c>
      <c r="D456" s="27" t="s">
        <v>1414</v>
      </c>
      <c r="E456" s="28" t="s">
        <v>46</v>
      </c>
      <c r="F456" s="29" t="s">
        <v>46</v>
      </c>
      <c r="G456" s="30" t="s">
        <v>46</v>
      </c>
      <c r="H456" s="31"/>
      <c r="I456" s="31" t="s">
        <v>416</v>
      </c>
      <c r="J456" s="32" t="n">
        <v>10.0</v>
      </c>
      <c r="K456" s="33" t="n">
        <f>286.6</f>
        <v>286.6</v>
      </c>
      <c r="L456" s="34" t="s">
        <v>69</v>
      </c>
      <c r="M456" s="33" t="n">
        <f>300.1</f>
        <v>300.1</v>
      </c>
      <c r="N456" s="34" t="s">
        <v>474</v>
      </c>
      <c r="O456" s="33" t="n">
        <f>278.2</f>
        <v>278.2</v>
      </c>
      <c r="P456" s="34" t="s">
        <v>197</v>
      </c>
      <c r="Q456" s="33" t="n">
        <f>279.6</f>
        <v>279.6</v>
      </c>
      <c r="R456" s="34" t="s">
        <v>51</v>
      </c>
      <c r="S456" s="35" t="n">
        <f>281.47</f>
        <v>281.47</v>
      </c>
      <c r="T456" s="32" t="n">
        <f>18480</f>
        <v>18480.0</v>
      </c>
      <c r="U456" s="32" t="str">
        <f>"－"</f>
        <v>－</v>
      </c>
      <c r="V456" s="32" t="n">
        <f>5218805</f>
        <v>5218805.0</v>
      </c>
      <c r="W456" s="32" t="str">
        <f>"－"</f>
        <v>－</v>
      </c>
      <c r="X456" s="36" t="n">
        <f>20</f>
        <v>20.0</v>
      </c>
    </row>
    <row r="457">
      <c r="A457" s="27" t="s">
        <v>42</v>
      </c>
      <c r="B457" s="27" t="s">
        <v>1415</v>
      </c>
      <c r="C457" s="27" t="s">
        <v>1416</v>
      </c>
      <c r="D457" s="27" t="s">
        <v>1417</v>
      </c>
      <c r="E457" s="28" t="s">
        <v>46</v>
      </c>
      <c r="F457" s="29" t="s">
        <v>46</v>
      </c>
      <c r="G457" s="30" t="s">
        <v>46</v>
      </c>
      <c r="H457" s="31"/>
      <c r="I457" s="31" t="s">
        <v>416</v>
      </c>
      <c r="J457" s="32" t="n">
        <v>10.0</v>
      </c>
      <c r="K457" s="33" t="n">
        <f>297.9</f>
        <v>297.9</v>
      </c>
      <c r="L457" s="34" t="s">
        <v>48</v>
      </c>
      <c r="M457" s="33" t="n">
        <f>298.8</f>
        <v>298.8</v>
      </c>
      <c r="N457" s="34" t="s">
        <v>160</v>
      </c>
      <c r="O457" s="33" t="n">
        <f>285</f>
        <v>285.0</v>
      </c>
      <c r="P457" s="34" t="s">
        <v>51</v>
      </c>
      <c r="Q457" s="33" t="n">
        <f>286</f>
        <v>286.0</v>
      </c>
      <c r="R457" s="34" t="s">
        <v>51</v>
      </c>
      <c r="S457" s="35" t="n">
        <f>292.01</f>
        <v>292.01</v>
      </c>
      <c r="T457" s="32" t="n">
        <f>60160</f>
        <v>60160.0</v>
      </c>
      <c r="U457" s="32" t="str">
        <f>"－"</f>
        <v>－</v>
      </c>
      <c r="V457" s="32" t="n">
        <f>17624049</f>
        <v>1.7624049E7</v>
      </c>
      <c r="W457" s="32" t="str">
        <f>"－"</f>
        <v>－</v>
      </c>
      <c r="X457" s="36" t="n">
        <f>22</f>
        <v>22.0</v>
      </c>
    </row>
    <row r="458">
      <c r="A458" s="27" t="s">
        <v>42</v>
      </c>
      <c r="B458" s="27" t="s">
        <v>1418</v>
      </c>
      <c r="C458" s="27" t="s">
        <v>1419</v>
      </c>
      <c r="D458" s="27" t="s">
        <v>1420</v>
      </c>
      <c r="E458" s="28" t="s">
        <v>46</v>
      </c>
      <c r="F458" s="29" t="s">
        <v>46</v>
      </c>
      <c r="G458" s="30" t="s">
        <v>46</v>
      </c>
      <c r="H458" s="31"/>
      <c r="I458" s="31" t="s">
        <v>416</v>
      </c>
      <c r="J458" s="32" t="n">
        <v>1.0</v>
      </c>
      <c r="K458" s="33" t="n">
        <f>1433</f>
        <v>1433.0</v>
      </c>
      <c r="L458" s="34" t="s">
        <v>48</v>
      </c>
      <c r="M458" s="33" t="n">
        <f>1445</f>
        <v>1445.0</v>
      </c>
      <c r="N458" s="34" t="s">
        <v>48</v>
      </c>
      <c r="O458" s="33" t="n">
        <f>1216</f>
        <v>1216.0</v>
      </c>
      <c r="P458" s="34" t="s">
        <v>75</v>
      </c>
      <c r="Q458" s="33" t="n">
        <f>1295</f>
        <v>1295.0</v>
      </c>
      <c r="R458" s="34" t="s">
        <v>51</v>
      </c>
      <c r="S458" s="35" t="n">
        <f>1336.95</f>
        <v>1336.95</v>
      </c>
      <c r="T458" s="32" t="n">
        <f>4603075</f>
        <v>4603075.0</v>
      </c>
      <c r="U458" s="32" t="n">
        <f>4175099</f>
        <v>4175099.0</v>
      </c>
      <c r="V458" s="32" t="n">
        <f>6078384743</f>
        <v>6.078384743E9</v>
      </c>
      <c r="W458" s="32" t="n">
        <f>5517810694</f>
        <v>5.517810694E9</v>
      </c>
      <c r="X458" s="36" t="n">
        <f>22</f>
        <v>22.0</v>
      </c>
    </row>
    <row r="459">
      <c r="A459" s="27" t="s">
        <v>42</v>
      </c>
      <c r="B459" s="27" t="s">
        <v>1421</v>
      </c>
      <c r="C459" s="27" t="s">
        <v>1422</v>
      </c>
      <c r="D459" s="27" t="s">
        <v>1423</v>
      </c>
      <c r="E459" s="28" t="s">
        <v>46</v>
      </c>
      <c r="F459" s="29" t="s">
        <v>46</v>
      </c>
      <c r="G459" s="30" t="s">
        <v>46</v>
      </c>
      <c r="H459" s="31"/>
      <c r="I459" s="31" t="s">
        <v>416</v>
      </c>
      <c r="J459" s="32" t="n">
        <v>1.0</v>
      </c>
      <c r="K459" s="33" t="n">
        <f>2232</f>
        <v>2232.0</v>
      </c>
      <c r="L459" s="34" t="s">
        <v>48</v>
      </c>
      <c r="M459" s="33" t="n">
        <f>2267</f>
        <v>2267.0</v>
      </c>
      <c r="N459" s="34" t="s">
        <v>58</v>
      </c>
      <c r="O459" s="33" t="n">
        <f>2186</f>
        <v>2186.0</v>
      </c>
      <c r="P459" s="34" t="s">
        <v>661</v>
      </c>
      <c r="Q459" s="33" t="n">
        <f>2254</f>
        <v>2254.0</v>
      </c>
      <c r="R459" s="34" t="s">
        <v>51</v>
      </c>
      <c r="S459" s="35" t="n">
        <f>2229.45</f>
        <v>2229.45</v>
      </c>
      <c r="T459" s="32" t="n">
        <f>135596</f>
        <v>135596.0</v>
      </c>
      <c r="U459" s="32" t="str">
        <f>"－"</f>
        <v>－</v>
      </c>
      <c r="V459" s="32" t="n">
        <f>302800499</f>
        <v>3.02800499E8</v>
      </c>
      <c r="W459" s="32" t="str">
        <f>"－"</f>
        <v>－</v>
      </c>
      <c r="X459" s="36" t="n">
        <f>22</f>
        <v>22.0</v>
      </c>
    </row>
    <row r="460">
      <c r="A460" s="27" t="s">
        <v>42</v>
      </c>
      <c r="B460" s="27" t="s">
        <v>1424</v>
      </c>
      <c r="C460" s="27" t="s">
        <v>1425</v>
      </c>
      <c r="D460" s="27" t="s">
        <v>1426</v>
      </c>
      <c r="E460" s="28" t="s">
        <v>46</v>
      </c>
      <c r="F460" s="29" t="s">
        <v>46</v>
      </c>
      <c r="G460" s="30" t="s">
        <v>46</v>
      </c>
      <c r="H460" s="31"/>
      <c r="I460" s="31" t="s">
        <v>416</v>
      </c>
      <c r="J460" s="32" t="n">
        <v>1.0</v>
      </c>
      <c r="K460" s="33" t="n">
        <f>2045</f>
        <v>2045.0</v>
      </c>
      <c r="L460" s="34" t="s">
        <v>48</v>
      </c>
      <c r="M460" s="33" t="n">
        <f>2130</f>
        <v>2130.0</v>
      </c>
      <c r="N460" s="34" t="s">
        <v>49</v>
      </c>
      <c r="O460" s="33" t="n">
        <f>2000</f>
        <v>2000.0</v>
      </c>
      <c r="P460" s="34" t="s">
        <v>50</v>
      </c>
      <c r="Q460" s="33" t="n">
        <f>2100</f>
        <v>2100.0</v>
      </c>
      <c r="R460" s="34" t="s">
        <v>51</v>
      </c>
      <c r="S460" s="35" t="n">
        <f>2059.77</f>
        <v>2059.77</v>
      </c>
      <c r="T460" s="32" t="n">
        <f>9619</f>
        <v>9619.0</v>
      </c>
      <c r="U460" s="32" t="str">
        <f>"－"</f>
        <v>－</v>
      </c>
      <c r="V460" s="32" t="n">
        <f>19757990</f>
        <v>1.975799E7</v>
      </c>
      <c r="W460" s="32" t="str">
        <f>"－"</f>
        <v>－</v>
      </c>
      <c r="X460" s="36" t="n">
        <f>22</f>
        <v>22.0</v>
      </c>
    </row>
    <row r="461">
      <c r="A461" s="27" t="s">
        <v>42</v>
      </c>
      <c r="B461" s="27" t="s">
        <v>1427</v>
      </c>
      <c r="C461" s="27" t="s">
        <v>1428</v>
      </c>
      <c r="D461" s="27" t="s">
        <v>1429</v>
      </c>
      <c r="E461" s="28" t="s">
        <v>46</v>
      </c>
      <c r="F461" s="29" t="s">
        <v>46</v>
      </c>
      <c r="G461" s="30" t="s">
        <v>46</v>
      </c>
      <c r="H461" s="31"/>
      <c r="I461" s="31" t="s">
        <v>416</v>
      </c>
      <c r="J461" s="32" t="n">
        <v>10.0</v>
      </c>
      <c r="K461" s="33" t="n">
        <f>754.9</f>
        <v>754.9</v>
      </c>
      <c r="L461" s="34" t="s">
        <v>48</v>
      </c>
      <c r="M461" s="33" t="n">
        <f>765</f>
        <v>765.0</v>
      </c>
      <c r="N461" s="34" t="s">
        <v>661</v>
      </c>
      <c r="O461" s="33" t="n">
        <f>746.8</f>
        <v>746.8</v>
      </c>
      <c r="P461" s="34" t="s">
        <v>71</v>
      </c>
      <c r="Q461" s="33" t="n">
        <f>763</f>
        <v>763.0</v>
      </c>
      <c r="R461" s="34" t="s">
        <v>51</v>
      </c>
      <c r="S461" s="35" t="n">
        <f>754.55</f>
        <v>754.55</v>
      </c>
      <c r="T461" s="32" t="n">
        <f>1783680</f>
        <v>1783680.0</v>
      </c>
      <c r="U461" s="32" t="n">
        <f>782000</f>
        <v>782000.0</v>
      </c>
      <c r="V461" s="32" t="n">
        <f>1353826256</f>
        <v>1.353826256E9</v>
      </c>
      <c r="W461" s="32" t="n">
        <f>595955600</f>
        <v>5.959556E8</v>
      </c>
      <c r="X461" s="36" t="n">
        <f>22</f>
        <v>22.0</v>
      </c>
    </row>
    <row r="462">
      <c r="A462" s="27" t="s">
        <v>42</v>
      </c>
      <c r="B462" s="27" t="s">
        <v>1430</v>
      </c>
      <c r="C462" s="27" t="s">
        <v>1431</v>
      </c>
      <c r="D462" s="27" t="s">
        <v>1432</v>
      </c>
      <c r="E462" s="28" t="s">
        <v>46</v>
      </c>
      <c r="F462" s="29" t="s">
        <v>46</v>
      </c>
      <c r="G462" s="30" t="s">
        <v>46</v>
      </c>
      <c r="H462" s="31"/>
      <c r="I462" s="31" t="s">
        <v>416</v>
      </c>
      <c r="J462" s="32" t="n">
        <v>1.0</v>
      </c>
      <c r="K462" s="33" t="n">
        <f>902</f>
        <v>902.0</v>
      </c>
      <c r="L462" s="34" t="s">
        <v>48</v>
      </c>
      <c r="M462" s="33" t="n">
        <f>930</f>
        <v>930.0</v>
      </c>
      <c r="N462" s="34" t="s">
        <v>62</v>
      </c>
      <c r="O462" s="33" t="n">
        <f>881</f>
        <v>881.0</v>
      </c>
      <c r="P462" s="34" t="s">
        <v>48</v>
      </c>
      <c r="Q462" s="33" t="n">
        <f>923</f>
        <v>923.0</v>
      </c>
      <c r="R462" s="34" t="s">
        <v>51</v>
      </c>
      <c r="S462" s="35" t="n">
        <f>911</f>
        <v>911.0</v>
      </c>
      <c r="T462" s="32" t="n">
        <f>5913</f>
        <v>5913.0</v>
      </c>
      <c r="U462" s="32" t="str">
        <f>"－"</f>
        <v>－</v>
      </c>
      <c r="V462" s="32" t="n">
        <f>5331788</f>
        <v>5331788.0</v>
      </c>
      <c r="W462" s="32" t="str">
        <f>"－"</f>
        <v>－</v>
      </c>
      <c r="X462" s="36" t="n">
        <f>20</f>
        <v>20.0</v>
      </c>
    </row>
    <row r="463">
      <c r="A463" s="27" t="s">
        <v>42</v>
      </c>
      <c r="B463" s="27" t="s">
        <v>1433</v>
      </c>
      <c r="C463" s="27" t="s">
        <v>1434</v>
      </c>
      <c r="D463" s="27" t="s">
        <v>1435</v>
      </c>
      <c r="E463" s="28" t="s">
        <v>46</v>
      </c>
      <c r="F463" s="29" t="s">
        <v>46</v>
      </c>
      <c r="G463" s="30" t="s">
        <v>46</v>
      </c>
      <c r="H463" s="31"/>
      <c r="I463" s="31" t="s">
        <v>47</v>
      </c>
      <c r="J463" s="32" t="n">
        <v>10.0</v>
      </c>
      <c r="K463" s="33" t="n">
        <f>539.2</f>
        <v>539.2</v>
      </c>
      <c r="L463" s="34" t="s">
        <v>69</v>
      </c>
      <c r="M463" s="33" t="n">
        <f>552.6</f>
        <v>552.6</v>
      </c>
      <c r="N463" s="34" t="s">
        <v>661</v>
      </c>
      <c r="O463" s="33" t="n">
        <f>526</f>
        <v>526.0</v>
      </c>
      <c r="P463" s="34" t="s">
        <v>197</v>
      </c>
      <c r="Q463" s="33" t="n">
        <f>539</f>
        <v>539.0</v>
      </c>
      <c r="R463" s="34" t="s">
        <v>51</v>
      </c>
      <c r="S463" s="35" t="n">
        <f>539.89</f>
        <v>539.89</v>
      </c>
      <c r="T463" s="32" t="n">
        <f>21960</f>
        <v>21960.0</v>
      </c>
      <c r="U463" s="32" t="n">
        <f>18910</f>
        <v>18910.0</v>
      </c>
      <c r="V463" s="32" t="n">
        <f>11863968</f>
        <v>1.1863968E7</v>
      </c>
      <c r="W463" s="32" t="n">
        <f>10213858</f>
        <v>1.0213858E7</v>
      </c>
      <c r="X463" s="36" t="n">
        <f>16</f>
        <v>16.0</v>
      </c>
    </row>
    <row r="464">
      <c r="A464" s="27" t="s">
        <v>42</v>
      </c>
      <c r="B464" s="27" t="s">
        <v>1436</v>
      </c>
      <c r="C464" s="27" t="s">
        <v>1437</v>
      </c>
      <c r="D464" s="27" t="s">
        <v>1438</v>
      </c>
      <c r="E464" s="28" t="s">
        <v>46</v>
      </c>
      <c r="F464" s="29" t="s">
        <v>46</v>
      </c>
      <c r="G464" s="30" t="s">
        <v>46</v>
      </c>
      <c r="H464" s="31"/>
      <c r="I464" s="31" t="s">
        <v>416</v>
      </c>
      <c r="J464" s="32" t="n">
        <v>10.0</v>
      </c>
      <c r="K464" s="33" t="n">
        <f>977.9</f>
        <v>977.9</v>
      </c>
      <c r="L464" s="34" t="s">
        <v>48</v>
      </c>
      <c r="M464" s="33" t="n">
        <f>978.5</f>
        <v>978.5</v>
      </c>
      <c r="N464" s="34" t="s">
        <v>249</v>
      </c>
      <c r="O464" s="33" t="n">
        <f>964</f>
        <v>964.0</v>
      </c>
      <c r="P464" s="34" t="s">
        <v>70</v>
      </c>
      <c r="Q464" s="33" t="n">
        <f>971.6</f>
        <v>971.6</v>
      </c>
      <c r="R464" s="34" t="s">
        <v>51</v>
      </c>
      <c r="S464" s="35" t="n">
        <f>971.51</f>
        <v>971.51</v>
      </c>
      <c r="T464" s="32" t="n">
        <f>43670</f>
        <v>43670.0</v>
      </c>
      <c r="U464" s="32" t="str">
        <f>"－"</f>
        <v>－</v>
      </c>
      <c r="V464" s="32" t="n">
        <f>42395337</f>
        <v>4.2395337E7</v>
      </c>
      <c r="W464" s="32" t="str">
        <f>"－"</f>
        <v>－</v>
      </c>
      <c r="X464" s="36" t="n">
        <f>17</f>
        <v>17.0</v>
      </c>
    </row>
    <row r="465">
      <c r="A465" s="27" t="s">
        <v>42</v>
      </c>
      <c r="B465" s="27" t="s">
        <v>1439</v>
      </c>
      <c r="C465" s="27" t="s">
        <v>1440</v>
      </c>
      <c r="D465" s="27" t="s">
        <v>1441</v>
      </c>
      <c r="E465" s="28" t="s">
        <v>46</v>
      </c>
      <c r="F465" s="29" t="s">
        <v>46</v>
      </c>
      <c r="G465" s="30" t="s">
        <v>46</v>
      </c>
      <c r="H465" s="31"/>
      <c r="I465" s="31" t="s">
        <v>416</v>
      </c>
      <c r="J465" s="32" t="n">
        <v>10.0</v>
      </c>
      <c r="K465" s="33" t="n">
        <f>998.9</f>
        <v>998.9</v>
      </c>
      <c r="L465" s="34" t="s">
        <v>69</v>
      </c>
      <c r="M465" s="33" t="n">
        <f>1001.5</f>
        <v>1001.5</v>
      </c>
      <c r="N465" s="34" t="s">
        <v>274</v>
      </c>
      <c r="O465" s="33" t="n">
        <f>997</f>
        <v>997.0</v>
      </c>
      <c r="P465" s="34" t="s">
        <v>156</v>
      </c>
      <c r="Q465" s="33" t="n">
        <f>998.9</f>
        <v>998.9</v>
      </c>
      <c r="R465" s="34" t="s">
        <v>197</v>
      </c>
      <c r="S465" s="35" t="n">
        <f>999.67</f>
        <v>999.67</v>
      </c>
      <c r="T465" s="32" t="n">
        <f>39330</f>
        <v>39330.0</v>
      </c>
      <c r="U465" s="32" t="str">
        <f>"－"</f>
        <v>－</v>
      </c>
      <c r="V465" s="32" t="n">
        <f>39311485</f>
        <v>3.9311485E7</v>
      </c>
      <c r="W465" s="32" t="str">
        <f>"－"</f>
        <v>－</v>
      </c>
      <c r="X465" s="36" t="n">
        <f>14</f>
        <v>14.0</v>
      </c>
    </row>
    <row r="466">
      <c r="A466" s="27" t="s">
        <v>42</v>
      </c>
      <c r="B466" s="27" t="s">
        <v>1442</v>
      </c>
      <c r="C466" s="27" t="s">
        <v>1443</v>
      </c>
      <c r="D466" s="27" t="s">
        <v>1444</v>
      </c>
      <c r="E466" s="28" t="s">
        <v>46</v>
      </c>
      <c r="F466" s="29" t="s">
        <v>46</v>
      </c>
      <c r="G466" s="30" t="s">
        <v>46</v>
      </c>
      <c r="H466" s="31"/>
      <c r="I466" s="31" t="s">
        <v>416</v>
      </c>
      <c r="J466" s="32" t="n">
        <v>10.0</v>
      </c>
      <c r="K466" s="33" t="n">
        <f>988</f>
        <v>988.0</v>
      </c>
      <c r="L466" s="34" t="s">
        <v>70</v>
      </c>
      <c r="M466" s="33" t="n">
        <f>998.5</f>
        <v>998.5</v>
      </c>
      <c r="N466" s="34" t="s">
        <v>71</v>
      </c>
      <c r="O466" s="33" t="n">
        <f>986.7</f>
        <v>986.7</v>
      </c>
      <c r="P466" s="34" t="s">
        <v>70</v>
      </c>
      <c r="Q466" s="33" t="n">
        <f>992.1</f>
        <v>992.1</v>
      </c>
      <c r="R466" s="34" t="s">
        <v>75</v>
      </c>
      <c r="S466" s="35" t="n">
        <f>992.2</f>
        <v>992.2</v>
      </c>
      <c r="T466" s="32" t="n">
        <f>35030</f>
        <v>35030.0</v>
      </c>
      <c r="U466" s="32" t="str">
        <f>"－"</f>
        <v>－</v>
      </c>
      <c r="V466" s="32" t="n">
        <f>34634867</f>
        <v>3.4634867E7</v>
      </c>
      <c r="W466" s="32" t="str">
        <f>"－"</f>
        <v>－</v>
      </c>
      <c r="X466" s="36" t="n">
        <f>5</f>
        <v>5.0</v>
      </c>
    </row>
    <row r="467">
      <c r="A467" s="27" t="s">
        <v>42</v>
      </c>
      <c r="B467" s="27" t="s">
        <v>1445</v>
      </c>
      <c r="C467" s="27" t="s">
        <v>1446</v>
      </c>
      <c r="D467" s="27" t="s">
        <v>1447</v>
      </c>
      <c r="E467" s="28" t="s">
        <v>46</v>
      </c>
      <c r="F467" s="29" t="s">
        <v>46</v>
      </c>
      <c r="G467" s="30" t="s">
        <v>46</v>
      </c>
      <c r="H467" s="31"/>
      <c r="I467" s="31" t="s">
        <v>416</v>
      </c>
      <c r="J467" s="32" t="n">
        <v>10.0</v>
      </c>
      <c r="K467" s="33" t="n">
        <f>971.2</f>
        <v>971.2</v>
      </c>
      <c r="L467" s="34" t="s">
        <v>49</v>
      </c>
      <c r="M467" s="33" t="n">
        <f>999</f>
        <v>999.0</v>
      </c>
      <c r="N467" s="34" t="s">
        <v>207</v>
      </c>
      <c r="O467" s="33" t="n">
        <f>965.9</f>
        <v>965.9</v>
      </c>
      <c r="P467" s="34" t="s">
        <v>70</v>
      </c>
      <c r="Q467" s="33" t="n">
        <f>971.3</f>
        <v>971.3</v>
      </c>
      <c r="R467" s="34" t="s">
        <v>51</v>
      </c>
      <c r="S467" s="35" t="n">
        <f>977.55</f>
        <v>977.55</v>
      </c>
      <c r="T467" s="32" t="n">
        <f>13760</f>
        <v>13760.0</v>
      </c>
      <c r="U467" s="32" t="str">
        <f>"－"</f>
        <v>－</v>
      </c>
      <c r="V467" s="32" t="n">
        <f>13385507</f>
        <v>1.3385507E7</v>
      </c>
      <c r="W467" s="32" t="str">
        <f>"－"</f>
        <v>－</v>
      </c>
      <c r="X467" s="36" t="n">
        <f>13</f>
        <v>13.0</v>
      </c>
    </row>
    <row r="468">
      <c r="A468" s="27" t="s">
        <v>42</v>
      </c>
      <c r="B468" s="27" t="s">
        <v>1448</v>
      </c>
      <c r="C468" s="27" t="s">
        <v>1449</v>
      </c>
      <c r="D468" s="27" t="s">
        <v>1450</v>
      </c>
      <c r="E468" s="28" t="s">
        <v>46</v>
      </c>
      <c r="F468" s="29" t="s">
        <v>46</v>
      </c>
      <c r="G468" s="30" t="s">
        <v>46</v>
      </c>
      <c r="H468" s="31"/>
      <c r="I468" s="31" t="s">
        <v>416</v>
      </c>
      <c r="J468" s="32" t="n">
        <v>10.0</v>
      </c>
      <c r="K468" s="33" t="n">
        <f>949</f>
        <v>949.0</v>
      </c>
      <c r="L468" s="34" t="s">
        <v>48</v>
      </c>
      <c r="M468" s="33" t="n">
        <f>963.4</f>
        <v>963.4</v>
      </c>
      <c r="N468" s="34" t="s">
        <v>249</v>
      </c>
      <c r="O468" s="33" t="n">
        <f>926</f>
        <v>926.0</v>
      </c>
      <c r="P468" s="34" t="s">
        <v>70</v>
      </c>
      <c r="Q468" s="33" t="n">
        <f>942.7</f>
        <v>942.7</v>
      </c>
      <c r="R468" s="34" t="s">
        <v>51</v>
      </c>
      <c r="S468" s="35" t="n">
        <f>944.31</f>
        <v>944.31</v>
      </c>
      <c r="T468" s="32" t="n">
        <f>1238680</f>
        <v>1238680.0</v>
      </c>
      <c r="U468" s="32" t="str">
        <f>"－"</f>
        <v>－</v>
      </c>
      <c r="V468" s="32" t="n">
        <f>1173070946</f>
        <v>1.173070946E9</v>
      </c>
      <c r="W468" s="32" t="str">
        <f>"－"</f>
        <v>－</v>
      </c>
      <c r="X468" s="36" t="n">
        <f>22</f>
        <v>22.0</v>
      </c>
    </row>
    <row r="469">
      <c r="A469" s="27" t="s">
        <v>42</v>
      </c>
      <c r="B469" s="27" t="s">
        <v>1451</v>
      </c>
      <c r="C469" s="27" t="s">
        <v>1452</v>
      </c>
      <c r="D469" s="27" t="s">
        <v>1453</v>
      </c>
      <c r="E469" s="28" t="s">
        <v>46</v>
      </c>
      <c r="F469" s="29" t="s">
        <v>46</v>
      </c>
      <c r="G469" s="30" t="s">
        <v>46</v>
      </c>
      <c r="H469" s="31"/>
      <c r="I469" s="31" t="s">
        <v>416</v>
      </c>
      <c r="J469" s="32" t="n">
        <v>1.0</v>
      </c>
      <c r="K469" s="33" t="n">
        <f>9780</f>
        <v>9780.0</v>
      </c>
      <c r="L469" s="34" t="s">
        <v>48</v>
      </c>
      <c r="M469" s="33" t="n">
        <f>10860</f>
        <v>10860.0</v>
      </c>
      <c r="N469" s="34" t="s">
        <v>197</v>
      </c>
      <c r="O469" s="33" t="n">
        <f>9680</f>
        <v>9680.0</v>
      </c>
      <c r="P469" s="34" t="s">
        <v>48</v>
      </c>
      <c r="Q469" s="33" t="n">
        <f>10825</f>
        <v>10825.0</v>
      </c>
      <c r="R469" s="34" t="s">
        <v>197</v>
      </c>
      <c r="S469" s="35" t="n">
        <f>10269.44</f>
        <v>10269.44</v>
      </c>
      <c r="T469" s="32" t="n">
        <f>9078</f>
        <v>9078.0</v>
      </c>
      <c r="U469" s="32" t="str">
        <f>"－"</f>
        <v>－</v>
      </c>
      <c r="V469" s="32" t="n">
        <f>93490970</f>
        <v>9.349097E7</v>
      </c>
      <c r="W469" s="32" t="str">
        <f>"－"</f>
        <v>－</v>
      </c>
      <c r="X469" s="36" t="n">
        <f>18</f>
        <v>18.0</v>
      </c>
    </row>
    <row r="470">
      <c r="A470" s="27" t="s">
        <v>42</v>
      </c>
      <c r="B470" s="27" t="s">
        <v>1454</v>
      </c>
      <c r="C470" s="27" t="s">
        <v>1455</v>
      </c>
      <c r="D470" s="27" t="s">
        <v>1456</v>
      </c>
      <c r="E470" s="28" t="s">
        <v>46</v>
      </c>
      <c r="F470" s="29" t="s">
        <v>46</v>
      </c>
      <c r="G470" s="30" t="s">
        <v>46</v>
      </c>
      <c r="H470" s="31"/>
      <c r="I470" s="31" t="s">
        <v>416</v>
      </c>
      <c r="J470" s="32" t="n">
        <v>1.0</v>
      </c>
      <c r="K470" s="33" t="n">
        <f>8805</f>
        <v>8805.0</v>
      </c>
      <c r="L470" s="34" t="s">
        <v>48</v>
      </c>
      <c r="M470" s="33" t="n">
        <f>9646</f>
        <v>9646.0</v>
      </c>
      <c r="N470" s="34" t="s">
        <v>49</v>
      </c>
      <c r="O470" s="33" t="n">
        <f>8607</f>
        <v>8607.0</v>
      </c>
      <c r="P470" s="34" t="s">
        <v>50</v>
      </c>
      <c r="Q470" s="33" t="n">
        <f>9545</f>
        <v>9545.0</v>
      </c>
      <c r="R470" s="34" t="s">
        <v>51</v>
      </c>
      <c r="S470" s="35" t="n">
        <f>9155.95</f>
        <v>9155.95</v>
      </c>
      <c r="T470" s="32" t="n">
        <f>15728</f>
        <v>15728.0</v>
      </c>
      <c r="U470" s="32" t="str">
        <f>"－"</f>
        <v>－</v>
      </c>
      <c r="V470" s="32" t="n">
        <f>141949860</f>
        <v>1.4194986E8</v>
      </c>
      <c r="W470" s="32" t="str">
        <f>"－"</f>
        <v>－</v>
      </c>
      <c r="X470" s="36" t="n">
        <f>22</f>
        <v>22.0</v>
      </c>
    </row>
    <row r="471">
      <c r="A471" s="27" t="s">
        <v>42</v>
      </c>
      <c r="B471" s="27" t="s">
        <v>1457</v>
      </c>
      <c r="C471" s="27" t="s">
        <v>1458</v>
      </c>
      <c r="D471" s="27" t="s">
        <v>1459</v>
      </c>
      <c r="E471" s="28" t="s">
        <v>46</v>
      </c>
      <c r="F471" s="29" t="s">
        <v>46</v>
      </c>
      <c r="G471" s="30" t="s">
        <v>46</v>
      </c>
      <c r="H471" s="31"/>
      <c r="I471" s="31" t="s">
        <v>416</v>
      </c>
      <c r="J471" s="32" t="n">
        <v>1.0</v>
      </c>
      <c r="K471" s="33" t="n">
        <f>9021</f>
        <v>9021.0</v>
      </c>
      <c r="L471" s="34" t="s">
        <v>48</v>
      </c>
      <c r="M471" s="33" t="n">
        <f>9333</f>
        <v>9333.0</v>
      </c>
      <c r="N471" s="34" t="s">
        <v>50</v>
      </c>
      <c r="O471" s="33" t="n">
        <f>8868</f>
        <v>8868.0</v>
      </c>
      <c r="P471" s="34" t="s">
        <v>71</v>
      </c>
      <c r="Q471" s="33" t="n">
        <f>9123</f>
        <v>9123.0</v>
      </c>
      <c r="R471" s="34" t="s">
        <v>51</v>
      </c>
      <c r="S471" s="35" t="n">
        <f>9103.4</f>
        <v>9103.4</v>
      </c>
      <c r="T471" s="32" t="n">
        <f>3548</f>
        <v>3548.0</v>
      </c>
      <c r="U471" s="32" t="str">
        <f>"－"</f>
        <v>－</v>
      </c>
      <c r="V471" s="32" t="n">
        <f>32105441</f>
        <v>3.2105441E7</v>
      </c>
      <c r="W471" s="32" t="str">
        <f>"－"</f>
        <v>－</v>
      </c>
      <c r="X471" s="36" t="n">
        <f>20</f>
        <v>20.0</v>
      </c>
    </row>
    <row r="472">
      <c r="A472" s="27" t="s">
        <v>42</v>
      </c>
      <c r="B472" s="27" t="s">
        <v>1460</v>
      </c>
      <c r="C472" s="27" t="s">
        <v>1461</v>
      </c>
      <c r="D472" s="27" t="s">
        <v>1462</v>
      </c>
      <c r="E472" s="28" t="s">
        <v>46</v>
      </c>
      <c r="F472" s="29" t="s">
        <v>46</v>
      </c>
      <c r="G472" s="30" t="s">
        <v>46</v>
      </c>
      <c r="H472" s="31"/>
      <c r="I472" s="31" t="s">
        <v>416</v>
      </c>
      <c r="J472" s="32" t="n">
        <v>10.0</v>
      </c>
      <c r="K472" s="33" t="n">
        <f>902.4</f>
        <v>902.4</v>
      </c>
      <c r="L472" s="34" t="s">
        <v>48</v>
      </c>
      <c r="M472" s="33" t="n">
        <f>902.6</f>
        <v>902.6</v>
      </c>
      <c r="N472" s="34" t="s">
        <v>58</v>
      </c>
      <c r="O472" s="33" t="n">
        <f>900</f>
        <v>900.0</v>
      </c>
      <c r="P472" s="34" t="s">
        <v>661</v>
      </c>
      <c r="Q472" s="33" t="n">
        <f>900.4</f>
        <v>900.4</v>
      </c>
      <c r="R472" s="34" t="s">
        <v>51</v>
      </c>
      <c r="S472" s="35" t="n">
        <f>900.89</f>
        <v>900.89</v>
      </c>
      <c r="T472" s="32" t="n">
        <f>871960</f>
        <v>871960.0</v>
      </c>
      <c r="U472" s="32" t="str">
        <f>"－"</f>
        <v>－</v>
      </c>
      <c r="V472" s="32" t="n">
        <f>785429051</f>
        <v>7.85429051E8</v>
      </c>
      <c r="W472" s="32" t="str">
        <f>"－"</f>
        <v>－</v>
      </c>
      <c r="X472" s="36" t="n">
        <f>22</f>
        <v>22.0</v>
      </c>
    </row>
    <row r="473">
      <c r="A473" s="27" t="s">
        <v>42</v>
      </c>
      <c r="B473" s="27" t="s">
        <v>1463</v>
      </c>
      <c r="C473" s="27" t="s">
        <v>1464</v>
      </c>
      <c r="D473" s="27" t="s">
        <v>1465</v>
      </c>
      <c r="E473" s="28" t="s">
        <v>46</v>
      </c>
      <c r="F473" s="29" t="s">
        <v>46</v>
      </c>
      <c r="G473" s="30" t="s">
        <v>46</v>
      </c>
      <c r="H473" s="31"/>
      <c r="I473" s="31" t="s">
        <v>416</v>
      </c>
      <c r="J473" s="32" t="n">
        <v>1.0</v>
      </c>
      <c r="K473" s="33" t="n">
        <f>72700</f>
        <v>72700.0</v>
      </c>
      <c r="L473" s="34" t="s">
        <v>48</v>
      </c>
      <c r="M473" s="33" t="n">
        <f>75200</f>
        <v>75200.0</v>
      </c>
      <c r="N473" s="34" t="s">
        <v>69</v>
      </c>
      <c r="O473" s="33" t="n">
        <f>72400</f>
        <v>72400.0</v>
      </c>
      <c r="P473" s="34" t="s">
        <v>62</v>
      </c>
      <c r="Q473" s="33" t="n">
        <f>73100</f>
        <v>73100.0</v>
      </c>
      <c r="R473" s="34" t="s">
        <v>51</v>
      </c>
      <c r="S473" s="35" t="n">
        <f>73654.55</f>
        <v>73654.55</v>
      </c>
      <c r="T473" s="32" t="n">
        <f>5685</f>
        <v>5685.0</v>
      </c>
      <c r="U473" s="32" t="n">
        <f>63</f>
        <v>63.0</v>
      </c>
      <c r="V473" s="32" t="n">
        <f>416951570</f>
        <v>4.1695157E8</v>
      </c>
      <c r="W473" s="32" t="n">
        <f>4637170</f>
        <v>4637170.0</v>
      </c>
      <c r="X473" s="36" t="n">
        <f>22</f>
        <v>22.0</v>
      </c>
    </row>
    <row r="474">
      <c r="A474" s="27" t="s">
        <v>42</v>
      </c>
      <c r="B474" s="27" t="s">
        <v>1466</v>
      </c>
      <c r="C474" s="27" t="s">
        <v>1467</v>
      </c>
      <c r="D474" s="27" t="s">
        <v>1468</v>
      </c>
      <c r="E474" s="28" t="s">
        <v>46</v>
      </c>
      <c r="F474" s="29" t="s">
        <v>46</v>
      </c>
      <c r="G474" s="30" t="s">
        <v>46</v>
      </c>
      <c r="H474" s="31"/>
      <c r="I474" s="31" t="s">
        <v>416</v>
      </c>
      <c r="J474" s="32" t="n">
        <v>1.0</v>
      </c>
      <c r="K474" s="33" t="n">
        <f>1112</f>
        <v>1112.0</v>
      </c>
      <c r="L474" s="34" t="s">
        <v>48</v>
      </c>
      <c r="M474" s="33" t="n">
        <f>1178</f>
        <v>1178.0</v>
      </c>
      <c r="N474" s="34" t="s">
        <v>249</v>
      </c>
      <c r="O474" s="33" t="n">
        <f>1087</f>
        <v>1087.0</v>
      </c>
      <c r="P474" s="34" t="s">
        <v>48</v>
      </c>
      <c r="Q474" s="33" t="n">
        <f>1113</f>
        <v>1113.0</v>
      </c>
      <c r="R474" s="34" t="s">
        <v>51</v>
      </c>
      <c r="S474" s="35" t="n">
        <f>1141.09</f>
        <v>1141.09</v>
      </c>
      <c r="T474" s="32" t="n">
        <f>75313</f>
        <v>75313.0</v>
      </c>
      <c r="U474" s="32" t="str">
        <f>"－"</f>
        <v>－</v>
      </c>
      <c r="V474" s="32" t="n">
        <f>86398503</f>
        <v>8.6398503E7</v>
      </c>
      <c r="W474" s="32" t="str">
        <f>"－"</f>
        <v>－</v>
      </c>
      <c r="X474" s="36" t="n">
        <f>22</f>
        <v>22.0</v>
      </c>
    </row>
    <row r="475">
      <c r="A475" s="27" t="s">
        <v>42</v>
      </c>
      <c r="B475" s="27" t="s">
        <v>1469</v>
      </c>
      <c r="C475" s="27" t="s">
        <v>1470</v>
      </c>
      <c r="D475" s="27" t="s">
        <v>1471</v>
      </c>
      <c r="E475" s="28" t="s">
        <v>46</v>
      </c>
      <c r="F475" s="29" t="s">
        <v>46</v>
      </c>
      <c r="G475" s="30" t="s">
        <v>46</v>
      </c>
      <c r="H475" s="31"/>
      <c r="I475" s="31" t="s">
        <v>47</v>
      </c>
      <c r="J475" s="32" t="n">
        <v>1.0</v>
      </c>
      <c r="K475" s="33" t="n">
        <f>851</f>
        <v>851.0</v>
      </c>
      <c r="L475" s="34" t="s">
        <v>48</v>
      </c>
      <c r="M475" s="33" t="n">
        <f>911</f>
        <v>911.0</v>
      </c>
      <c r="N475" s="34" t="s">
        <v>49</v>
      </c>
      <c r="O475" s="33" t="n">
        <f>797</f>
        <v>797.0</v>
      </c>
      <c r="P475" s="34" t="s">
        <v>50</v>
      </c>
      <c r="Q475" s="33" t="n">
        <f>860</f>
        <v>860.0</v>
      </c>
      <c r="R475" s="34" t="s">
        <v>51</v>
      </c>
      <c r="S475" s="35" t="n">
        <f>849.05</f>
        <v>849.05</v>
      </c>
      <c r="T475" s="32" t="n">
        <f>8667330</f>
        <v>8667330.0</v>
      </c>
      <c r="U475" s="32" t="n">
        <f>1987687</f>
        <v>1987687.0</v>
      </c>
      <c r="V475" s="32" t="n">
        <f>7402047391</f>
        <v>7.402047391E9</v>
      </c>
      <c r="W475" s="32" t="n">
        <f>1706305558</f>
        <v>1.706305558E9</v>
      </c>
      <c r="X475" s="36" t="n">
        <f>22</f>
        <v>22.0</v>
      </c>
    </row>
    <row r="476">
      <c r="A476" s="27" t="s">
        <v>42</v>
      </c>
      <c r="B476" s="27" t="s">
        <v>1472</v>
      </c>
      <c r="C476" s="27" t="s">
        <v>1473</v>
      </c>
      <c r="D476" s="27" t="s">
        <v>1474</v>
      </c>
      <c r="E476" s="28" t="s">
        <v>46</v>
      </c>
      <c r="F476" s="29" t="s">
        <v>46</v>
      </c>
      <c r="G476" s="30" t="s">
        <v>46</v>
      </c>
      <c r="H476" s="31"/>
      <c r="I476" s="31" t="s">
        <v>416</v>
      </c>
      <c r="J476" s="32" t="n">
        <v>10.0</v>
      </c>
      <c r="K476" s="33" t="n">
        <f>505.4</f>
        <v>505.4</v>
      </c>
      <c r="L476" s="34" t="s">
        <v>48</v>
      </c>
      <c r="M476" s="33" t="n">
        <f>505.4</f>
        <v>505.4</v>
      </c>
      <c r="N476" s="34" t="s">
        <v>48</v>
      </c>
      <c r="O476" s="33" t="n">
        <f>501.2</f>
        <v>501.2</v>
      </c>
      <c r="P476" s="34" t="s">
        <v>70</v>
      </c>
      <c r="Q476" s="33" t="n">
        <f>501.7</f>
        <v>501.7</v>
      </c>
      <c r="R476" s="34" t="s">
        <v>51</v>
      </c>
      <c r="S476" s="35" t="n">
        <f>502.92</f>
        <v>502.92</v>
      </c>
      <c r="T476" s="32" t="n">
        <f>107370</f>
        <v>107370.0</v>
      </c>
      <c r="U476" s="32" t="str">
        <f>"－"</f>
        <v>－</v>
      </c>
      <c r="V476" s="32" t="n">
        <f>53965346</f>
        <v>5.3965346E7</v>
      </c>
      <c r="W476" s="32" t="str">
        <f>"－"</f>
        <v>－</v>
      </c>
      <c r="X476" s="36" t="n">
        <f>22</f>
        <v>22.0</v>
      </c>
    </row>
    <row r="477">
      <c r="A477" s="27" t="s">
        <v>42</v>
      </c>
      <c r="B477" s="27" t="s">
        <v>1475</v>
      </c>
      <c r="C477" s="27" t="s">
        <v>1476</v>
      </c>
      <c r="D477" s="27" t="s">
        <v>1477</v>
      </c>
      <c r="E477" s="28" t="s">
        <v>46</v>
      </c>
      <c r="F477" s="29" t="s">
        <v>46</v>
      </c>
      <c r="G477" s="30" t="s">
        <v>46</v>
      </c>
      <c r="H477" s="31"/>
      <c r="I477" s="31" t="s">
        <v>416</v>
      </c>
      <c r="J477" s="32" t="n">
        <v>1.0</v>
      </c>
      <c r="K477" s="33" t="n">
        <f>2100</f>
        <v>2100.0</v>
      </c>
      <c r="L477" s="34" t="s">
        <v>48</v>
      </c>
      <c r="M477" s="33" t="n">
        <f>2630</f>
        <v>2630.0</v>
      </c>
      <c r="N477" s="34" t="s">
        <v>51</v>
      </c>
      <c r="O477" s="33" t="n">
        <f>2055</f>
        <v>2055.0</v>
      </c>
      <c r="P477" s="34" t="s">
        <v>51</v>
      </c>
      <c r="Q477" s="33" t="n">
        <f>2055</f>
        <v>2055.0</v>
      </c>
      <c r="R477" s="34" t="s">
        <v>51</v>
      </c>
      <c r="S477" s="35" t="n">
        <f>2111.53</f>
        <v>2111.53</v>
      </c>
      <c r="T477" s="32" t="n">
        <f>336696</f>
        <v>336696.0</v>
      </c>
      <c r="U477" s="32" t="n">
        <f>336200</f>
        <v>336200.0</v>
      </c>
      <c r="V477" s="32" t="n">
        <f>702509818</f>
        <v>7.02509818E8</v>
      </c>
      <c r="W477" s="32" t="n">
        <f>701431758</f>
        <v>7.01431758E8</v>
      </c>
      <c r="X477" s="36" t="n">
        <f>17</f>
        <v>17.0</v>
      </c>
    </row>
    <row r="478">
      <c r="A478" s="27" t="s">
        <v>42</v>
      </c>
      <c r="B478" s="27" t="s">
        <v>1478</v>
      </c>
      <c r="C478" s="27" t="s">
        <v>1479</v>
      </c>
      <c r="D478" s="27" t="s">
        <v>1480</v>
      </c>
      <c r="E478" s="28" t="s">
        <v>46</v>
      </c>
      <c r="F478" s="29" t="s">
        <v>46</v>
      </c>
      <c r="G478" s="30" t="s">
        <v>46</v>
      </c>
      <c r="H478" s="31"/>
      <c r="I478" s="31" t="s">
        <v>416</v>
      </c>
      <c r="J478" s="32" t="n">
        <v>1.0</v>
      </c>
      <c r="K478" s="33" t="n">
        <f>1907</f>
        <v>1907.0</v>
      </c>
      <c r="L478" s="34" t="s">
        <v>48</v>
      </c>
      <c r="M478" s="33" t="n">
        <f>1940</f>
        <v>1940.0</v>
      </c>
      <c r="N478" s="34" t="s">
        <v>51</v>
      </c>
      <c r="O478" s="33" t="n">
        <f>1880</f>
        <v>1880.0</v>
      </c>
      <c r="P478" s="34" t="s">
        <v>71</v>
      </c>
      <c r="Q478" s="33" t="n">
        <f>1915</f>
        <v>1915.0</v>
      </c>
      <c r="R478" s="34" t="s">
        <v>51</v>
      </c>
      <c r="S478" s="35" t="n">
        <f>1912.45</f>
        <v>1912.45</v>
      </c>
      <c r="T478" s="32" t="n">
        <f>519850</f>
        <v>519850.0</v>
      </c>
      <c r="U478" s="32" t="n">
        <f>517200</f>
        <v>517200.0</v>
      </c>
      <c r="V478" s="32" t="n">
        <f>1001444357</f>
        <v>1.001444357E9</v>
      </c>
      <c r="W478" s="32" t="n">
        <f>996401367</f>
        <v>9.96401367E8</v>
      </c>
      <c r="X478" s="36" t="n">
        <f>20</f>
        <v>20.0</v>
      </c>
    </row>
    <row r="479">
      <c r="A479" s="27" t="s">
        <v>42</v>
      </c>
      <c r="B479" s="27" t="s">
        <v>1481</v>
      </c>
      <c r="C479" s="27" t="s">
        <v>1482</v>
      </c>
      <c r="D479" s="27" t="s">
        <v>1483</v>
      </c>
      <c r="E479" s="28" t="s">
        <v>46</v>
      </c>
      <c r="F479" s="29" t="s">
        <v>46</v>
      </c>
      <c r="G479" s="30" t="s">
        <v>46</v>
      </c>
      <c r="H479" s="31"/>
      <c r="I479" s="31" t="s">
        <v>416</v>
      </c>
      <c r="J479" s="32" t="n">
        <v>1.0</v>
      </c>
      <c r="K479" s="33" t="n">
        <f>1888</f>
        <v>1888.0</v>
      </c>
      <c r="L479" s="34" t="s">
        <v>48</v>
      </c>
      <c r="M479" s="33" t="n">
        <f>2070</f>
        <v>2070.0</v>
      </c>
      <c r="N479" s="34" t="s">
        <v>156</v>
      </c>
      <c r="O479" s="33" t="n">
        <f>1870</f>
        <v>1870.0</v>
      </c>
      <c r="P479" s="34" t="s">
        <v>48</v>
      </c>
      <c r="Q479" s="33" t="n">
        <f>2039</f>
        <v>2039.0</v>
      </c>
      <c r="R479" s="34" t="s">
        <v>51</v>
      </c>
      <c r="S479" s="35" t="n">
        <f>1972.5</f>
        <v>1972.5</v>
      </c>
      <c r="T479" s="32" t="n">
        <f>341055</f>
        <v>341055.0</v>
      </c>
      <c r="U479" s="32" t="str">
        <f>"－"</f>
        <v>－</v>
      </c>
      <c r="V479" s="32" t="n">
        <f>675034274</f>
        <v>6.75034274E8</v>
      </c>
      <c r="W479" s="32" t="str">
        <f>"－"</f>
        <v>－</v>
      </c>
      <c r="X479" s="36" t="n">
        <f>22</f>
        <v>22.0</v>
      </c>
    </row>
    <row r="480">
      <c r="A480" s="27" t="s">
        <v>42</v>
      </c>
      <c r="B480" s="27" t="s">
        <v>1484</v>
      </c>
      <c r="C480" s="27" t="s">
        <v>1485</v>
      </c>
      <c r="D480" s="27" t="s">
        <v>1486</v>
      </c>
      <c r="E480" s="28" t="s">
        <v>46</v>
      </c>
      <c r="F480" s="29" t="s">
        <v>46</v>
      </c>
      <c r="G480" s="30" t="s">
        <v>46</v>
      </c>
      <c r="H480" s="31"/>
      <c r="I480" s="31" t="s">
        <v>47</v>
      </c>
      <c r="J480" s="32" t="n">
        <v>1.0</v>
      </c>
      <c r="K480" s="33" t="n">
        <f>1733</f>
        <v>1733.0</v>
      </c>
      <c r="L480" s="34" t="s">
        <v>48</v>
      </c>
      <c r="M480" s="33" t="n">
        <f>1873</f>
        <v>1873.0</v>
      </c>
      <c r="N480" s="34" t="s">
        <v>58</v>
      </c>
      <c r="O480" s="33" t="n">
        <f>1725</f>
        <v>1725.0</v>
      </c>
      <c r="P480" s="34" t="s">
        <v>48</v>
      </c>
      <c r="Q480" s="33" t="n">
        <f>1793</f>
        <v>1793.0</v>
      </c>
      <c r="R480" s="34" t="s">
        <v>51</v>
      </c>
      <c r="S480" s="35" t="n">
        <f>1808.82</f>
        <v>1808.82</v>
      </c>
      <c r="T480" s="32" t="n">
        <f>1555518</f>
        <v>1555518.0</v>
      </c>
      <c r="U480" s="32" t="n">
        <f>8</f>
        <v>8.0</v>
      </c>
      <c r="V480" s="32" t="n">
        <f>2822017267</f>
        <v>2.822017267E9</v>
      </c>
      <c r="W480" s="32" t="n">
        <f>14293</f>
        <v>14293.0</v>
      </c>
      <c r="X480" s="36" t="n">
        <f>22</f>
        <v>22.0</v>
      </c>
    </row>
    <row r="481">
      <c r="A481" s="27" t="s">
        <v>42</v>
      </c>
      <c r="B481" s="27" t="s">
        <v>1487</v>
      </c>
      <c r="C481" s="27" t="s">
        <v>1488</v>
      </c>
      <c r="D481" s="27" t="s">
        <v>1489</v>
      </c>
      <c r="E481" s="28" t="s">
        <v>46</v>
      </c>
      <c r="F481" s="29" t="s">
        <v>46</v>
      </c>
      <c r="G481" s="30" t="s">
        <v>46</v>
      </c>
      <c r="H481" s="31"/>
      <c r="I481" s="31" t="s">
        <v>416</v>
      </c>
      <c r="J481" s="32" t="n">
        <v>1.0</v>
      </c>
      <c r="K481" s="33" t="n">
        <f>1930</f>
        <v>1930.0</v>
      </c>
      <c r="L481" s="34" t="s">
        <v>48</v>
      </c>
      <c r="M481" s="33" t="n">
        <f>2100</f>
        <v>2100.0</v>
      </c>
      <c r="N481" s="34" t="s">
        <v>49</v>
      </c>
      <c r="O481" s="33" t="n">
        <f>1834</f>
        <v>1834.0</v>
      </c>
      <c r="P481" s="34" t="s">
        <v>214</v>
      </c>
      <c r="Q481" s="33" t="n">
        <f>2070</f>
        <v>2070.0</v>
      </c>
      <c r="R481" s="34" t="s">
        <v>51</v>
      </c>
      <c r="S481" s="35" t="n">
        <f>2006.14</f>
        <v>2006.14</v>
      </c>
      <c r="T481" s="32" t="n">
        <f>36192</f>
        <v>36192.0</v>
      </c>
      <c r="U481" s="32" t="str">
        <f>"－"</f>
        <v>－</v>
      </c>
      <c r="V481" s="32" t="n">
        <f>72434828</f>
        <v>7.2434828E7</v>
      </c>
      <c r="W481" s="32" t="str">
        <f>"－"</f>
        <v>－</v>
      </c>
      <c r="X481" s="36" t="n">
        <f>22</f>
        <v>22.0</v>
      </c>
    </row>
    <row r="482">
      <c r="A482" s="27" t="s">
        <v>42</v>
      </c>
      <c r="B482" s="27" t="s">
        <v>1490</v>
      </c>
      <c r="C482" s="27" t="s">
        <v>1491</v>
      </c>
      <c r="D482" s="27" t="s">
        <v>1492</v>
      </c>
      <c r="E482" s="28" t="s">
        <v>46</v>
      </c>
      <c r="F482" s="29" t="s">
        <v>46</v>
      </c>
      <c r="G482" s="30" t="s">
        <v>46</v>
      </c>
      <c r="H482" s="31"/>
      <c r="I482" s="31" t="s">
        <v>416</v>
      </c>
      <c r="J482" s="32" t="n">
        <v>1.0</v>
      </c>
      <c r="K482" s="33" t="n">
        <f>1836</f>
        <v>1836.0</v>
      </c>
      <c r="L482" s="34" t="s">
        <v>48</v>
      </c>
      <c r="M482" s="33" t="n">
        <f>1989</f>
        <v>1989.0</v>
      </c>
      <c r="N482" s="34" t="s">
        <v>197</v>
      </c>
      <c r="O482" s="33" t="n">
        <f>1831</f>
        <v>1831.0</v>
      </c>
      <c r="P482" s="34" t="s">
        <v>48</v>
      </c>
      <c r="Q482" s="33" t="n">
        <f>1927</f>
        <v>1927.0</v>
      </c>
      <c r="R482" s="34" t="s">
        <v>51</v>
      </c>
      <c r="S482" s="35" t="n">
        <f>1891.5</f>
        <v>1891.5</v>
      </c>
      <c r="T482" s="32" t="n">
        <f>101199</f>
        <v>101199.0</v>
      </c>
      <c r="U482" s="32" t="str">
        <f>"－"</f>
        <v>－</v>
      </c>
      <c r="V482" s="32" t="n">
        <f>191765448</f>
        <v>1.91765448E8</v>
      </c>
      <c r="W482" s="32" t="str">
        <f>"－"</f>
        <v>－</v>
      </c>
      <c r="X482" s="36" t="n">
        <f>22</f>
        <v>22.0</v>
      </c>
    </row>
    <row r="483">
      <c r="A483" s="27" t="s">
        <v>42</v>
      </c>
      <c r="B483" s="27" t="s">
        <v>1493</v>
      </c>
      <c r="C483" s="27" t="s">
        <v>1494</v>
      </c>
      <c r="D483" s="27" t="s">
        <v>1495</v>
      </c>
      <c r="E483" s="28" t="s">
        <v>46</v>
      </c>
      <c r="F483" s="29" t="s">
        <v>46</v>
      </c>
      <c r="G483" s="30" t="s">
        <v>46</v>
      </c>
      <c r="H483" s="31"/>
      <c r="I483" s="31" t="s">
        <v>416</v>
      </c>
      <c r="J483" s="32" t="n">
        <v>1.0</v>
      </c>
      <c r="K483" s="33" t="n">
        <f>2069</f>
        <v>2069.0</v>
      </c>
      <c r="L483" s="34" t="s">
        <v>48</v>
      </c>
      <c r="M483" s="33" t="n">
        <f>2325</f>
        <v>2325.0</v>
      </c>
      <c r="N483" s="34" t="s">
        <v>197</v>
      </c>
      <c r="O483" s="33" t="n">
        <f>1980</f>
        <v>1980.0</v>
      </c>
      <c r="P483" s="34" t="s">
        <v>69</v>
      </c>
      <c r="Q483" s="33" t="n">
        <f>2241</f>
        <v>2241.0</v>
      </c>
      <c r="R483" s="34" t="s">
        <v>51</v>
      </c>
      <c r="S483" s="35" t="n">
        <f>2182.68</f>
        <v>2182.68</v>
      </c>
      <c r="T483" s="32" t="n">
        <f>5272</f>
        <v>5272.0</v>
      </c>
      <c r="U483" s="32" t="str">
        <f>"－"</f>
        <v>－</v>
      </c>
      <c r="V483" s="32" t="n">
        <f>11468638</f>
        <v>1.1468638E7</v>
      </c>
      <c r="W483" s="32" t="str">
        <f>"－"</f>
        <v>－</v>
      </c>
      <c r="X483" s="36" t="n">
        <f>22</f>
        <v>22.0</v>
      </c>
    </row>
    <row r="484">
      <c r="A484" s="27" t="s">
        <v>42</v>
      </c>
      <c r="B484" s="27" t="s">
        <v>1496</v>
      </c>
      <c r="C484" s="27" t="s">
        <v>1497</v>
      </c>
      <c r="D484" s="27" t="s">
        <v>1498</v>
      </c>
      <c r="E484" s="28" t="s">
        <v>46</v>
      </c>
      <c r="F484" s="29" t="s">
        <v>46</v>
      </c>
      <c r="G484" s="30" t="s">
        <v>46</v>
      </c>
      <c r="H484" s="31"/>
      <c r="I484" s="31" t="s">
        <v>416</v>
      </c>
      <c r="J484" s="32" t="n">
        <v>1.0</v>
      </c>
      <c r="K484" s="33" t="n">
        <f>2051</f>
        <v>2051.0</v>
      </c>
      <c r="L484" s="34" t="s">
        <v>48</v>
      </c>
      <c r="M484" s="33" t="n">
        <f>2328</f>
        <v>2328.0</v>
      </c>
      <c r="N484" s="34" t="s">
        <v>197</v>
      </c>
      <c r="O484" s="33" t="n">
        <f>2040</f>
        <v>2040.0</v>
      </c>
      <c r="P484" s="34" t="s">
        <v>69</v>
      </c>
      <c r="Q484" s="33" t="n">
        <f>2259</f>
        <v>2259.0</v>
      </c>
      <c r="R484" s="34" t="s">
        <v>51</v>
      </c>
      <c r="S484" s="35" t="n">
        <f>2183.14</f>
        <v>2183.14</v>
      </c>
      <c r="T484" s="32" t="n">
        <f>115620</f>
        <v>115620.0</v>
      </c>
      <c r="U484" s="32" t="str">
        <f>"－"</f>
        <v>－</v>
      </c>
      <c r="V484" s="32" t="n">
        <f>260128740</f>
        <v>2.6012874E8</v>
      </c>
      <c r="W484" s="32" t="str">
        <f>"－"</f>
        <v>－</v>
      </c>
      <c r="X484" s="36" t="n">
        <f>22</f>
        <v>22.0</v>
      </c>
    </row>
    <row r="485">
      <c r="A485" s="27" t="s">
        <v>42</v>
      </c>
      <c r="B485" s="27" t="s">
        <v>1499</v>
      </c>
      <c r="C485" s="27" t="s">
        <v>1500</v>
      </c>
      <c r="D485" s="27" t="s">
        <v>1501</v>
      </c>
      <c r="E485" s="28" t="s">
        <v>46</v>
      </c>
      <c r="F485" s="29" t="s">
        <v>46</v>
      </c>
      <c r="G485" s="30" t="s">
        <v>46</v>
      </c>
      <c r="H485" s="31"/>
      <c r="I485" s="31" t="s">
        <v>416</v>
      </c>
      <c r="J485" s="32" t="n">
        <v>1.0</v>
      </c>
      <c r="K485" s="33" t="n">
        <f>2634</f>
        <v>2634.0</v>
      </c>
      <c r="L485" s="34" t="s">
        <v>48</v>
      </c>
      <c r="M485" s="33" t="n">
        <f>2634</f>
        <v>2634.0</v>
      </c>
      <c r="N485" s="34" t="s">
        <v>48</v>
      </c>
      <c r="O485" s="33" t="n">
        <f>2251</f>
        <v>2251.0</v>
      </c>
      <c r="P485" s="34" t="s">
        <v>214</v>
      </c>
      <c r="Q485" s="33" t="n">
        <f>2397</f>
        <v>2397.0</v>
      </c>
      <c r="R485" s="34" t="s">
        <v>51</v>
      </c>
      <c r="S485" s="35" t="n">
        <f>2330.65</f>
        <v>2330.65</v>
      </c>
      <c r="T485" s="32" t="n">
        <f>1252</f>
        <v>1252.0</v>
      </c>
      <c r="U485" s="32" t="str">
        <f>"－"</f>
        <v>－</v>
      </c>
      <c r="V485" s="32" t="n">
        <f>2948151</f>
        <v>2948151.0</v>
      </c>
      <c r="W485" s="32" t="str">
        <f>"－"</f>
        <v>－</v>
      </c>
      <c r="X485" s="36" t="n">
        <f>17</f>
        <v>17.0</v>
      </c>
    </row>
    <row r="486">
      <c r="A486" s="27" t="s">
        <v>42</v>
      </c>
      <c r="B486" s="27" t="s">
        <v>1502</v>
      </c>
      <c r="C486" s="27" t="s">
        <v>1503</v>
      </c>
      <c r="D486" s="27" t="s">
        <v>1504</v>
      </c>
      <c r="E486" s="28" t="s">
        <v>46</v>
      </c>
      <c r="F486" s="29" t="s">
        <v>46</v>
      </c>
      <c r="G486" s="30" t="s">
        <v>46</v>
      </c>
      <c r="H486" s="31"/>
      <c r="I486" s="31" t="s">
        <v>416</v>
      </c>
      <c r="J486" s="32" t="n">
        <v>1.0</v>
      </c>
      <c r="K486" s="33" t="n">
        <f>2585</f>
        <v>2585.0</v>
      </c>
      <c r="L486" s="34" t="s">
        <v>48</v>
      </c>
      <c r="M486" s="33" t="n">
        <f>2585</f>
        <v>2585.0</v>
      </c>
      <c r="N486" s="34" t="s">
        <v>48</v>
      </c>
      <c r="O486" s="33" t="n">
        <f>2289</f>
        <v>2289.0</v>
      </c>
      <c r="P486" s="34" t="s">
        <v>197</v>
      </c>
      <c r="Q486" s="33" t="n">
        <f>2374</f>
        <v>2374.0</v>
      </c>
      <c r="R486" s="34" t="s">
        <v>51</v>
      </c>
      <c r="S486" s="35" t="n">
        <f>2446.62</f>
        <v>2446.62</v>
      </c>
      <c r="T486" s="32" t="n">
        <f>3311</f>
        <v>3311.0</v>
      </c>
      <c r="U486" s="32" t="str">
        <f>"－"</f>
        <v>－</v>
      </c>
      <c r="V486" s="32" t="n">
        <f>7998051</f>
        <v>7998051.0</v>
      </c>
      <c r="W486" s="32" t="str">
        <f>"－"</f>
        <v>－</v>
      </c>
      <c r="X486" s="36" t="n">
        <f>21</f>
        <v>21.0</v>
      </c>
    </row>
    <row r="487">
      <c r="A487" s="27" t="s">
        <v>42</v>
      </c>
      <c r="B487" s="27" t="s">
        <v>1505</v>
      </c>
      <c r="C487" s="27" t="s">
        <v>1506</v>
      </c>
      <c r="D487" s="27" t="s">
        <v>1507</v>
      </c>
      <c r="E487" s="28" t="s">
        <v>46</v>
      </c>
      <c r="F487" s="29" t="s">
        <v>46</v>
      </c>
      <c r="G487" s="30" t="s">
        <v>46</v>
      </c>
      <c r="H487" s="31"/>
      <c r="I487" s="31" t="s">
        <v>416</v>
      </c>
      <c r="J487" s="32" t="n">
        <v>1.0</v>
      </c>
      <c r="K487" s="33" t="n">
        <f>2210</f>
        <v>2210.0</v>
      </c>
      <c r="L487" s="34" t="s">
        <v>48</v>
      </c>
      <c r="M487" s="33" t="n">
        <f>2300</f>
        <v>2300.0</v>
      </c>
      <c r="N487" s="34" t="s">
        <v>661</v>
      </c>
      <c r="O487" s="33" t="n">
        <f>2050</f>
        <v>2050.0</v>
      </c>
      <c r="P487" s="34" t="s">
        <v>48</v>
      </c>
      <c r="Q487" s="33" t="n">
        <f>2199</f>
        <v>2199.0</v>
      </c>
      <c r="R487" s="34" t="s">
        <v>51</v>
      </c>
      <c r="S487" s="35" t="n">
        <f>2163.38</f>
        <v>2163.38</v>
      </c>
      <c r="T487" s="32" t="n">
        <f>338</f>
        <v>338.0</v>
      </c>
      <c r="U487" s="32" t="str">
        <f>"－"</f>
        <v>－</v>
      </c>
      <c r="V487" s="32" t="n">
        <f>739225</f>
        <v>739225.0</v>
      </c>
      <c r="W487" s="32" t="str">
        <f>"－"</f>
        <v>－</v>
      </c>
      <c r="X487" s="36" t="n">
        <f>16</f>
        <v>16.0</v>
      </c>
    </row>
    <row r="488">
      <c r="A488" s="27" t="s">
        <v>42</v>
      </c>
      <c r="B488" s="27" t="s">
        <v>1508</v>
      </c>
      <c r="C488" s="27" t="s">
        <v>1509</v>
      </c>
      <c r="D488" s="27" t="s">
        <v>1510</v>
      </c>
      <c r="E488" s="28" t="s">
        <v>46</v>
      </c>
      <c r="F488" s="29" t="s">
        <v>46</v>
      </c>
      <c r="G488" s="30" t="s">
        <v>46</v>
      </c>
      <c r="H488" s="31"/>
      <c r="I488" s="31" t="s">
        <v>416</v>
      </c>
      <c r="J488" s="32" t="n">
        <v>1.0</v>
      </c>
      <c r="K488" s="33" t="n">
        <f>2254</f>
        <v>2254.0</v>
      </c>
      <c r="L488" s="34" t="s">
        <v>48</v>
      </c>
      <c r="M488" s="33" t="n">
        <f>2388</f>
        <v>2388.0</v>
      </c>
      <c r="N488" s="34" t="s">
        <v>661</v>
      </c>
      <c r="O488" s="33" t="n">
        <f>2188</f>
        <v>2188.0</v>
      </c>
      <c r="P488" s="34" t="s">
        <v>661</v>
      </c>
      <c r="Q488" s="33" t="n">
        <f>2335</f>
        <v>2335.0</v>
      </c>
      <c r="R488" s="34" t="s">
        <v>51</v>
      </c>
      <c r="S488" s="35" t="n">
        <f>2297.06</f>
        <v>2297.06</v>
      </c>
      <c r="T488" s="32" t="n">
        <f>1826</f>
        <v>1826.0</v>
      </c>
      <c r="U488" s="32" t="str">
        <f>"－"</f>
        <v>－</v>
      </c>
      <c r="V488" s="32" t="n">
        <f>4148023</f>
        <v>4148023.0</v>
      </c>
      <c r="W488" s="32" t="str">
        <f>"－"</f>
        <v>－</v>
      </c>
      <c r="X488" s="36" t="n">
        <f>16</f>
        <v>16.0</v>
      </c>
    </row>
    <row r="489">
      <c r="A489" s="27" t="s">
        <v>42</v>
      </c>
      <c r="B489" s="27" t="s">
        <v>1511</v>
      </c>
      <c r="C489" s="27" t="s">
        <v>1512</v>
      </c>
      <c r="D489" s="27" t="s">
        <v>1513</v>
      </c>
      <c r="E489" s="28" t="s">
        <v>46</v>
      </c>
      <c r="F489" s="29" t="s">
        <v>46</v>
      </c>
      <c r="G489" s="30" t="s">
        <v>46</v>
      </c>
      <c r="H489" s="31"/>
      <c r="I489" s="31" t="s">
        <v>416</v>
      </c>
      <c r="J489" s="32" t="n">
        <v>1.0</v>
      </c>
      <c r="K489" s="33" t="n">
        <f>1150</f>
        <v>1150.0</v>
      </c>
      <c r="L489" s="34" t="s">
        <v>48</v>
      </c>
      <c r="M489" s="33" t="n">
        <f>1306</f>
        <v>1306.0</v>
      </c>
      <c r="N489" s="34" t="s">
        <v>207</v>
      </c>
      <c r="O489" s="33" t="n">
        <f>1117</f>
        <v>1117.0</v>
      </c>
      <c r="P489" s="34" t="s">
        <v>661</v>
      </c>
      <c r="Q489" s="33" t="n">
        <f>1155</f>
        <v>1155.0</v>
      </c>
      <c r="R489" s="34" t="s">
        <v>51</v>
      </c>
      <c r="S489" s="35" t="n">
        <f>1160.09</f>
        <v>1160.09</v>
      </c>
      <c r="T489" s="32" t="n">
        <f>6516</f>
        <v>6516.0</v>
      </c>
      <c r="U489" s="32" t="str">
        <f>"－"</f>
        <v>－</v>
      </c>
      <c r="V489" s="32" t="n">
        <f>7640133</f>
        <v>7640133.0</v>
      </c>
      <c r="W489" s="32" t="str">
        <f>"－"</f>
        <v>－</v>
      </c>
      <c r="X489" s="36" t="n">
        <f>22</f>
        <v>22.0</v>
      </c>
    </row>
    <row r="490">
      <c r="A490" s="27" t="s">
        <v>42</v>
      </c>
      <c r="B490" s="27" t="s">
        <v>1514</v>
      </c>
      <c r="C490" s="27" t="s">
        <v>1515</v>
      </c>
      <c r="D490" s="27" t="s">
        <v>1516</v>
      </c>
      <c r="E490" s="28" t="s">
        <v>46</v>
      </c>
      <c r="F490" s="29" t="s">
        <v>46</v>
      </c>
      <c r="G490" s="30" t="s">
        <v>46</v>
      </c>
      <c r="H490" s="31"/>
      <c r="I490" s="31" t="s">
        <v>416</v>
      </c>
      <c r="J490" s="32" t="n">
        <v>1.0</v>
      </c>
      <c r="K490" s="33" t="n">
        <f>4938</f>
        <v>4938.0</v>
      </c>
      <c r="L490" s="34" t="s">
        <v>49</v>
      </c>
      <c r="M490" s="33" t="n">
        <f>5100</f>
        <v>5100.0</v>
      </c>
      <c r="N490" s="34" t="s">
        <v>70</v>
      </c>
      <c r="O490" s="33" t="n">
        <f>4938</f>
        <v>4938.0</v>
      </c>
      <c r="P490" s="34" t="s">
        <v>49</v>
      </c>
      <c r="Q490" s="33" t="n">
        <f>4943</f>
        <v>4943.0</v>
      </c>
      <c r="R490" s="34" t="s">
        <v>51</v>
      </c>
      <c r="S490" s="35" t="n">
        <f>5000.36</f>
        <v>5000.36</v>
      </c>
      <c r="T490" s="32" t="n">
        <f>46</f>
        <v>46.0</v>
      </c>
      <c r="U490" s="32" t="str">
        <f>"－"</f>
        <v>－</v>
      </c>
      <c r="V490" s="32" t="n">
        <f>230470</f>
        <v>230470.0</v>
      </c>
      <c r="W490" s="32" t="str">
        <f>"－"</f>
        <v>－</v>
      </c>
      <c r="X490" s="36" t="n">
        <f>11</f>
        <v>11.0</v>
      </c>
    </row>
    <row r="491">
      <c r="A491" s="27" t="s">
        <v>42</v>
      </c>
      <c r="B491" s="27" t="s">
        <v>1517</v>
      </c>
      <c r="C491" s="27" t="s">
        <v>1518</v>
      </c>
      <c r="D491" s="27" t="s">
        <v>1519</v>
      </c>
      <c r="E491" s="28" t="s">
        <v>46</v>
      </c>
      <c r="F491" s="29" t="s">
        <v>46</v>
      </c>
      <c r="G491" s="30" t="s">
        <v>46</v>
      </c>
      <c r="H491" s="31"/>
      <c r="I491" s="31" t="s">
        <v>416</v>
      </c>
      <c r="J491" s="32" t="n">
        <v>1.0</v>
      </c>
      <c r="K491" s="33" t="n">
        <f>5159</f>
        <v>5159.0</v>
      </c>
      <c r="L491" s="34" t="s">
        <v>48</v>
      </c>
      <c r="M491" s="33" t="n">
        <f>5159</f>
        <v>5159.0</v>
      </c>
      <c r="N491" s="34" t="s">
        <v>48</v>
      </c>
      <c r="O491" s="33" t="n">
        <f>4975</f>
        <v>4975.0</v>
      </c>
      <c r="P491" s="34" t="s">
        <v>51</v>
      </c>
      <c r="Q491" s="33" t="n">
        <f>4981</f>
        <v>4981.0</v>
      </c>
      <c r="R491" s="34" t="s">
        <v>51</v>
      </c>
      <c r="S491" s="35" t="n">
        <f>5049.79</f>
        <v>5049.79</v>
      </c>
      <c r="T491" s="32" t="n">
        <f>7765</f>
        <v>7765.0</v>
      </c>
      <c r="U491" s="32" t="str">
        <f>"－"</f>
        <v>－</v>
      </c>
      <c r="V491" s="32" t="n">
        <f>39048406</f>
        <v>3.9048406E7</v>
      </c>
      <c r="W491" s="32" t="str">
        <f>"－"</f>
        <v>－</v>
      </c>
      <c r="X491" s="36" t="n">
        <f>19</f>
        <v>19.0</v>
      </c>
    </row>
    <row r="492">
      <c r="A492" s="27" t="s">
        <v>42</v>
      </c>
      <c r="B492" s="27" t="s">
        <v>1520</v>
      </c>
      <c r="C492" s="27" t="s">
        <v>1521</v>
      </c>
      <c r="D492" s="27" t="s">
        <v>1522</v>
      </c>
      <c r="E492" s="28" t="s">
        <v>46</v>
      </c>
      <c r="F492" s="29" t="s">
        <v>46</v>
      </c>
      <c r="G492" s="30" t="s">
        <v>46</v>
      </c>
      <c r="H492" s="31"/>
      <c r="I492" s="31" t="s">
        <v>416</v>
      </c>
      <c r="J492" s="32" t="n">
        <v>1.0</v>
      </c>
      <c r="K492" s="33" t="n">
        <f>1918</f>
        <v>1918.0</v>
      </c>
      <c r="L492" s="34" t="s">
        <v>48</v>
      </c>
      <c r="M492" s="33" t="n">
        <f>2158</f>
        <v>2158.0</v>
      </c>
      <c r="N492" s="34" t="s">
        <v>156</v>
      </c>
      <c r="O492" s="33" t="n">
        <f>1867</f>
        <v>1867.0</v>
      </c>
      <c r="P492" s="34" t="s">
        <v>48</v>
      </c>
      <c r="Q492" s="33" t="n">
        <f>2020</f>
        <v>2020.0</v>
      </c>
      <c r="R492" s="34" t="s">
        <v>51</v>
      </c>
      <c r="S492" s="35" t="n">
        <f>2035.18</f>
        <v>2035.18</v>
      </c>
      <c r="T492" s="32" t="n">
        <f>2142422</f>
        <v>2142422.0</v>
      </c>
      <c r="U492" s="32" t="n">
        <f>149300</f>
        <v>149300.0</v>
      </c>
      <c r="V492" s="32" t="n">
        <f>4344563959</f>
        <v>4.344563959E9</v>
      </c>
      <c r="W492" s="32" t="n">
        <f>303809564</f>
        <v>3.03809564E8</v>
      </c>
      <c r="X492" s="36" t="n">
        <f>22</f>
        <v>22.0</v>
      </c>
    </row>
    <row r="493">
      <c r="A493" s="27" t="s">
        <v>42</v>
      </c>
      <c r="B493" s="27" t="s">
        <v>1523</v>
      </c>
      <c r="C493" s="27" t="s">
        <v>1524</v>
      </c>
      <c r="D493" s="27" t="s">
        <v>1525</v>
      </c>
      <c r="E493" s="28" t="s">
        <v>46</v>
      </c>
      <c r="F493" s="29" t="s">
        <v>46</v>
      </c>
      <c r="G493" s="30" t="s">
        <v>46</v>
      </c>
      <c r="H493" s="31"/>
      <c r="I493" s="31" t="s">
        <v>416</v>
      </c>
      <c r="J493" s="32" t="n">
        <v>10.0</v>
      </c>
      <c r="K493" s="33" t="n">
        <f>1195.5</f>
        <v>1195.5</v>
      </c>
      <c r="L493" s="34" t="s">
        <v>48</v>
      </c>
      <c r="M493" s="33" t="n">
        <f>1195.5</f>
        <v>1195.5</v>
      </c>
      <c r="N493" s="34" t="s">
        <v>48</v>
      </c>
      <c r="O493" s="33" t="n">
        <f>1061</f>
        <v>1061.0</v>
      </c>
      <c r="P493" s="34" t="s">
        <v>50</v>
      </c>
      <c r="Q493" s="33" t="n">
        <f>1094</f>
        <v>1094.0</v>
      </c>
      <c r="R493" s="34" t="s">
        <v>51</v>
      </c>
      <c r="S493" s="35" t="n">
        <f>1085.41</f>
        <v>1085.41</v>
      </c>
      <c r="T493" s="32" t="n">
        <f>119260</f>
        <v>119260.0</v>
      </c>
      <c r="U493" s="32" t="str">
        <f>"－"</f>
        <v>－</v>
      </c>
      <c r="V493" s="32" t="n">
        <f>130158815</f>
        <v>1.30158815E8</v>
      </c>
      <c r="W493" s="32" t="str">
        <f>"－"</f>
        <v>－</v>
      </c>
      <c r="X493" s="36" t="n">
        <f>22</f>
        <v>22.0</v>
      </c>
    </row>
    <row r="494">
      <c r="A494" s="27" t="s">
        <v>42</v>
      </c>
      <c r="B494" s="27" t="s">
        <v>1526</v>
      </c>
      <c r="C494" s="27" t="s">
        <v>1527</v>
      </c>
      <c r="D494" s="27" t="s">
        <v>1528</v>
      </c>
      <c r="E494" s="28" t="s">
        <v>46</v>
      </c>
      <c r="F494" s="29" t="s">
        <v>46</v>
      </c>
      <c r="G494" s="30" t="s">
        <v>46</v>
      </c>
      <c r="H494" s="31"/>
      <c r="I494" s="31" t="s">
        <v>416</v>
      </c>
      <c r="J494" s="32" t="n">
        <v>1.0</v>
      </c>
      <c r="K494" s="33" t="n">
        <f>2759</f>
        <v>2759.0</v>
      </c>
      <c r="L494" s="34" t="s">
        <v>48</v>
      </c>
      <c r="M494" s="33" t="n">
        <f>2796</f>
        <v>2796.0</v>
      </c>
      <c r="N494" s="34" t="s">
        <v>48</v>
      </c>
      <c r="O494" s="33" t="n">
        <f>2294</f>
        <v>2294.0</v>
      </c>
      <c r="P494" s="34" t="s">
        <v>51</v>
      </c>
      <c r="Q494" s="33" t="n">
        <f>2454</f>
        <v>2454.0</v>
      </c>
      <c r="R494" s="34" t="s">
        <v>51</v>
      </c>
      <c r="S494" s="35" t="n">
        <f>2513.91</f>
        <v>2513.91</v>
      </c>
      <c r="T494" s="32" t="n">
        <f>172967</f>
        <v>172967.0</v>
      </c>
      <c r="U494" s="32" t="str">
        <f>"－"</f>
        <v>－</v>
      </c>
      <c r="V494" s="32" t="n">
        <f>436287017</f>
        <v>4.36287017E8</v>
      </c>
      <c r="W494" s="32" t="str">
        <f>"－"</f>
        <v>－</v>
      </c>
      <c r="X494" s="36" t="n">
        <f>22</f>
        <v>22.0</v>
      </c>
    </row>
    <row r="495">
      <c r="A495" s="27" t="s">
        <v>42</v>
      </c>
      <c r="B495" s="27" t="s">
        <v>1529</v>
      </c>
      <c r="C495" s="27" t="s">
        <v>1530</v>
      </c>
      <c r="D495" s="27" t="s">
        <v>1531</v>
      </c>
      <c r="E495" s="28" t="s">
        <v>46</v>
      </c>
      <c r="F495" s="29" t="s">
        <v>46</v>
      </c>
      <c r="G495" s="30" t="s">
        <v>46</v>
      </c>
      <c r="H495" s="31"/>
      <c r="I495" s="31" t="s">
        <v>47</v>
      </c>
      <c r="J495" s="32" t="n">
        <v>1.0</v>
      </c>
      <c r="K495" s="33" t="n">
        <f>1131</f>
        <v>1131.0</v>
      </c>
      <c r="L495" s="34" t="s">
        <v>48</v>
      </c>
      <c r="M495" s="33" t="n">
        <f>1135</f>
        <v>1135.0</v>
      </c>
      <c r="N495" s="34" t="s">
        <v>48</v>
      </c>
      <c r="O495" s="33" t="n">
        <f>1015</f>
        <v>1015.0</v>
      </c>
      <c r="P495" s="34" t="s">
        <v>197</v>
      </c>
      <c r="Q495" s="33" t="n">
        <f>1039</f>
        <v>1039.0</v>
      </c>
      <c r="R495" s="34" t="s">
        <v>51</v>
      </c>
      <c r="S495" s="35" t="n">
        <f>1079.32</f>
        <v>1079.32</v>
      </c>
      <c r="T495" s="32" t="n">
        <f>37368995</f>
        <v>3.7368995E7</v>
      </c>
      <c r="U495" s="32" t="n">
        <f>1243261</f>
        <v>1243261.0</v>
      </c>
      <c r="V495" s="32" t="n">
        <f>39955683685</f>
        <v>3.9955683685E10</v>
      </c>
      <c r="W495" s="32" t="n">
        <f>1281286911</f>
        <v>1.281286911E9</v>
      </c>
      <c r="X495" s="36" t="n">
        <f>22</f>
        <v>22.0</v>
      </c>
    </row>
    <row r="496">
      <c r="A496" s="27" t="s">
        <v>42</v>
      </c>
      <c r="B496" s="27" t="s">
        <v>1532</v>
      </c>
      <c r="C496" s="27" t="s">
        <v>1533</v>
      </c>
      <c r="D496" s="27" t="s">
        <v>1534</v>
      </c>
      <c r="E496" s="28" t="s">
        <v>46</v>
      </c>
      <c r="F496" s="29" t="s">
        <v>46</v>
      </c>
      <c r="G496" s="30" t="s">
        <v>46</v>
      </c>
      <c r="H496" s="31"/>
      <c r="I496" s="31" t="s">
        <v>416</v>
      </c>
      <c r="J496" s="32" t="n">
        <v>1.0</v>
      </c>
      <c r="K496" s="33" t="n">
        <f>1081</f>
        <v>1081.0</v>
      </c>
      <c r="L496" s="34" t="s">
        <v>48</v>
      </c>
      <c r="M496" s="33" t="n">
        <f>1223</f>
        <v>1223.0</v>
      </c>
      <c r="N496" s="34" t="s">
        <v>58</v>
      </c>
      <c r="O496" s="33" t="n">
        <f>1061</f>
        <v>1061.0</v>
      </c>
      <c r="P496" s="34" t="s">
        <v>49</v>
      </c>
      <c r="Q496" s="33" t="n">
        <f>1089</f>
        <v>1089.0</v>
      </c>
      <c r="R496" s="34" t="s">
        <v>51</v>
      </c>
      <c r="S496" s="35" t="n">
        <f>1100.05</f>
        <v>1100.05</v>
      </c>
      <c r="T496" s="32" t="n">
        <f>16710</f>
        <v>16710.0</v>
      </c>
      <c r="U496" s="32" t="str">
        <f>"－"</f>
        <v>－</v>
      </c>
      <c r="V496" s="32" t="n">
        <f>18446647</f>
        <v>1.8446647E7</v>
      </c>
      <c r="W496" s="32" t="str">
        <f>"－"</f>
        <v>－</v>
      </c>
      <c r="X496" s="36" t="n">
        <f>22</f>
        <v>22.0</v>
      </c>
    </row>
    <row r="497">
      <c r="A497" s="27" t="s">
        <v>42</v>
      </c>
      <c r="B497" s="27" t="s">
        <v>1535</v>
      </c>
      <c r="C497" s="27" t="s">
        <v>1536</v>
      </c>
      <c r="D497" s="27" t="s">
        <v>1537</v>
      </c>
      <c r="E497" s="28" t="s">
        <v>46</v>
      </c>
      <c r="F497" s="29" t="s">
        <v>46</v>
      </c>
      <c r="G497" s="30" t="s">
        <v>46</v>
      </c>
      <c r="H497" s="31"/>
      <c r="I497" s="31" t="s">
        <v>416</v>
      </c>
      <c r="J497" s="32" t="n">
        <v>1.0</v>
      </c>
      <c r="K497" s="33" t="n">
        <f>2120</f>
        <v>2120.0</v>
      </c>
      <c r="L497" s="34" t="s">
        <v>48</v>
      </c>
      <c r="M497" s="33" t="n">
        <f>2303</f>
        <v>2303.0</v>
      </c>
      <c r="N497" s="34" t="s">
        <v>100</v>
      </c>
      <c r="O497" s="33" t="n">
        <f>2101</f>
        <v>2101.0</v>
      </c>
      <c r="P497" s="34" t="s">
        <v>48</v>
      </c>
      <c r="Q497" s="33" t="n">
        <f>2254</f>
        <v>2254.0</v>
      </c>
      <c r="R497" s="34" t="s">
        <v>51</v>
      </c>
      <c r="S497" s="35" t="n">
        <f>2185.82</f>
        <v>2185.82</v>
      </c>
      <c r="T497" s="32" t="n">
        <f>163801</f>
        <v>163801.0</v>
      </c>
      <c r="U497" s="32" t="str">
        <f>"－"</f>
        <v>－</v>
      </c>
      <c r="V497" s="32" t="n">
        <f>357467735</f>
        <v>3.57467735E8</v>
      </c>
      <c r="W497" s="32" t="str">
        <f>"－"</f>
        <v>－</v>
      </c>
      <c r="X497" s="36" t="n">
        <f>22</f>
        <v>22.0</v>
      </c>
    </row>
    <row r="498">
      <c r="A498" s="27" t="s">
        <v>42</v>
      </c>
      <c r="B498" s="27" t="s">
        <v>1538</v>
      </c>
      <c r="C498" s="27" t="s">
        <v>1539</v>
      </c>
      <c r="D498" s="27" t="s">
        <v>1540</v>
      </c>
      <c r="E498" s="28" t="s">
        <v>46</v>
      </c>
      <c r="F498" s="29" t="s">
        <v>46</v>
      </c>
      <c r="G498" s="30" t="s">
        <v>46</v>
      </c>
      <c r="H498" s="31"/>
      <c r="I498" s="31" t="s">
        <v>416</v>
      </c>
      <c r="J498" s="32" t="n">
        <v>10.0</v>
      </c>
      <c r="K498" s="33" t="n">
        <f>155.6</f>
        <v>155.6</v>
      </c>
      <c r="L498" s="34" t="s">
        <v>48</v>
      </c>
      <c r="M498" s="33" t="n">
        <f>169.5</f>
        <v>169.5</v>
      </c>
      <c r="N498" s="34" t="s">
        <v>58</v>
      </c>
      <c r="O498" s="33" t="n">
        <f>146.7</f>
        <v>146.7</v>
      </c>
      <c r="P498" s="34" t="s">
        <v>50</v>
      </c>
      <c r="Q498" s="33" t="n">
        <f>154.4</f>
        <v>154.4</v>
      </c>
      <c r="R498" s="34" t="s">
        <v>51</v>
      </c>
      <c r="S498" s="35" t="n">
        <f>157.54</f>
        <v>157.54</v>
      </c>
      <c r="T498" s="32" t="n">
        <f>3063820</f>
        <v>3063820.0</v>
      </c>
      <c r="U498" s="32" t="str">
        <f>"－"</f>
        <v>－</v>
      </c>
      <c r="V498" s="32" t="n">
        <f>486047076</f>
        <v>4.86047076E8</v>
      </c>
      <c r="W498" s="32" t="str">
        <f>"－"</f>
        <v>－</v>
      </c>
      <c r="X498" s="36" t="n">
        <f>22</f>
        <v>22.0</v>
      </c>
    </row>
    <row r="499">
      <c r="A499" s="27" t="s">
        <v>42</v>
      </c>
      <c r="B499" s="27" t="s">
        <v>1541</v>
      </c>
      <c r="C499" s="27" t="s">
        <v>1542</v>
      </c>
      <c r="D499" s="27" t="s">
        <v>1543</v>
      </c>
      <c r="E499" s="28" t="s">
        <v>46</v>
      </c>
      <c r="F499" s="29" t="s">
        <v>46</v>
      </c>
      <c r="G499" s="30" t="s">
        <v>46</v>
      </c>
      <c r="H499" s="31"/>
      <c r="I499" s="31" t="s">
        <v>416</v>
      </c>
      <c r="J499" s="32" t="n">
        <v>10.0</v>
      </c>
      <c r="K499" s="33" t="n">
        <f>159.1</f>
        <v>159.1</v>
      </c>
      <c r="L499" s="34" t="s">
        <v>48</v>
      </c>
      <c r="M499" s="33" t="n">
        <f>172</f>
        <v>172.0</v>
      </c>
      <c r="N499" s="34" t="s">
        <v>474</v>
      </c>
      <c r="O499" s="33" t="n">
        <f>158</f>
        <v>158.0</v>
      </c>
      <c r="P499" s="34" t="s">
        <v>48</v>
      </c>
      <c r="Q499" s="33" t="n">
        <f>166</f>
        <v>166.0</v>
      </c>
      <c r="R499" s="34" t="s">
        <v>51</v>
      </c>
      <c r="S499" s="35" t="n">
        <f>166.15</f>
        <v>166.15</v>
      </c>
      <c r="T499" s="32" t="n">
        <f>638030</f>
        <v>638030.0</v>
      </c>
      <c r="U499" s="32" t="str">
        <f>"－"</f>
        <v>－</v>
      </c>
      <c r="V499" s="32" t="n">
        <f>106263524</f>
        <v>1.06263524E8</v>
      </c>
      <c r="W499" s="32" t="str">
        <f>"－"</f>
        <v>－</v>
      </c>
      <c r="X499" s="36" t="n">
        <f>22</f>
        <v>22.0</v>
      </c>
    </row>
    <row r="500">
      <c r="A500" s="27" t="s">
        <v>42</v>
      </c>
      <c r="B500" s="27" t="s">
        <v>1544</v>
      </c>
      <c r="C500" s="27" t="s">
        <v>1545</v>
      </c>
      <c r="D500" s="27" t="s">
        <v>1546</v>
      </c>
      <c r="E500" s="28" t="s">
        <v>46</v>
      </c>
      <c r="F500" s="29" t="s">
        <v>46</v>
      </c>
      <c r="G500" s="30" t="s">
        <v>46</v>
      </c>
      <c r="H500" s="31"/>
      <c r="I500" s="31" t="s">
        <v>416</v>
      </c>
      <c r="J500" s="32" t="n">
        <v>10.0</v>
      </c>
      <c r="K500" s="33" t="n">
        <f>901.5</f>
        <v>901.5</v>
      </c>
      <c r="L500" s="34" t="s">
        <v>48</v>
      </c>
      <c r="M500" s="33" t="n">
        <f>901.9</f>
        <v>901.9</v>
      </c>
      <c r="N500" s="34" t="s">
        <v>51</v>
      </c>
      <c r="O500" s="33" t="n">
        <f>899.6</f>
        <v>899.6</v>
      </c>
      <c r="P500" s="34" t="s">
        <v>224</v>
      </c>
      <c r="Q500" s="33" t="n">
        <f>901.9</f>
        <v>901.9</v>
      </c>
      <c r="R500" s="34" t="s">
        <v>51</v>
      </c>
      <c r="S500" s="35" t="n">
        <f>901.09</f>
        <v>901.09</v>
      </c>
      <c r="T500" s="32" t="n">
        <f>70840</f>
        <v>70840.0</v>
      </c>
      <c r="U500" s="32" t="str">
        <f>"－"</f>
        <v>－</v>
      </c>
      <c r="V500" s="32" t="n">
        <f>63812672</f>
        <v>6.3812672E7</v>
      </c>
      <c r="W500" s="32" t="str">
        <f>"－"</f>
        <v>－</v>
      </c>
      <c r="X500" s="36" t="n">
        <f>22</f>
        <v>22.0</v>
      </c>
    </row>
    <row r="501">
      <c r="A501" s="27" t="s">
        <v>42</v>
      </c>
      <c r="B501" s="27" t="s">
        <v>1547</v>
      </c>
      <c r="C501" s="27" t="s">
        <v>1548</v>
      </c>
      <c r="D501" s="27" t="s">
        <v>1549</v>
      </c>
      <c r="E501" s="28" t="s">
        <v>46</v>
      </c>
      <c r="F501" s="29" t="s">
        <v>46</v>
      </c>
      <c r="G501" s="30" t="s">
        <v>46</v>
      </c>
      <c r="H501" s="31"/>
      <c r="I501" s="31" t="s">
        <v>416</v>
      </c>
      <c r="J501" s="32" t="n">
        <v>10.0</v>
      </c>
      <c r="K501" s="33" t="n">
        <f>502.5</f>
        <v>502.5</v>
      </c>
      <c r="L501" s="34" t="s">
        <v>48</v>
      </c>
      <c r="M501" s="33" t="n">
        <f>511.2</f>
        <v>511.2</v>
      </c>
      <c r="N501" s="34" t="s">
        <v>207</v>
      </c>
      <c r="O501" s="33" t="n">
        <f>499.6</f>
        <v>499.6</v>
      </c>
      <c r="P501" s="34" t="s">
        <v>100</v>
      </c>
      <c r="Q501" s="33" t="n">
        <f>501.1</f>
        <v>501.1</v>
      </c>
      <c r="R501" s="34" t="s">
        <v>51</v>
      </c>
      <c r="S501" s="35" t="n">
        <f>501.38</f>
        <v>501.38</v>
      </c>
      <c r="T501" s="32" t="n">
        <f>6030</f>
        <v>6030.0</v>
      </c>
      <c r="U501" s="32" t="str">
        <f>"－"</f>
        <v>－</v>
      </c>
      <c r="V501" s="32" t="n">
        <f>3024694</f>
        <v>3024694.0</v>
      </c>
      <c r="W501" s="32" t="str">
        <f>"－"</f>
        <v>－</v>
      </c>
      <c r="X501" s="36" t="n">
        <f>20</f>
        <v>20.0</v>
      </c>
    </row>
    <row r="502">
      <c r="A502" s="27" t="s">
        <v>42</v>
      </c>
      <c r="B502" s="27" t="s">
        <v>1550</v>
      </c>
      <c r="C502" s="27" t="s">
        <v>1551</v>
      </c>
      <c r="D502" s="27" t="s">
        <v>1552</v>
      </c>
      <c r="E502" s="28" t="s">
        <v>46</v>
      </c>
      <c r="F502" s="29" t="s">
        <v>46</v>
      </c>
      <c r="G502" s="30" t="s">
        <v>46</v>
      </c>
      <c r="H502" s="31"/>
      <c r="I502" s="31" t="s">
        <v>416</v>
      </c>
      <c r="J502" s="32" t="n">
        <v>10.0</v>
      </c>
      <c r="K502" s="33" t="n">
        <f>503.1</f>
        <v>503.1</v>
      </c>
      <c r="L502" s="34" t="s">
        <v>48</v>
      </c>
      <c r="M502" s="33" t="n">
        <f>513.1</f>
        <v>513.1</v>
      </c>
      <c r="N502" s="34" t="s">
        <v>69</v>
      </c>
      <c r="O502" s="33" t="n">
        <f>501.5</f>
        <v>501.5</v>
      </c>
      <c r="P502" s="34" t="s">
        <v>224</v>
      </c>
      <c r="Q502" s="33" t="n">
        <f>502.1</f>
        <v>502.1</v>
      </c>
      <c r="R502" s="34" t="s">
        <v>51</v>
      </c>
      <c r="S502" s="35" t="n">
        <f>502.71</f>
        <v>502.71</v>
      </c>
      <c r="T502" s="32" t="n">
        <f>1310</f>
        <v>1310.0</v>
      </c>
      <c r="U502" s="32" t="str">
        <f>"－"</f>
        <v>－</v>
      </c>
      <c r="V502" s="32" t="n">
        <f>661429</f>
        <v>661429.0</v>
      </c>
      <c r="W502" s="32" t="str">
        <f>"－"</f>
        <v>－</v>
      </c>
      <c r="X502" s="36" t="n">
        <f>20</f>
        <v>20.0</v>
      </c>
    </row>
    <row r="503">
      <c r="A503" s="27" t="s">
        <v>42</v>
      </c>
      <c r="B503" s="27" t="s">
        <v>1553</v>
      </c>
      <c r="C503" s="27" t="s">
        <v>1554</v>
      </c>
      <c r="D503" s="27" t="s">
        <v>1555</v>
      </c>
      <c r="E503" s="28" t="s">
        <v>46</v>
      </c>
      <c r="F503" s="29" t="s">
        <v>46</v>
      </c>
      <c r="G503" s="30" t="s">
        <v>46</v>
      </c>
      <c r="H503" s="31"/>
      <c r="I503" s="31" t="s">
        <v>416</v>
      </c>
      <c r="J503" s="32" t="n">
        <v>10.0</v>
      </c>
      <c r="K503" s="33" t="n">
        <f>504.9</f>
        <v>504.9</v>
      </c>
      <c r="L503" s="34" t="s">
        <v>48</v>
      </c>
      <c r="M503" s="33" t="n">
        <f>511.8</f>
        <v>511.8</v>
      </c>
      <c r="N503" s="34" t="s">
        <v>50</v>
      </c>
      <c r="O503" s="33" t="n">
        <f>486.9</f>
        <v>486.9</v>
      </c>
      <c r="P503" s="34" t="s">
        <v>70</v>
      </c>
      <c r="Q503" s="33" t="n">
        <f>495.8</f>
        <v>495.8</v>
      </c>
      <c r="R503" s="34" t="s">
        <v>51</v>
      </c>
      <c r="S503" s="35" t="n">
        <f>498.68</f>
        <v>498.68</v>
      </c>
      <c r="T503" s="32" t="n">
        <f>2072150</f>
        <v>2072150.0</v>
      </c>
      <c r="U503" s="32" t="str">
        <f>"－"</f>
        <v>－</v>
      </c>
      <c r="V503" s="32" t="n">
        <f>1035536145</f>
        <v>1.035536145E9</v>
      </c>
      <c r="W503" s="32" t="str">
        <f>"－"</f>
        <v>－</v>
      </c>
      <c r="X503" s="36" t="n">
        <f>22</f>
        <v>22.0</v>
      </c>
    </row>
    <row r="504">
      <c r="A504" s="27" t="s">
        <v>42</v>
      </c>
      <c r="B504" s="27" t="s">
        <v>1556</v>
      </c>
      <c r="C504" s="27" t="s">
        <v>1557</v>
      </c>
      <c r="D504" s="27" t="s">
        <v>1558</v>
      </c>
      <c r="E504" s="28" t="s">
        <v>46</v>
      </c>
      <c r="F504" s="29" t="s">
        <v>46</v>
      </c>
      <c r="G504" s="30" t="s">
        <v>46</v>
      </c>
      <c r="H504" s="31"/>
      <c r="I504" s="31" t="s">
        <v>416</v>
      </c>
      <c r="J504" s="32" t="n">
        <v>1.0</v>
      </c>
      <c r="K504" s="33" t="n">
        <f>962</f>
        <v>962.0</v>
      </c>
      <c r="L504" s="34" t="s">
        <v>48</v>
      </c>
      <c r="M504" s="33" t="n">
        <f>1002</f>
        <v>1002.0</v>
      </c>
      <c r="N504" s="34" t="s">
        <v>50</v>
      </c>
      <c r="O504" s="33" t="n">
        <f>962</f>
        <v>962.0</v>
      </c>
      <c r="P504" s="34" t="s">
        <v>48</v>
      </c>
      <c r="Q504" s="33" t="n">
        <f>999</f>
        <v>999.0</v>
      </c>
      <c r="R504" s="34" t="s">
        <v>51</v>
      </c>
      <c r="S504" s="35" t="n">
        <f>990.86</f>
        <v>990.86</v>
      </c>
      <c r="T504" s="32" t="n">
        <f>55570</f>
        <v>55570.0</v>
      </c>
      <c r="U504" s="32" t="str">
        <f>"－"</f>
        <v>－</v>
      </c>
      <c r="V504" s="32" t="n">
        <f>54870344</f>
        <v>5.4870344E7</v>
      </c>
      <c r="W504" s="32" t="str">
        <f>"－"</f>
        <v>－</v>
      </c>
      <c r="X504" s="36" t="n">
        <f>22</f>
        <v>22.0</v>
      </c>
    </row>
    <row r="505">
      <c r="A505" s="27" t="s">
        <v>42</v>
      </c>
      <c r="B505" s="27" t="s">
        <v>1559</v>
      </c>
      <c r="C505" s="27" t="s">
        <v>1560</v>
      </c>
      <c r="D505" s="27" t="s">
        <v>1561</v>
      </c>
      <c r="E505" s="28" t="s">
        <v>46</v>
      </c>
      <c r="F505" s="29" t="s">
        <v>46</v>
      </c>
      <c r="G505" s="30" t="s">
        <v>46</v>
      </c>
      <c r="H505" s="31"/>
      <c r="I505" s="31" t="s">
        <v>416</v>
      </c>
      <c r="J505" s="32" t="n">
        <v>10.0</v>
      </c>
      <c r="K505" s="33" t="n">
        <f>233.7</f>
        <v>233.7</v>
      </c>
      <c r="L505" s="34" t="s">
        <v>48</v>
      </c>
      <c r="M505" s="33" t="n">
        <f>261.3</f>
        <v>261.3</v>
      </c>
      <c r="N505" s="34" t="s">
        <v>214</v>
      </c>
      <c r="O505" s="33" t="n">
        <f>219.8</f>
        <v>219.8</v>
      </c>
      <c r="P505" s="34" t="s">
        <v>50</v>
      </c>
      <c r="Q505" s="33" t="n">
        <f>233</f>
        <v>233.0</v>
      </c>
      <c r="R505" s="34" t="s">
        <v>51</v>
      </c>
      <c r="S505" s="35" t="n">
        <f>235.54</f>
        <v>235.54</v>
      </c>
      <c r="T505" s="32" t="n">
        <f>238330</f>
        <v>238330.0</v>
      </c>
      <c r="U505" s="32" t="str">
        <f>"－"</f>
        <v>－</v>
      </c>
      <c r="V505" s="32" t="n">
        <f>56378001</f>
        <v>5.6378001E7</v>
      </c>
      <c r="W505" s="32" t="str">
        <f>"－"</f>
        <v>－</v>
      </c>
      <c r="X505" s="36" t="n">
        <f>22</f>
        <v>22.0</v>
      </c>
    </row>
    <row r="506">
      <c r="A506" s="27" t="s">
        <v>42</v>
      </c>
      <c r="B506" s="27" t="s">
        <v>1562</v>
      </c>
      <c r="C506" s="27" t="s">
        <v>1563</v>
      </c>
      <c r="D506" s="27" t="s">
        <v>1564</v>
      </c>
      <c r="E506" s="28" t="s">
        <v>46</v>
      </c>
      <c r="F506" s="29" t="s">
        <v>46</v>
      </c>
      <c r="G506" s="30" t="s">
        <v>46</v>
      </c>
      <c r="H506" s="31"/>
      <c r="I506" s="31" t="s">
        <v>416</v>
      </c>
      <c r="J506" s="32" t="n">
        <v>10.0</v>
      </c>
      <c r="K506" s="33" t="n">
        <f>230.8</f>
        <v>230.8</v>
      </c>
      <c r="L506" s="34" t="s">
        <v>48</v>
      </c>
      <c r="M506" s="33" t="n">
        <f>250.4</f>
        <v>250.4</v>
      </c>
      <c r="N506" s="34" t="s">
        <v>58</v>
      </c>
      <c r="O506" s="33" t="n">
        <f>213.8</f>
        <v>213.8</v>
      </c>
      <c r="P506" s="34" t="s">
        <v>50</v>
      </c>
      <c r="Q506" s="33" t="n">
        <f>226.8</f>
        <v>226.8</v>
      </c>
      <c r="R506" s="34" t="s">
        <v>51</v>
      </c>
      <c r="S506" s="35" t="n">
        <f>228.54</f>
        <v>228.54</v>
      </c>
      <c r="T506" s="32" t="n">
        <f>161990</f>
        <v>161990.0</v>
      </c>
      <c r="U506" s="32" t="str">
        <f>"－"</f>
        <v>－</v>
      </c>
      <c r="V506" s="32" t="n">
        <f>37383909</f>
        <v>3.7383909E7</v>
      </c>
      <c r="W506" s="32" t="str">
        <f>"－"</f>
        <v>－</v>
      </c>
      <c r="X506" s="36" t="n">
        <f>22</f>
        <v>22.0</v>
      </c>
    </row>
    <row r="507">
      <c r="A507" s="27" t="s">
        <v>42</v>
      </c>
      <c r="B507" s="27" t="s">
        <v>1565</v>
      </c>
      <c r="C507" s="27" t="s">
        <v>1566</v>
      </c>
      <c r="D507" s="27" t="s">
        <v>1567</v>
      </c>
      <c r="E507" s="28" t="s">
        <v>46</v>
      </c>
      <c r="F507" s="29" t="s">
        <v>46</v>
      </c>
      <c r="G507" s="30" t="s">
        <v>46</v>
      </c>
      <c r="H507" s="31"/>
      <c r="I507" s="31" t="s">
        <v>416</v>
      </c>
      <c r="J507" s="32" t="n">
        <v>1.0</v>
      </c>
      <c r="K507" s="33" t="n">
        <f>875</f>
        <v>875.0</v>
      </c>
      <c r="L507" s="34" t="s">
        <v>48</v>
      </c>
      <c r="M507" s="33" t="n">
        <f>940</f>
        <v>940.0</v>
      </c>
      <c r="N507" s="34" t="s">
        <v>58</v>
      </c>
      <c r="O507" s="33" t="n">
        <f>799</f>
        <v>799.0</v>
      </c>
      <c r="P507" s="34" t="s">
        <v>116</v>
      </c>
      <c r="Q507" s="33" t="n">
        <f>849</f>
        <v>849.0</v>
      </c>
      <c r="R507" s="34" t="s">
        <v>51</v>
      </c>
      <c r="S507" s="35" t="n">
        <f>866.45</f>
        <v>866.45</v>
      </c>
      <c r="T507" s="32" t="n">
        <f>103252</f>
        <v>103252.0</v>
      </c>
      <c r="U507" s="32" t="str">
        <f>"－"</f>
        <v>－</v>
      </c>
      <c r="V507" s="32" t="n">
        <f>88833149</f>
        <v>8.8833149E7</v>
      </c>
      <c r="W507" s="32" t="str">
        <f>"－"</f>
        <v>－</v>
      </c>
      <c r="X507" s="36" t="n">
        <f>22</f>
        <v>22.0</v>
      </c>
    </row>
    <row r="508">
      <c r="A508" s="27" t="s">
        <v>42</v>
      </c>
      <c r="B508" s="27" t="s">
        <v>1568</v>
      </c>
      <c r="C508" s="27" t="s">
        <v>1569</v>
      </c>
      <c r="D508" s="27" t="s">
        <v>1570</v>
      </c>
      <c r="E508" s="28" t="s">
        <v>46</v>
      </c>
      <c r="F508" s="29" t="s">
        <v>46</v>
      </c>
      <c r="G508" s="30" t="s">
        <v>46</v>
      </c>
      <c r="H508" s="31"/>
      <c r="I508" s="31" t="s">
        <v>416</v>
      </c>
      <c r="J508" s="32" t="n">
        <v>1.0</v>
      </c>
      <c r="K508" s="33" t="n">
        <f>920</f>
        <v>920.0</v>
      </c>
      <c r="L508" s="34" t="s">
        <v>48</v>
      </c>
      <c r="M508" s="33" t="n">
        <f>958</f>
        <v>958.0</v>
      </c>
      <c r="N508" s="34" t="s">
        <v>474</v>
      </c>
      <c r="O508" s="33" t="n">
        <f>850</f>
        <v>850.0</v>
      </c>
      <c r="P508" s="34" t="s">
        <v>50</v>
      </c>
      <c r="Q508" s="33" t="n">
        <f>901</f>
        <v>901.0</v>
      </c>
      <c r="R508" s="34" t="s">
        <v>51</v>
      </c>
      <c r="S508" s="35" t="n">
        <f>905.05</f>
        <v>905.05</v>
      </c>
      <c r="T508" s="32" t="n">
        <f>214415</f>
        <v>214415.0</v>
      </c>
      <c r="U508" s="32" t="str">
        <f>"－"</f>
        <v>－</v>
      </c>
      <c r="V508" s="32" t="n">
        <f>194226715</f>
        <v>1.94226715E8</v>
      </c>
      <c r="W508" s="32" t="str">
        <f>"－"</f>
        <v>－</v>
      </c>
      <c r="X508" s="36" t="n">
        <f>22</f>
        <v>22.0</v>
      </c>
    </row>
    <row r="509">
      <c r="A509" s="27" t="s">
        <v>42</v>
      </c>
      <c r="B509" s="27" t="s">
        <v>1571</v>
      </c>
      <c r="C509" s="27" t="s">
        <v>1572</v>
      </c>
      <c r="D509" s="27" t="s">
        <v>1573</v>
      </c>
      <c r="E509" s="28" t="s">
        <v>46</v>
      </c>
      <c r="F509" s="29" t="s">
        <v>46</v>
      </c>
      <c r="G509" s="30" t="s">
        <v>46</v>
      </c>
      <c r="H509" s="31"/>
      <c r="I509" s="31" t="s">
        <v>416</v>
      </c>
      <c r="J509" s="32" t="n">
        <v>1.0</v>
      </c>
      <c r="K509" s="33" t="n">
        <f>1045</f>
        <v>1045.0</v>
      </c>
      <c r="L509" s="34" t="s">
        <v>48</v>
      </c>
      <c r="M509" s="33" t="n">
        <f>1253</f>
        <v>1253.0</v>
      </c>
      <c r="N509" s="34" t="s">
        <v>70</v>
      </c>
      <c r="O509" s="33" t="n">
        <f>1021</f>
        <v>1021.0</v>
      </c>
      <c r="P509" s="34" t="s">
        <v>50</v>
      </c>
      <c r="Q509" s="33" t="n">
        <f>1046</f>
        <v>1046.0</v>
      </c>
      <c r="R509" s="34" t="s">
        <v>51</v>
      </c>
      <c r="S509" s="35" t="n">
        <f>1055.64</f>
        <v>1055.64</v>
      </c>
      <c r="T509" s="32" t="n">
        <f>19023</f>
        <v>19023.0</v>
      </c>
      <c r="U509" s="32" t="str">
        <f>"－"</f>
        <v>－</v>
      </c>
      <c r="V509" s="32" t="n">
        <f>20023226</f>
        <v>2.0023226E7</v>
      </c>
      <c r="W509" s="32" t="str">
        <f>"－"</f>
        <v>－</v>
      </c>
      <c r="X509" s="36" t="n">
        <f>22</f>
        <v>22.0</v>
      </c>
    </row>
    <row r="510">
      <c r="A510" s="27" t="s">
        <v>42</v>
      </c>
      <c r="B510" s="27" t="s">
        <v>1574</v>
      </c>
      <c r="C510" s="27" t="s">
        <v>1575</v>
      </c>
      <c r="D510" s="27" t="s">
        <v>1576</v>
      </c>
      <c r="E510" s="28" t="s">
        <v>46</v>
      </c>
      <c r="F510" s="29" t="s">
        <v>46</v>
      </c>
      <c r="G510" s="30" t="s">
        <v>46</v>
      </c>
      <c r="H510" s="31"/>
      <c r="I510" s="31" t="s">
        <v>416</v>
      </c>
      <c r="J510" s="32" t="n">
        <v>10.0</v>
      </c>
      <c r="K510" s="33" t="n">
        <f>202</f>
        <v>202.0</v>
      </c>
      <c r="L510" s="34" t="s">
        <v>48</v>
      </c>
      <c r="M510" s="33" t="n">
        <f>255</f>
        <v>255.0</v>
      </c>
      <c r="N510" s="34" t="s">
        <v>156</v>
      </c>
      <c r="O510" s="33" t="n">
        <f>198</f>
        <v>198.0</v>
      </c>
      <c r="P510" s="34" t="s">
        <v>48</v>
      </c>
      <c r="Q510" s="33" t="n">
        <f>234</f>
        <v>234.0</v>
      </c>
      <c r="R510" s="34" t="s">
        <v>51</v>
      </c>
      <c r="S510" s="35" t="n">
        <f>216.45</f>
        <v>216.45</v>
      </c>
      <c r="T510" s="32" t="n">
        <f>12048560</f>
        <v>1.204856E7</v>
      </c>
      <c r="U510" s="32" t="n">
        <f>2540</f>
        <v>2540.0</v>
      </c>
      <c r="V510" s="32" t="n">
        <f>2626628490</f>
        <v>2.62662849E9</v>
      </c>
      <c r="W510" s="32" t="n">
        <f>530158</f>
        <v>530158.0</v>
      </c>
      <c r="X510" s="36" t="n">
        <f>22</f>
        <v>22.0</v>
      </c>
    </row>
    <row r="511">
      <c r="A511" s="27" t="s">
        <v>42</v>
      </c>
      <c r="B511" s="27" t="s">
        <v>1577</v>
      </c>
      <c r="C511" s="27" t="s">
        <v>1578</v>
      </c>
      <c r="D511" s="27" t="s">
        <v>1579</v>
      </c>
      <c r="E511" s="28" t="s">
        <v>46</v>
      </c>
      <c r="F511" s="29" t="s">
        <v>46</v>
      </c>
      <c r="G511" s="30" t="s">
        <v>46</v>
      </c>
      <c r="H511" s="31"/>
      <c r="I511" s="31" t="s">
        <v>416</v>
      </c>
      <c r="J511" s="32" t="n">
        <v>1.0</v>
      </c>
      <c r="K511" s="33" t="n">
        <f>120150</f>
        <v>120150.0</v>
      </c>
      <c r="L511" s="34" t="s">
        <v>48</v>
      </c>
      <c r="M511" s="33" t="n">
        <f>120150</f>
        <v>120150.0</v>
      </c>
      <c r="N511" s="34" t="s">
        <v>48</v>
      </c>
      <c r="O511" s="33" t="n">
        <f>108700</f>
        <v>108700.0</v>
      </c>
      <c r="P511" s="34" t="s">
        <v>197</v>
      </c>
      <c r="Q511" s="33" t="n">
        <f>111100</f>
        <v>111100.0</v>
      </c>
      <c r="R511" s="34" t="s">
        <v>51</v>
      </c>
      <c r="S511" s="35" t="n">
        <f>114788.64</f>
        <v>114788.64</v>
      </c>
      <c r="T511" s="32" t="n">
        <f>10084</f>
        <v>10084.0</v>
      </c>
      <c r="U511" s="32" t="str">
        <f>"－"</f>
        <v>－</v>
      </c>
      <c r="V511" s="32" t="n">
        <f>1156482000</f>
        <v>1.156482E9</v>
      </c>
      <c r="W511" s="32" t="str">
        <f>"－"</f>
        <v>－</v>
      </c>
      <c r="X511" s="36" t="n">
        <f>22</f>
        <v>22.0</v>
      </c>
    </row>
    <row r="512">
      <c r="A512" s="27" t="s">
        <v>42</v>
      </c>
      <c r="B512" s="27" t="s">
        <v>1580</v>
      </c>
      <c r="C512" s="27" t="s">
        <v>1581</v>
      </c>
      <c r="D512" s="27" t="s">
        <v>1582</v>
      </c>
      <c r="E512" s="28" t="s">
        <v>1583</v>
      </c>
      <c r="F512" s="29" t="s">
        <v>1584</v>
      </c>
      <c r="G512" s="30" t="s">
        <v>1585</v>
      </c>
      <c r="H512" s="31"/>
      <c r="I512" s="31" t="s">
        <v>416</v>
      </c>
      <c r="J512" s="32" t="n">
        <v>1.0</v>
      </c>
      <c r="K512" s="33" t="n">
        <f>2050</f>
        <v>2050.0</v>
      </c>
      <c r="L512" s="34" t="s">
        <v>70</v>
      </c>
      <c r="M512" s="33" t="n">
        <f>2738</f>
        <v>2738.0</v>
      </c>
      <c r="N512" s="34" t="s">
        <v>274</v>
      </c>
      <c r="O512" s="33" t="n">
        <f>1959</f>
        <v>1959.0</v>
      </c>
      <c r="P512" s="34" t="s">
        <v>51</v>
      </c>
      <c r="Q512" s="33" t="n">
        <f>1967</f>
        <v>1967.0</v>
      </c>
      <c r="R512" s="34" t="s">
        <v>51</v>
      </c>
      <c r="S512" s="35" t="n">
        <f>2046</f>
        <v>2046.0</v>
      </c>
      <c r="T512" s="32" t="n">
        <f>43767</f>
        <v>43767.0</v>
      </c>
      <c r="U512" s="32" t="str">
        <f>"－"</f>
        <v>－</v>
      </c>
      <c r="V512" s="32" t="n">
        <f>90744626</f>
        <v>9.0744626E7</v>
      </c>
      <c r="W512" s="32" t="str">
        <f>"－"</f>
        <v>－</v>
      </c>
      <c r="X512" s="36" t="n">
        <f>16</f>
        <v>16.0</v>
      </c>
    </row>
    <row r="513">
      <c r="A513" s="27" t="s">
        <v>42</v>
      </c>
      <c r="B513" s="27" t="s">
        <v>1586</v>
      </c>
      <c r="C513" s="27" t="s">
        <v>1587</v>
      </c>
      <c r="D513" s="27" t="s">
        <v>1588</v>
      </c>
      <c r="E513" s="28" t="s">
        <v>1583</v>
      </c>
      <c r="F513" s="29" t="s">
        <v>1584</v>
      </c>
      <c r="G513" s="30" t="s">
        <v>1589</v>
      </c>
      <c r="H513" s="31"/>
      <c r="I513" s="31" t="s">
        <v>416</v>
      </c>
      <c r="J513" s="32" t="n">
        <v>10.0</v>
      </c>
      <c r="K513" s="33" t="n">
        <f>199</f>
        <v>199.0</v>
      </c>
      <c r="L513" s="34" t="s">
        <v>160</v>
      </c>
      <c r="M513" s="33" t="n">
        <f>216</f>
        <v>216.0</v>
      </c>
      <c r="N513" s="34" t="s">
        <v>160</v>
      </c>
      <c r="O513" s="33" t="n">
        <f>185</f>
        <v>185.0</v>
      </c>
      <c r="P513" s="34" t="s">
        <v>50</v>
      </c>
      <c r="Q513" s="33" t="n">
        <f>195</f>
        <v>195.0</v>
      </c>
      <c r="R513" s="34" t="s">
        <v>51</v>
      </c>
      <c r="S513" s="35" t="n">
        <f>195.86</f>
        <v>195.86</v>
      </c>
      <c r="T513" s="32" t="n">
        <f>3698230</f>
        <v>3698230.0</v>
      </c>
      <c r="U513" s="32" t="n">
        <f>666100</f>
        <v>666100.0</v>
      </c>
      <c r="V513" s="32" t="n">
        <f>725654503</f>
        <v>7.25654503E8</v>
      </c>
      <c r="W513" s="32" t="n">
        <f>129823493</f>
        <v>1.29823493E8</v>
      </c>
      <c r="X513" s="36" t="n">
        <f>13</f>
        <v>13.0</v>
      </c>
    </row>
    <row r="514">
      <c r="A514" s="27" t="s">
        <v>42</v>
      </c>
      <c r="B514" s="27" t="s">
        <v>1590</v>
      </c>
      <c r="C514" s="27" t="s">
        <v>1591</v>
      </c>
      <c r="D514" s="27" t="s">
        <v>1592</v>
      </c>
      <c r="E514" s="28" t="s">
        <v>1583</v>
      </c>
      <c r="F514" s="29" t="s">
        <v>1584</v>
      </c>
      <c r="G514" s="30" t="s">
        <v>1593</v>
      </c>
      <c r="H514" s="31"/>
      <c r="I514" s="31" t="s">
        <v>416</v>
      </c>
      <c r="J514" s="32" t="n">
        <v>1.0</v>
      </c>
      <c r="K514" s="33" t="n">
        <f>20345</f>
        <v>20345.0</v>
      </c>
      <c r="L514" s="34" t="s">
        <v>274</v>
      </c>
      <c r="M514" s="33" t="n">
        <f>21360</f>
        <v>21360.0</v>
      </c>
      <c r="N514" s="34" t="s">
        <v>62</v>
      </c>
      <c r="O514" s="33" t="n">
        <f>19340</f>
        <v>19340.0</v>
      </c>
      <c r="P514" s="34" t="s">
        <v>50</v>
      </c>
      <c r="Q514" s="33" t="n">
        <f>20225</f>
        <v>20225.0</v>
      </c>
      <c r="R514" s="34" t="s">
        <v>51</v>
      </c>
      <c r="S514" s="35" t="n">
        <f>20490.42</f>
        <v>20490.42</v>
      </c>
      <c r="T514" s="32" t="n">
        <f>8407</f>
        <v>8407.0</v>
      </c>
      <c r="U514" s="32" t="str">
        <f>"－"</f>
        <v>－</v>
      </c>
      <c r="V514" s="32" t="n">
        <f>171618770</f>
        <v>1.7161877E8</v>
      </c>
      <c r="W514" s="32" t="str">
        <f>"－"</f>
        <v>－</v>
      </c>
      <c r="X514" s="36" t="n">
        <f>12</f>
        <v>12.0</v>
      </c>
    </row>
    <row r="515">
      <c r="A515" s="27" t="s">
        <v>42</v>
      </c>
      <c r="B515" s="27" t="s">
        <v>1594</v>
      </c>
      <c r="C515" s="27" t="s">
        <v>1595</v>
      </c>
      <c r="D515" s="27" t="s">
        <v>1596</v>
      </c>
      <c r="E515" s="28" t="s">
        <v>1583</v>
      </c>
      <c r="F515" s="29" t="s">
        <v>1584</v>
      </c>
      <c r="G515" s="30" t="s">
        <v>1597</v>
      </c>
      <c r="H515" s="31"/>
      <c r="I515" s="31" t="s">
        <v>416</v>
      </c>
      <c r="J515" s="32" t="n">
        <v>1.0</v>
      </c>
      <c r="K515" s="33" t="n">
        <f>1667</f>
        <v>1667.0</v>
      </c>
      <c r="L515" s="34" t="s">
        <v>116</v>
      </c>
      <c r="M515" s="33" t="n">
        <f>1762</f>
        <v>1762.0</v>
      </c>
      <c r="N515" s="34" t="s">
        <v>116</v>
      </c>
      <c r="O515" s="33" t="n">
        <f>1514</f>
        <v>1514.0</v>
      </c>
      <c r="P515" s="34" t="s">
        <v>100</v>
      </c>
      <c r="Q515" s="33" t="n">
        <f>1530</f>
        <v>1530.0</v>
      </c>
      <c r="R515" s="34" t="s">
        <v>51</v>
      </c>
      <c r="S515" s="35" t="n">
        <f>1545.56</f>
        <v>1545.56</v>
      </c>
      <c r="T515" s="32" t="n">
        <f>375926</f>
        <v>375926.0</v>
      </c>
      <c r="U515" s="32" t="n">
        <f>253909</f>
        <v>253909.0</v>
      </c>
      <c r="V515" s="32" t="n">
        <f>577230737</f>
        <v>5.77230737E8</v>
      </c>
      <c r="W515" s="32" t="n">
        <f>389608823</f>
        <v>3.89608823E8</v>
      </c>
      <c r="X515" s="36" t="n">
        <f>9</f>
        <v>9.0</v>
      </c>
    </row>
    <row r="516">
      <c r="A516" s="27" t="s">
        <v>42</v>
      </c>
      <c r="B516" s="27" t="s">
        <v>1598</v>
      </c>
      <c r="C516" s="27" t="s">
        <v>1599</v>
      </c>
      <c r="D516" s="27" t="s">
        <v>1600</v>
      </c>
      <c r="E516" s="28" t="s">
        <v>1583</v>
      </c>
      <c r="F516" s="29" t="s">
        <v>1584</v>
      </c>
      <c r="G516" s="30" t="s">
        <v>1601</v>
      </c>
      <c r="H516" s="31"/>
      <c r="I516" s="31" t="s">
        <v>416</v>
      </c>
      <c r="J516" s="32" t="n">
        <v>1.0</v>
      </c>
      <c r="K516" s="33" t="n">
        <f>983</f>
        <v>983.0</v>
      </c>
      <c r="L516" s="34" t="s">
        <v>197</v>
      </c>
      <c r="M516" s="33" t="n">
        <f>1012</f>
        <v>1012.0</v>
      </c>
      <c r="N516" s="34" t="s">
        <v>51</v>
      </c>
      <c r="O516" s="33" t="n">
        <f>972</f>
        <v>972.0</v>
      </c>
      <c r="P516" s="34" t="s">
        <v>197</v>
      </c>
      <c r="Q516" s="33" t="n">
        <f>1000</f>
        <v>1000.0</v>
      </c>
      <c r="R516" s="34" t="s">
        <v>51</v>
      </c>
      <c r="S516" s="35" t="n">
        <f>993</f>
        <v>993.0</v>
      </c>
      <c r="T516" s="32" t="n">
        <f>44423</f>
        <v>44423.0</v>
      </c>
      <c r="U516" s="32" t="str">
        <f>"－"</f>
        <v>－</v>
      </c>
      <c r="V516" s="32" t="n">
        <f>43859019</f>
        <v>4.3859019E7</v>
      </c>
      <c r="W516" s="32" t="str">
        <f>"－"</f>
        <v>－</v>
      </c>
      <c r="X516" s="36" t="n">
        <f>2</f>
        <v>2.0</v>
      </c>
    </row>
    <row r="517">
      <c r="A517" s="27" t="s">
        <v>42</v>
      </c>
      <c r="B517" s="27" t="s">
        <v>1602</v>
      </c>
      <c r="C517" s="27" t="s">
        <v>1603</v>
      </c>
      <c r="D517" s="27" t="s">
        <v>1604</v>
      </c>
      <c r="E517" s="28" t="s">
        <v>1583</v>
      </c>
      <c r="F517" s="29" t="s">
        <v>1584</v>
      </c>
      <c r="G517" s="30" t="s">
        <v>1601</v>
      </c>
      <c r="H517" s="31"/>
      <c r="I517" s="31" t="s">
        <v>416</v>
      </c>
      <c r="J517" s="32" t="n">
        <v>1.0</v>
      </c>
      <c r="K517" s="33" t="n">
        <f>959</f>
        <v>959.0</v>
      </c>
      <c r="L517" s="34" t="s">
        <v>197</v>
      </c>
      <c r="M517" s="33" t="n">
        <f>1020</f>
        <v>1020.0</v>
      </c>
      <c r="N517" s="34" t="s">
        <v>51</v>
      </c>
      <c r="O517" s="33" t="n">
        <f>952</f>
        <v>952.0</v>
      </c>
      <c r="P517" s="34" t="s">
        <v>197</v>
      </c>
      <c r="Q517" s="33" t="n">
        <f>1016</f>
        <v>1016.0</v>
      </c>
      <c r="R517" s="34" t="s">
        <v>51</v>
      </c>
      <c r="S517" s="35" t="n">
        <f>989</f>
        <v>989.0</v>
      </c>
      <c r="T517" s="32" t="n">
        <f>93211</f>
        <v>93211.0</v>
      </c>
      <c r="U517" s="32" t="str">
        <f>"－"</f>
        <v>－</v>
      </c>
      <c r="V517" s="32" t="n">
        <f>92251863</f>
        <v>9.2251863E7</v>
      </c>
      <c r="W517" s="32" t="str">
        <f>"－"</f>
        <v>－</v>
      </c>
      <c r="X517" s="36" t="n">
        <f>2</f>
        <v>2.0</v>
      </c>
    </row>
    <row r="518">
      <c r="A518" s="27" t="s">
        <v>42</v>
      </c>
      <c r="B518" s="27" t="s">
        <v>1605</v>
      </c>
      <c r="C518" s="27" t="s">
        <v>1606</v>
      </c>
      <c r="D518" s="27" t="s">
        <v>1607</v>
      </c>
      <c r="E518" s="28" t="s">
        <v>1583</v>
      </c>
      <c r="F518" s="29" t="s">
        <v>1584</v>
      </c>
      <c r="G518" s="30" t="s">
        <v>1608</v>
      </c>
      <c r="H518" s="31"/>
      <c r="I518" s="31" t="s">
        <v>416</v>
      </c>
      <c r="J518" s="32" t="n">
        <v>10.0</v>
      </c>
      <c r="K518" s="33" t="n">
        <f>1180</f>
        <v>1180.0</v>
      </c>
      <c r="L518" s="34" t="s">
        <v>51</v>
      </c>
      <c r="M518" s="33" t="n">
        <f>1180</f>
        <v>1180.0</v>
      </c>
      <c r="N518" s="34" t="s">
        <v>51</v>
      </c>
      <c r="O518" s="33" t="n">
        <f>1000</f>
        <v>1000.0</v>
      </c>
      <c r="P518" s="34" t="s">
        <v>51</v>
      </c>
      <c r="Q518" s="33" t="n">
        <f>1007</f>
        <v>1007.0</v>
      </c>
      <c r="R518" s="34" t="s">
        <v>51</v>
      </c>
      <c r="S518" s="35" t="n">
        <f>1007</f>
        <v>1007.0</v>
      </c>
      <c r="T518" s="32" t="n">
        <f>101330</f>
        <v>101330.0</v>
      </c>
      <c r="U518" s="32" t="n">
        <f>100000</f>
        <v>100000.0</v>
      </c>
      <c r="V518" s="32" t="n">
        <f>101340740</f>
        <v>1.0134074E8</v>
      </c>
      <c r="W518" s="32" t="n">
        <f>100000000</f>
        <v>1.0E8</v>
      </c>
      <c r="X518" s="36" t="n">
        <f>1</f>
        <v>1.0</v>
      </c>
    </row>
    <row r="519">
      <c r="A519" s="27" t="s">
        <v>42</v>
      </c>
      <c r="B519" s="27" t="s">
        <v>1609</v>
      </c>
      <c r="C519" s="27" t="s">
        <v>1610</v>
      </c>
      <c r="D519" s="27" t="s">
        <v>1611</v>
      </c>
      <c r="E519" s="28" t="s">
        <v>1583</v>
      </c>
      <c r="F519" s="29" t="s">
        <v>1584</v>
      </c>
      <c r="G519" s="30" t="s">
        <v>1608</v>
      </c>
      <c r="H519" s="31"/>
      <c r="I519" s="31" t="s">
        <v>416</v>
      </c>
      <c r="J519" s="32" t="n">
        <v>10.0</v>
      </c>
      <c r="K519" s="33" t="n">
        <f>10050</f>
        <v>10050.0</v>
      </c>
      <c r="L519" s="34" t="s">
        <v>51</v>
      </c>
      <c r="M519" s="33" t="n">
        <f>10070</f>
        <v>10070.0</v>
      </c>
      <c r="N519" s="34" t="s">
        <v>51</v>
      </c>
      <c r="O519" s="33" t="n">
        <f>10050</f>
        <v>10050.0</v>
      </c>
      <c r="P519" s="34" t="s">
        <v>51</v>
      </c>
      <c r="Q519" s="33" t="n">
        <f>10070</f>
        <v>10070.0</v>
      </c>
      <c r="R519" s="34" t="s">
        <v>51</v>
      </c>
      <c r="S519" s="35" t="n">
        <f>10070</f>
        <v>10070.0</v>
      </c>
      <c r="T519" s="32" t="n">
        <f>105030</f>
        <v>105030.0</v>
      </c>
      <c r="U519" s="32" t="n">
        <f>105000</f>
        <v>105000.0</v>
      </c>
      <c r="V519" s="32" t="n">
        <f>1050301800</f>
        <v>1.0503018E9</v>
      </c>
      <c r="W519" s="32" t="n">
        <f>1050000000</f>
        <v>1.05E9</v>
      </c>
      <c r="X519" s="36" t="n">
        <f>1</f>
        <v>1.0</v>
      </c>
    </row>
    <row r="520">
      <c r="A520" s="27" t="s">
        <v>42</v>
      </c>
      <c r="B520" s="27" t="s">
        <v>1612</v>
      </c>
      <c r="C520" s="27" t="s">
        <v>1613</v>
      </c>
      <c r="D520" s="27" t="s">
        <v>1614</v>
      </c>
      <c r="E520" s="28" t="s">
        <v>46</v>
      </c>
      <c r="F520" s="29" t="s">
        <v>46</v>
      </c>
      <c r="G520" s="30" t="s">
        <v>46</v>
      </c>
      <c r="H520" s="31"/>
      <c r="I520" s="31" t="s">
        <v>47</v>
      </c>
      <c r="J520" s="32" t="n">
        <v>1.0</v>
      </c>
      <c r="K520" s="33" t="n">
        <f>126000</f>
        <v>126000.0</v>
      </c>
      <c r="L520" s="34" t="s">
        <v>48</v>
      </c>
      <c r="M520" s="33" t="n">
        <f>140000</f>
        <v>140000.0</v>
      </c>
      <c r="N520" s="34" t="s">
        <v>75</v>
      </c>
      <c r="O520" s="33" t="n">
        <f>123300</f>
        <v>123300.0</v>
      </c>
      <c r="P520" s="34" t="s">
        <v>48</v>
      </c>
      <c r="Q520" s="33" t="n">
        <f>134700</f>
        <v>134700.0</v>
      </c>
      <c r="R520" s="34" t="s">
        <v>51</v>
      </c>
      <c r="S520" s="35" t="n">
        <f>132427.27</f>
        <v>132427.27</v>
      </c>
      <c r="T520" s="32" t="n">
        <f>953579</f>
        <v>953579.0</v>
      </c>
      <c r="U520" s="32" t="n">
        <f>189110</f>
        <v>189110.0</v>
      </c>
      <c r="V520" s="32" t="n">
        <f>126314206854</f>
        <v>1.26314206854E11</v>
      </c>
      <c r="W520" s="32" t="n">
        <f>25041795554</f>
        <v>2.5041795554E10</v>
      </c>
      <c r="X520" s="36" t="n">
        <f>22</f>
        <v>22.0</v>
      </c>
    </row>
    <row r="521">
      <c r="A521" s="27" t="s">
        <v>42</v>
      </c>
      <c r="B521" s="27" t="s">
        <v>1615</v>
      </c>
      <c r="C521" s="27" t="s">
        <v>1616</v>
      </c>
      <c r="D521" s="27" t="s">
        <v>1617</v>
      </c>
      <c r="E521" s="28" t="s">
        <v>46</v>
      </c>
      <c r="F521" s="29" t="s">
        <v>46</v>
      </c>
      <c r="G521" s="30" t="s">
        <v>46</v>
      </c>
      <c r="H521" s="31"/>
      <c r="I521" s="31" t="s">
        <v>47</v>
      </c>
      <c r="J521" s="32" t="n">
        <v>1.0</v>
      </c>
      <c r="K521" s="33" t="n">
        <f>116100</f>
        <v>116100.0</v>
      </c>
      <c r="L521" s="34" t="s">
        <v>48</v>
      </c>
      <c r="M521" s="33" t="n">
        <f>126100</f>
        <v>126100.0</v>
      </c>
      <c r="N521" s="34" t="s">
        <v>75</v>
      </c>
      <c r="O521" s="33" t="n">
        <f>114600</f>
        <v>114600.0</v>
      </c>
      <c r="P521" s="34" t="s">
        <v>48</v>
      </c>
      <c r="Q521" s="33" t="n">
        <f>122100</f>
        <v>122100.0</v>
      </c>
      <c r="R521" s="34" t="s">
        <v>51</v>
      </c>
      <c r="S521" s="35" t="n">
        <f>120927.27</f>
        <v>120927.27</v>
      </c>
      <c r="T521" s="32" t="n">
        <f>513192</f>
        <v>513192.0</v>
      </c>
      <c r="U521" s="32" t="n">
        <f>100289</f>
        <v>100289.0</v>
      </c>
      <c r="V521" s="32" t="n">
        <f>62143154056</f>
        <v>6.2143154056E10</v>
      </c>
      <c r="W521" s="32" t="n">
        <f>12143741556</f>
        <v>1.2143741556E10</v>
      </c>
      <c r="X521" s="36" t="n">
        <f>22</f>
        <v>22.0</v>
      </c>
    </row>
    <row r="522">
      <c r="A522" s="27" t="s">
        <v>42</v>
      </c>
      <c r="B522" s="27" t="s">
        <v>1618</v>
      </c>
      <c r="C522" s="27" t="s">
        <v>1619</v>
      </c>
      <c r="D522" s="27" t="s">
        <v>1620</v>
      </c>
      <c r="E522" s="28" t="s">
        <v>46</v>
      </c>
      <c r="F522" s="29" t="s">
        <v>46</v>
      </c>
      <c r="G522" s="30" t="s">
        <v>46</v>
      </c>
      <c r="H522" s="31"/>
      <c r="I522" s="31" t="s">
        <v>47</v>
      </c>
      <c r="J522" s="32" t="n">
        <v>1.0</v>
      </c>
      <c r="K522" s="33" t="n">
        <f>112500</f>
        <v>112500.0</v>
      </c>
      <c r="L522" s="34" t="s">
        <v>48</v>
      </c>
      <c r="M522" s="33" t="n">
        <f>121200</f>
        <v>121200.0</v>
      </c>
      <c r="N522" s="34" t="s">
        <v>75</v>
      </c>
      <c r="O522" s="33" t="n">
        <f>110800</f>
        <v>110800.0</v>
      </c>
      <c r="P522" s="34" t="s">
        <v>48</v>
      </c>
      <c r="Q522" s="33" t="n">
        <f>117900</f>
        <v>117900.0</v>
      </c>
      <c r="R522" s="34" t="s">
        <v>51</v>
      </c>
      <c r="S522" s="35" t="n">
        <f>116231.82</f>
        <v>116231.82</v>
      </c>
      <c r="T522" s="32" t="n">
        <f>444597</f>
        <v>444597.0</v>
      </c>
      <c r="U522" s="32" t="n">
        <f>88166</f>
        <v>88166.0</v>
      </c>
      <c r="V522" s="32" t="n">
        <f>51917415713</f>
        <v>5.1917415713E10</v>
      </c>
      <c r="W522" s="32" t="n">
        <f>10313202313</f>
        <v>1.0313202313E10</v>
      </c>
      <c r="X522" s="36" t="n">
        <f>22</f>
        <v>22.0</v>
      </c>
    </row>
    <row r="523">
      <c r="A523" s="27" t="s">
        <v>42</v>
      </c>
      <c r="B523" s="27" t="s">
        <v>1621</v>
      </c>
      <c r="C523" s="27" t="s">
        <v>1622</v>
      </c>
      <c r="D523" s="27" t="s">
        <v>1623</v>
      </c>
      <c r="E523" s="28" t="s">
        <v>46</v>
      </c>
      <c r="F523" s="29" t="s">
        <v>46</v>
      </c>
      <c r="G523" s="30" t="s">
        <v>46</v>
      </c>
      <c r="H523" s="31"/>
      <c r="I523" s="31" t="s">
        <v>47</v>
      </c>
      <c r="J523" s="32" t="n">
        <v>1.0</v>
      </c>
      <c r="K523" s="33" t="n">
        <f>97900</f>
        <v>97900.0</v>
      </c>
      <c r="L523" s="34" t="s">
        <v>48</v>
      </c>
      <c r="M523" s="33" t="n">
        <f>106000</f>
        <v>106000.0</v>
      </c>
      <c r="N523" s="34" t="s">
        <v>75</v>
      </c>
      <c r="O523" s="33" t="n">
        <f>96400</f>
        <v>96400.0</v>
      </c>
      <c r="P523" s="34" t="s">
        <v>48</v>
      </c>
      <c r="Q523" s="33" t="n">
        <f>103100</f>
        <v>103100.0</v>
      </c>
      <c r="R523" s="34" t="s">
        <v>51</v>
      </c>
      <c r="S523" s="35" t="n">
        <f>100372.73</f>
        <v>100372.73</v>
      </c>
      <c r="T523" s="32" t="n">
        <f>336566</f>
        <v>336566.0</v>
      </c>
      <c r="U523" s="32" t="n">
        <f>65772</f>
        <v>65772.0</v>
      </c>
      <c r="V523" s="32" t="n">
        <f>33944603953</f>
        <v>3.3944603953E10</v>
      </c>
      <c r="W523" s="32" t="n">
        <f>6631399253</f>
        <v>6.631399253E9</v>
      </c>
      <c r="X523" s="36" t="n">
        <f>22</f>
        <v>22.0</v>
      </c>
    </row>
    <row r="524">
      <c r="A524" s="27" t="s">
        <v>42</v>
      </c>
      <c r="B524" s="27" t="s">
        <v>1624</v>
      </c>
      <c r="C524" s="27" t="s">
        <v>1625</v>
      </c>
      <c r="D524" s="27" t="s">
        <v>1626</v>
      </c>
      <c r="E524" s="28" t="s">
        <v>46</v>
      </c>
      <c r="F524" s="29" t="s">
        <v>46</v>
      </c>
      <c r="G524" s="30" t="s">
        <v>46</v>
      </c>
      <c r="H524" s="31"/>
      <c r="I524" s="31" t="s">
        <v>47</v>
      </c>
      <c r="J524" s="32" t="n">
        <v>1.0</v>
      </c>
      <c r="K524" s="33" t="n">
        <f>93400</f>
        <v>93400.0</v>
      </c>
      <c r="L524" s="34" t="s">
        <v>48</v>
      </c>
      <c r="M524" s="33" t="n">
        <f>100900</f>
        <v>100900.0</v>
      </c>
      <c r="N524" s="34" t="s">
        <v>75</v>
      </c>
      <c r="O524" s="33" t="n">
        <f>91800</f>
        <v>91800.0</v>
      </c>
      <c r="P524" s="34" t="s">
        <v>48</v>
      </c>
      <c r="Q524" s="33" t="n">
        <f>98100</f>
        <v>98100.0</v>
      </c>
      <c r="R524" s="34" t="s">
        <v>51</v>
      </c>
      <c r="S524" s="35" t="n">
        <f>96286.36</f>
        <v>96286.36</v>
      </c>
      <c r="T524" s="32" t="n">
        <f>220483</f>
        <v>220483.0</v>
      </c>
      <c r="U524" s="32" t="n">
        <f>52097</f>
        <v>52097.0</v>
      </c>
      <c r="V524" s="32" t="n">
        <f>21274905018</f>
        <v>2.1274905018E10</v>
      </c>
      <c r="W524" s="32" t="n">
        <f>5031744618</f>
        <v>5.031744618E9</v>
      </c>
      <c r="X524" s="36" t="n">
        <f>22</f>
        <v>22.0</v>
      </c>
    </row>
    <row r="525">
      <c r="A525" s="27" t="s">
        <v>42</v>
      </c>
      <c r="B525" s="27" t="s">
        <v>1627</v>
      </c>
      <c r="C525" s="27" t="s">
        <v>1628</v>
      </c>
      <c r="D525" s="27" t="s">
        <v>1629</v>
      </c>
      <c r="E525" s="28" t="s">
        <v>46</v>
      </c>
      <c r="F525" s="29" t="s">
        <v>46</v>
      </c>
      <c r="G525" s="30" t="s">
        <v>46</v>
      </c>
      <c r="H525" s="31"/>
      <c r="I525" s="31" t="s">
        <v>47</v>
      </c>
      <c r="J525" s="32" t="n">
        <v>1.0</v>
      </c>
      <c r="K525" s="33" t="n">
        <f>135500</f>
        <v>135500.0</v>
      </c>
      <c r="L525" s="34" t="s">
        <v>48</v>
      </c>
      <c r="M525" s="33" t="n">
        <f>140200</f>
        <v>140200.0</v>
      </c>
      <c r="N525" s="34" t="s">
        <v>51</v>
      </c>
      <c r="O525" s="33" t="n">
        <f>132500</f>
        <v>132500.0</v>
      </c>
      <c r="P525" s="34" t="s">
        <v>48</v>
      </c>
      <c r="Q525" s="33" t="n">
        <f>137300</f>
        <v>137300.0</v>
      </c>
      <c r="R525" s="34" t="s">
        <v>51</v>
      </c>
      <c r="S525" s="35" t="n">
        <f>135718.18</f>
        <v>135718.18</v>
      </c>
      <c r="T525" s="32" t="n">
        <f>103179</f>
        <v>103179.0</v>
      </c>
      <c r="U525" s="32" t="n">
        <f>23538</f>
        <v>23538.0</v>
      </c>
      <c r="V525" s="32" t="n">
        <f>14036897773</f>
        <v>1.4036897773E10</v>
      </c>
      <c r="W525" s="32" t="n">
        <f>3209928973</f>
        <v>3.209928973E9</v>
      </c>
      <c r="X525" s="36" t="n">
        <f>22</f>
        <v>22.0</v>
      </c>
    </row>
    <row r="526">
      <c r="A526" s="27" t="s">
        <v>42</v>
      </c>
      <c r="B526" s="27" t="s">
        <v>1630</v>
      </c>
      <c r="C526" s="27" t="s">
        <v>1631</v>
      </c>
      <c r="D526" s="27" t="s">
        <v>1632</v>
      </c>
      <c r="E526" s="28" t="s">
        <v>46</v>
      </c>
      <c r="F526" s="29" t="s">
        <v>46</v>
      </c>
      <c r="G526" s="30" t="s">
        <v>46</v>
      </c>
      <c r="H526" s="31"/>
      <c r="I526" s="31" t="s">
        <v>47</v>
      </c>
      <c r="J526" s="32" t="n">
        <v>1.0</v>
      </c>
      <c r="K526" s="33" t="n">
        <f>185700</f>
        <v>185700.0</v>
      </c>
      <c r="L526" s="34" t="s">
        <v>48</v>
      </c>
      <c r="M526" s="33" t="n">
        <f>204500</f>
        <v>204500.0</v>
      </c>
      <c r="N526" s="34" t="s">
        <v>75</v>
      </c>
      <c r="O526" s="33" t="n">
        <f>182700</f>
        <v>182700.0</v>
      </c>
      <c r="P526" s="34" t="s">
        <v>48</v>
      </c>
      <c r="Q526" s="33" t="n">
        <f>189900</f>
        <v>189900.0</v>
      </c>
      <c r="R526" s="34" t="s">
        <v>51</v>
      </c>
      <c r="S526" s="35" t="n">
        <f>191795.45</f>
        <v>191795.45</v>
      </c>
      <c r="T526" s="32" t="n">
        <f>130520</f>
        <v>130520.0</v>
      </c>
      <c r="U526" s="32" t="n">
        <f>43776</f>
        <v>43776.0</v>
      </c>
      <c r="V526" s="32" t="n">
        <f>25101375807</f>
        <v>2.5101375807E10</v>
      </c>
      <c r="W526" s="32" t="n">
        <f>8401916907</f>
        <v>8.401916907E9</v>
      </c>
      <c r="X526" s="36" t="n">
        <f>22</f>
        <v>22.0</v>
      </c>
    </row>
    <row r="527">
      <c r="A527" s="27" t="s">
        <v>42</v>
      </c>
      <c r="B527" s="27" t="s">
        <v>1633</v>
      </c>
      <c r="C527" s="27" t="s">
        <v>1634</v>
      </c>
      <c r="D527" s="27" t="s">
        <v>1635</v>
      </c>
      <c r="E527" s="28" t="s">
        <v>46</v>
      </c>
      <c r="F527" s="29" t="s">
        <v>46</v>
      </c>
      <c r="G527" s="30" t="s">
        <v>46</v>
      </c>
      <c r="H527" s="31"/>
      <c r="I527" s="31" t="s">
        <v>47</v>
      </c>
      <c r="J527" s="32" t="n">
        <v>1.0</v>
      </c>
      <c r="K527" s="33" t="n">
        <f>109500</f>
        <v>109500.0</v>
      </c>
      <c r="L527" s="34" t="s">
        <v>48</v>
      </c>
      <c r="M527" s="33" t="n">
        <f>115200</f>
        <v>115200.0</v>
      </c>
      <c r="N527" s="34" t="s">
        <v>75</v>
      </c>
      <c r="O527" s="33" t="n">
        <f>108600</f>
        <v>108600.0</v>
      </c>
      <c r="P527" s="34" t="s">
        <v>48</v>
      </c>
      <c r="Q527" s="33" t="n">
        <f>112000</f>
        <v>112000.0</v>
      </c>
      <c r="R527" s="34" t="s">
        <v>51</v>
      </c>
      <c r="S527" s="35" t="n">
        <f>111986.36</f>
        <v>111986.36</v>
      </c>
      <c r="T527" s="32" t="n">
        <f>88829</f>
        <v>88829.0</v>
      </c>
      <c r="U527" s="32" t="n">
        <f>15281</f>
        <v>15281.0</v>
      </c>
      <c r="V527" s="32" t="n">
        <f>9963913978</f>
        <v>9.963913978E9</v>
      </c>
      <c r="W527" s="32" t="n">
        <f>1721817278</f>
        <v>1.721817278E9</v>
      </c>
      <c r="X527" s="36" t="n">
        <f>22</f>
        <v>22.0</v>
      </c>
    </row>
    <row r="528">
      <c r="A528" s="27" t="s">
        <v>42</v>
      </c>
      <c r="B528" s="27" t="s">
        <v>1636</v>
      </c>
      <c r="C528" s="27" t="s">
        <v>1637</v>
      </c>
      <c r="D528" s="27" t="s">
        <v>1638</v>
      </c>
      <c r="E528" s="28" t="s">
        <v>46</v>
      </c>
      <c r="F528" s="29" t="s">
        <v>46</v>
      </c>
      <c r="G528" s="30" t="s">
        <v>46</v>
      </c>
      <c r="H528" s="31"/>
      <c r="I528" s="31" t="s">
        <v>47</v>
      </c>
      <c r="J528" s="32" t="n">
        <v>1.0</v>
      </c>
      <c r="K528" s="33" t="n">
        <f>162500</f>
        <v>162500.0</v>
      </c>
      <c r="L528" s="34" t="s">
        <v>48</v>
      </c>
      <c r="M528" s="33" t="n">
        <f>169300</f>
        <v>169300.0</v>
      </c>
      <c r="N528" s="34" t="s">
        <v>75</v>
      </c>
      <c r="O528" s="33" t="n">
        <f>159800</f>
        <v>159800.0</v>
      </c>
      <c r="P528" s="34" t="s">
        <v>48</v>
      </c>
      <c r="Q528" s="33" t="n">
        <f>162900</f>
        <v>162900.0</v>
      </c>
      <c r="R528" s="34" t="s">
        <v>51</v>
      </c>
      <c r="S528" s="35" t="n">
        <f>163559.09</f>
        <v>163559.09</v>
      </c>
      <c r="T528" s="32" t="n">
        <f>265350</f>
        <v>265350.0</v>
      </c>
      <c r="U528" s="32" t="n">
        <f>78102</f>
        <v>78102.0</v>
      </c>
      <c r="V528" s="32" t="n">
        <f>43697668668</f>
        <v>4.3697668668E10</v>
      </c>
      <c r="W528" s="32" t="n">
        <f>12896840168</f>
        <v>1.2896840168E10</v>
      </c>
      <c r="X528" s="36" t="n">
        <f>22</f>
        <v>22.0</v>
      </c>
    </row>
    <row r="529">
      <c r="A529" s="27" t="s">
        <v>42</v>
      </c>
      <c r="B529" s="27" t="s">
        <v>1639</v>
      </c>
      <c r="C529" s="27" t="s">
        <v>1640</v>
      </c>
      <c r="D529" s="27" t="s">
        <v>1641</v>
      </c>
      <c r="E529" s="28" t="s">
        <v>46</v>
      </c>
      <c r="F529" s="29" t="s">
        <v>46</v>
      </c>
      <c r="G529" s="30" t="s">
        <v>46</v>
      </c>
      <c r="H529" s="31"/>
      <c r="I529" s="31" t="s">
        <v>47</v>
      </c>
      <c r="J529" s="32" t="n">
        <v>1.0</v>
      </c>
      <c r="K529" s="33" t="n">
        <f>74300</f>
        <v>74300.0</v>
      </c>
      <c r="L529" s="34" t="s">
        <v>48</v>
      </c>
      <c r="M529" s="33" t="n">
        <f>78500</f>
        <v>78500.0</v>
      </c>
      <c r="N529" s="34" t="s">
        <v>75</v>
      </c>
      <c r="O529" s="33" t="n">
        <f>73100</f>
        <v>73100.0</v>
      </c>
      <c r="P529" s="34" t="s">
        <v>48</v>
      </c>
      <c r="Q529" s="33" t="n">
        <f>76300</f>
        <v>76300.0</v>
      </c>
      <c r="R529" s="34" t="s">
        <v>51</v>
      </c>
      <c r="S529" s="35" t="n">
        <f>75945.45</f>
        <v>75945.45</v>
      </c>
      <c r="T529" s="32" t="n">
        <f>141066</f>
        <v>141066.0</v>
      </c>
      <c r="U529" s="32" t="n">
        <f>32910</f>
        <v>32910.0</v>
      </c>
      <c r="V529" s="32" t="n">
        <f>10745856826</f>
        <v>1.0745856826E10</v>
      </c>
      <c r="W529" s="32" t="n">
        <f>2506621826</f>
        <v>2.506621826E9</v>
      </c>
      <c r="X529" s="36" t="n">
        <f>22</f>
        <v>22.0</v>
      </c>
    </row>
    <row r="530">
      <c r="A530" s="27" t="s">
        <v>42</v>
      </c>
      <c r="B530" s="27" t="s">
        <v>1642</v>
      </c>
      <c r="C530" s="27" t="s">
        <v>1643</v>
      </c>
      <c r="D530" s="27" t="s">
        <v>1644</v>
      </c>
      <c r="E530" s="28" t="s">
        <v>46</v>
      </c>
      <c r="F530" s="29" t="s">
        <v>46</v>
      </c>
      <c r="G530" s="30" t="s">
        <v>46</v>
      </c>
      <c r="H530" s="31"/>
      <c r="I530" s="31" t="s">
        <v>47</v>
      </c>
      <c r="J530" s="32" t="n">
        <v>1.0</v>
      </c>
      <c r="K530" s="33" t="n">
        <f>59900</f>
        <v>59900.0</v>
      </c>
      <c r="L530" s="34" t="s">
        <v>48</v>
      </c>
      <c r="M530" s="33" t="n">
        <f>63200</f>
        <v>63200.0</v>
      </c>
      <c r="N530" s="34" t="s">
        <v>156</v>
      </c>
      <c r="O530" s="33" t="n">
        <f>59200</f>
        <v>59200.0</v>
      </c>
      <c r="P530" s="34" t="s">
        <v>50</v>
      </c>
      <c r="Q530" s="33" t="n">
        <f>61200</f>
        <v>61200.0</v>
      </c>
      <c r="R530" s="34" t="s">
        <v>51</v>
      </c>
      <c r="S530" s="35" t="n">
        <f>60904.55</f>
        <v>60904.55</v>
      </c>
      <c r="T530" s="32" t="n">
        <f>1157637</f>
        <v>1157637.0</v>
      </c>
      <c r="U530" s="32" t="n">
        <f>270988</f>
        <v>270988.0</v>
      </c>
      <c r="V530" s="32" t="n">
        <f>70540491757</f>
        <v>7.0540491757E10</v>
      </c>
      <c r="W530" s="32" t="n">
        <f>16499817557</f>
        <v>1.6499817557E10</v>
      </c>
      <c r="X530" s="36" t="n">
        <f>22</f>
        <v>22.0</v>
      </c>
    </row>
    <row r="531">
      <c r="A531" s="27" t="s">
        <v>42</v>
      </c>
      <c r="B531" s="27" t="s">
        <v>1645</v>
      </c>
      <c r="C531" s="27" t="s">
        <v>1646</v>
      </c>
      <c r="D531" s="27" t="s">
        <v>1647</v>
      </c>
      <c r="E531" s="28" t="s">
        <v>46</v>
      </c>
      <c r="F531" s="29" t="s">
        <v>46</v>
      </c>
      <c r="G531" s="30" t="s">
        <v>46</v>
      </c>
      <c r="H531" s="31"/>
      <c r="I531" s="31" t="s">
        <v>47</v>
      </c>
      <c r="J531" s="32" t="n">
        <v>1.0</v>
      </c>
      <c r="K531" s="33" t="n">
        <f>80400</f>
        <v>80400.0</v>
      </c>
      <c r="L531" s="34" t="s">
        <v>48</v>
      </c>
      <c r="M531" s="33" t="n">
        <f>84700</f>
        <v>84700.0</v>
      </c>
      <c r="N531" s="34" t="s">
        <v>197</v>
      </c>
      <c r="O531" s="33" t="n">
        <f>79300</f>
        <v>79300.0</v>
      </c>
      <c r="P531" s="34" t="s">
        <v>48</v>
      </c>
      <c r="Q531" s="33" t="n">
        <f>82000</f>
        <v>82000.0</v>
      </c>
      <c r="R531" s="34" t="s">
        <v>51</v>
      </c>
      <c r="S531" s="35" t="n">
        <f>81936.36</f>
        <v>81936.36</v>
      </c>
      <c r="T531" s="32" t="n">
        <f>262161</f>
        <v>262161.0</v>
      </c>
      <c r="U531" s="32" t="n">
        <f>80223</f>
        <v>80223.0</v>
      </c>
      <c r="V531" s="32" t="n">
        <f>21679906237</f>
        <v>2.1679906237E10</v>
      </c>
      <c r="W531" s="32" t="n">
        <f>6673467637</f>
        <v>6.673467637E9</v>
      </c>
      <c r="X531" s="36" t="n">
        <f>22</f>
        <v>22.0</v>
      </c>
    </row>
    <row r="532">
      <c r="A532" s="27" t="s">
        <v>42</v>
      </c>
      <c r="B532" s="27" t="s">
        <v>1648</v>
      </c>
      <c r="C532" s="27" t="s">
        <v>1649</v>
      </c>
      <c r="D532" s="27" t="s">
        <v>1650</v>
      </c>
      <c r="E532" s="28" t="s">
        <v>46</v>
      </c>
      <c r="F532" s="29" t="s">
        <v>46</v>
      </c>
      <c r="G532" s="30" t="s">
        <v>46</v>
      </c>
      <c r="H532" s="31"/>
      <c r="I532" s="31" t="s">
        <v>47</v>
      </c>
      <c r="J532" s="32" t="n">
        <v>1.0</v>
      </c>
      <c r="K532" s="33" t="n">
        <f>134200</f>
        <v>134200.0</v>
      </c>
      <c r="L532" s="34" t="s">
        <v>48</v>
      </c>
      <c r="M532" s="33" t="n">
        <f>137700</f>
        <v>137700.0</v>
      </c>
      <c r="N532" s="34" t="s">
        <v>49</v>
      </c>
      <c r="O532" s="33" t="n">
        <f>132500</f>
        <v>132500.0</v>
      </c>
      <c r="P532" s="34" t="s">
        <v>48</v>
      </c>
      <c r="Q532" s="33" t="n">
        <f>134400</f>
        <v>134400.0</v>
      </c>
      <c r="R532" s="34" t="s">
        <v>51</v>
      </c>
      <c r="S532" s="35" t="n">
        <f>135040.91</f>
        <v>135040.91</v>
      </c>
      <c r="T532" s="32" t="n">
        <f>88536</f>
        <v>88536.0</v>
      </c>
      <c r="U532" s="32" t="n">
        <f>16620</f>
        <v>16620.0</v>
      </c>
      <c r="V532" s="32" t="n">
        <f>11982029480</f>
        <v>1.198202948E10</v>
      </c>
      <c r="W532" s="32" t="n">
        <f>2251617980</f>
        <v>2.25161798E9</v>
      </c>
      <c r="X532" s="36" t="n">
        <f>22</f>
        <v>22.0</v>
      </c>
    </row>
    <row r="533">
      <c r="A533" s="27" t="s">
        <v>42</v>
      </c>
      <c r="B533" s="27" t="s">
        <v>1651</v>
      </c>
      <c r="C533" s="27" t="s">
        <v>1652</v>
      </c>
      <c r="D533" s="27" t="s">
        <v>1653</v>
      </c>
      <c r="E533" s="28" t="s">
        <v>46</v>
      </c>
      <c r="F533" s="29" t="s">
        <v>46</v>
      </c>
      <c r="G533" s="30" t="s">
        <v>46</v>
      </c>
      <c r="H533" s="31"/>
      <c r="I533" s="31" t="s">
        <v>47</v>
      </c>
      <c r="J533" s="32" t="n">
        <v>1.0</v>
      </c>
      <c r="K533" s="33" t="n">
        <f>94800</f>
        <v>94800.0</v>
      </c>
      <c r="L533" s="34" t="s">
        <v>48</v>
      </c>
      <c r="M533" s="33" t="n">
        <f>103700</f>
        <v>103700.0</v>
      </c>
      <c r="N533" s="34" t="s">
        <v>75</v>
      </c>
      <c r="O533" s="33" t="n">
        <f>93500</f>
        <v>93500.0</v>
      </c>
      <c r="P533" s="34" t="s">
        <v>48</v>
      </c>
      <c r="Q533" s="33" t="n">
        <f>98900</f>
        <v>98900.0</v>
      </c>
      <c r="R533" s="34" t="s">
        <v>51</v>
      </c>
      <c r="S533" s="35" t="n">
        <f>98377.27</f>
        <v>98377.27</v>
      </c>
      <c r="T533" s="32" t="n">
        <f>212280</f>
        <v>212280.0</v>
      </c>
      <c r="U533" s="32" t="n">
        <f>60906</f>
        <v>60906.0</v>
      </c>
      <c r="V533" s="32" t="n">
        <f>21021302206</f>
        <v>2.1021302206E10</v>
      </c>
      <c r="W533" s="32" t="n">
        <f>6032911506</f>
        <v>6.032911506E9</v>
      </c>
      <c r="X533" s="36" t="n">
        <f>22</f>
        <v>22.0</v>
      </c>
    </row>
    <row r="534">
      <c r="A534" s="27" t="s">
        <v>42</v>
      </c>
      <c r="B534" s="27" t="s">
        <v>1654</v>
      </c>
      <c r="C534" s="27" t="s">
        <v>1655</v>
      </c>
      <c r="D534" s="27" t="s">
        <v>1656</v>
      </c>
      <c r="E534" s="28" t="s">
        <v>46</v>
      </c>
      <c r="F534" s="29" t="s">
        <v>46</v>
      </c>
      <c r="G534" s="30" t="s">
        <v>46</v>
      </c>
      <c r="H534" s="31"/>
      <c r="I534" s="31" t="s">
        <v>47</v>
      </c>
      <c r="J534" s="32" t="n">
        <v>1.0</v>
      </c>
      <c r="K534" s="33" t="n">
        <f>172300</f>
        <v>172300.0</v>
      </c>
      <c r="L534" s="34" t="s">
        <v>48</v>
      </c>
      <c r="M534" s="33" t="n">
        <f>184500</f>
        <v>184500.0</v>
      </c>
      <c r="N534" s="34" t="s">
        <v>75</v>
      </c>
      <c r="O534" s="33" t="n">
        <f>169900</f>
        <v>169900.0</v>
      </c>
      <c r="P534" s="34" t="s">
        <v>48</v>
      </c>
      <c r="Q534" s="33" t="n">
        <f>178900</f>
        <v>178900.0</v>
      </c>
      <c r="R534" s="34" t="s">
        <v>51</v>
      </c>
      <c r="S534" s="35" t="n">
        <f>177600</f>
        <v>177600.0</v>
      </c>
      <c r="T534" s="32" t="n">
        <f>40287</f>
        <v>40287.0</v>
      </c>
      <c r="U534" s="32" t="n">
        <f>8376</f>
        <v>8376.0</v>
      </c>
      <c r="V534" s="32" t="n">
        <f>7175845122</f>
        <v>7.175845122E9</v>
      </c>
      <c r="W534" s="32" t="n">
        <f>1492162622</f>
        <v>1.492162622E9</v>
      </c>
      <c r="X534" s="36" t="n">
        <f>22</f>
        <v>22.0</v>
      </c>
    </row>
    <row r="535">
      <c r="A535" s="27" t="s">
        <v>42</v>
      </c>
      <c r="B535" s="27" t="s">
        <v>1657</v>
      </c>
      <c r="C535" s="27" t="s">
        <v>1658</v>
      </c>
      <c r="D535" s="27" t="s">
        <v>1659</v>
      </c>
      <c r="E535" s="28" t="s">
        <v>46</v>
      </c>
      <c r="F535" s="29" t="s">
        <v>46</v>
      </c>
      <c r="G535" s="30" t="s">
        <v>46</v>
      </c>
      <c r="H535" s="31"/>
      <c r="I535" s="31" t="s">
        <v>47</v>
      </c>
      <c r="J535" s="32" t="n">
        <v>1.0</v>
      </c>
      <c r="K535" s="33" t="n">
        <f>154900</f>
        <v>154900.0</v>
      </c>
      <c r="L535" s="34" t="s">
        <v>48</v>
      </c>
      <c r="M535" s="33" t="n">
        <f>161700</f>
        <v>161700.0</v>
      </c>
      <c r="N535" s="34" t="s">
        <v>156</v>
      </c>
      <c r="O535" s="33" t="n">
        <f>152500</f>
        <v>152500.0</v>
      </c>
      <c r="P535" s="34" t="s">
        <v>48</v>
      </c>
      <c r="Q535" s="33" t="n">
        <f>156100</f>
        <v>156100.0</v>
      </c>
      <c r="R535" s="34" t="s">
        <v>51</v>
      </c>
      <c r="S535" s="35" t="n">
        <f>157100</f>
        <v>157100.0</v>
      </c>
      <c r="T535" s="32" t="n">
        <f>302616</f>
        <v>302616.0</v>
      </c>
      <c r="U535" s="32" t="n">
        <f>60013</f>
        <v>60013.0</v>
      </c>
      <c r="V535" s="32" t="n">
        <f>47583788984</f>
        <v>4.7583788984E10</v>
      </c>
      <c r="W535" s="32" t="n">
        <f>9430774484</f>
        <v>9.430774484E9</v>
      </c>
      <c r="X535" s="36" t="n">
        <f>22</f>
        <v>22.0</v>
      </c>
    </row>
    <row r="536">
      <c r="A536" s="27" t="s">
        <v>42</v>
      </c>
      <c r="B536" s="27" t="s">
        <v>1660</v>
      </c>
      <c r="C536" s="27" t="s">
        <v>1661</v>
      </c>
      <c r="D536" s="27" t="s">
        <v>1662</v>
      </c>
      <c r="E536" s="28" t="s">
        <v>46</v>
      </c>
      <c r="F536" s="29" t="s">
        <v>46</v>
      </c>
      <c r="G536" s="30" t="s">
        <v>46</v>
      </c>
      <c r="H536" s="31"/>
      <c r="I536" s="31" t="s">
        <v>47</v>
      </c>
      <c r="J536" s="32" t="n">
        <v>1.0</v>
      </c>
      <c r="K536" s="33" t="n">
        <f>93400</f>
        <v>93400.0</v>
      </c>
      <c r="L536" s="34" t="s">
        <v>48</v>
      </c>
      <c r="M536" s="33" t="n">
        <f>98700</f>
        <v>98700.0</v>
      </c>
      <c r="N536" s="34" t="s">
        <v>75</v>
      </c>
      <c r="O536" s="33" t="n">
        <f>92100</f>
        <v>92100.0</v>
      </c>
      <c r="P536" s="34" t="s">
        <v>207</v>
      </c>
      <c r="Q536" s="33" t="n">
        <f>96300</f>
        <v>96300.0</v>
      </c>
      <c r="R536" s="34" t="s">
        <v>51</v>
      </c>
      <c r="S536" s="35" t="n">
        <f>94690.91</f>
        <v>94690.91</v>
      </c>
      <c r="T536" s="32" t="n">
        <f>86306</f>
        <v>86306.0</v>
      </c>
      <c r="U536" s="32" t="n">
        <f>16019</f>
        <v>16019.0</v>
      </c>
      <c r="V536" s="32" t="n">
        <f>8178850376</f>
        <v>8.178850376E9</v>
      </c>
      <c r="W536" s="32" t="n">
        <f>1513286776</f>
        <v>1.513286776E9</v>
      </c>
      <c r="X536" s="36" t="n">
        <f>22</f>
        <v>22.0</v>
      </c>
    </row>
    <row r="537">
      <c r="A537" s="27" t="s">
        <v>42</v>
      </c>
      <c r="B537" s="27" t="s">
        <v>1663</v>
      </c>
      <c r="C537" s="27" t="s">
        <v>1664</v>
      </c>
      <c r="D537" s="27" t="s">
        <v>1665</v>
      </c>
      <c r="E537" s="28" t="s">
        <v>46</v>
      </c>
      <c r="F537" s="29" t="s">
        <v>46</v>
      </c>
      <c r="G537" s="30" t="s">
        <v>46</v>
      </c>
      <c r="H537" s="31"/>
      <c r="I537" s="31" t="s">
        <v>47</v>
      </c>
      <c r="J537" s="32" t="n">
        <v>1.0</v>
      </c>
      <c r="K537" s="33" t="n">
        <f>326500</f>
        <v>326500.0</v>
      </c>
      <c r="L537" s="34" t="s">
        <v>48</v>
      </c>
      <c r="M537" s="33" t="n">
        <f>356000</f>
        <v>356000.0</v>
      </c>
      <c r="N537" s="34" t="s">
        <v>51</v>
      </c>
      <c r="O537" s="33" t="n">
        <f>321000</f>
        <v>321000.0</v>
      </c>
      <c r="P537" s="34" t="s">
        <v>48</v>
      </c>
      <c r="Q537" s="33" t="n">
        <f>341000</f>
        <v>341000.0</v>
      </c>
      <c r="R537" s="34" t="s">
        <v>51</v>
      </c>
      <c r="S537" s="35" t="n">
        <f>334454.55</f>
        <v>334454.55</v>
      </c>
      <c r="T537" s="32" t="n">
        <f>49199</f>
        <v>49199.0</v>
      </c>
      <c r="U537" s="32" t="n">
        <f>9352</f>
        <v>9352.0</v>
      </c>
      <c r="V537" s="32" t="n">
        <f>16563044935</f>
        <v>1.6563044935E10</v>
      </c>
      <c r="W537" s="32" t="n">
        <f>3149359935</f>
        <v>3.149359935E9</v>
      </c>
      <c r="X537" s="36" t="n">
        <f>22</f>
        <v>22.0</v>
      </c>
    </row>
    <row r="538">
      <c r="A538" s="27" t="s">
        <v>42</v>
      </c>
      <c r="B538" s="27" t="s">
        <v>1666</v>
      </c>
      <c r="C538" s="27" t="s">
        <v>1667</v>
      </c>
      <c r="D538" s="27" t="s">
        <v>1668</v>
      </c>
      <c r="E538" s="28" t="s">
        <v>46</v>
      </c>
      <c r="F538" s="29" t="s">
        <v>46</v>
      </c>
      <c r="G538" s="30" t="s">
        <v>46</v>
      </c>
      <c r="H538" s="31"/>
      <c r="I538" s="31" t="s">
        <v>47</v>
      </c>
      <c r="J538" s="32" t="n">
        <v>1.0</v>
      </c>
      <c r="K538" s="33" t="n">
        <f>138800</f>
        <v>138800.0</v>
      </c>
      <c r="L538" s="34" t="s">
        <v>48</v>
      </c>
      <c r="M538" s="33" t="n">
        <f>144600</f>
        <v>144600.0</v>
      </c>
      <c r="N538" s="34" t="s">
        <v>51</v>
      </c>
      <c r="O538" s="33" t="n">
        <f>137000</f>
        <v>137000.0</v>
      </c>
      <c r="P538" s="34" t="s">
        <v>48</v>
      </c>
      <c r="Q538" s="33" t="n">
        <f>144100</f>
        <v>144100.0</v>
      </c>
      <c r="R538" s="34" t="s">
        <v>51</v>
      </c>
      <c r="S538" s="35" t="n">
        <f>139822.73</f>
        <v>139822.73</v>
      </c>
      <c r="T538" s="32" t="n">
        <f>84729</f>
        <v>84729.0</v>
      </c>
      <c r="U538" s="32" t="n">
        <f>24769</f>
        <v>24769.0</v>
      </c>
      <c r="V538" s="32" t="n">
        <f>11866787209</f>
        <v>1.1866787209E10</v>
      </c>
      <c r="W538" s="32" t="n">
        <f>3460286209</f>
        <v>3.460286209E9</v>
      </c>
      <c r="X538" s="36" t="n">
        <f>22</f>
        <v>22.0</v>
      </c>
    </row>
    <row r="539">
      <c r="A539" s="27" t="s">
        <v>42</v>
      </c>
      <c r="B539" s="27" t="s">
        <v>1669</v>
      </c>
      <c r="C539" s="27" t="s">
        <v>1670</v>
      </c>
      <c r="D539" s="27" t="s">
        <v>1671</v>
      </c>
      <c r="E539" s="28" t="s">
        <v>46</v>
      </c>
      <c r="F539" s="29" t="s">
        <v>46</v>
      </c>
      <c r="G539" s="30" t="s">
        <v>46</v>
      </c>
      <c r="H539" s="31"/>
      <c r="I539" s="31" t="s">
        <v>416</v>
      </c>
      <c r="J539" s="32" t="n">
        <v>1.0</v>
      </c>
      <c r="K539" s="33" t="n">
        <f>188100</f>
        <v>188100.0</v>
      </c>
      <c r="L539" s="34" t="s">
        <v>48</v>
      </c>
      <c r="M539" s="33" t="n">
        <f>191700</f>
        <v>191700.0</v>
      </c>
      <c r="N539" s="34" t="s">
        <v>70</v>
      </c>
      <c r="O539" s="33" t="n">
        <f>184100</f>
        <v>184100.0</v>
      </c>
      <c r="P539" s="34" t="s">
        <v>69</v>
      </c>
      <c r="Q539" s="33" t="n">
        <f>184800</f>
        <v>184800.0</v>
      </c>
      <c r="R539" s="34" t="s">
        <v>51</v>
      </c>
      <c r="S539" s="35" t="n">
        <f>188268.18</f>
        <v>188268.18</v>
      </c>
      <c r="T539" s="32" t="n">
        <f>12104</f>
        <v>12104.0</v>
      </c>
      <c r="U539" s="32" t="n">
        <f>1796</f>
        <v>1796.0</v>
      </c>
      <c r="V539" s="32" t="n">
        <f>2281311522</f>
        <v>2.281311522E9</v>
      </c>
      <c r="W539" s="32" t="n">
        <f>338855922</f>
        <v>3.38855922E8</v>
      </c>
      <c r="X539" s="36" t="n">
        <f>22</f>
        <v>22.0</v>
      </c>
    </row>
    <row r="540">
      <c r="A540" s="27" t="s">
        <v>42</v>
      </c>
      <c r="B540" s="27" t="s">
        <v>1672</v>
      </c>
      <c r="C540" s="27" t="s">
        <v>1673</v>
      </c>
      <c r="D540" s="27" t="s">
        <v>1674</v>
      </c>
      <c r="E540" s="28" t="s">
        <v>46</v>
      </c>
      <c r="F540" s="29" t="s">
        <v>46</v>
      </c>
      <c r="G540" s="30" t="s">
        <v>46</v>
      </c>
      <c r="H540" s="31"/>
      <c r="I540" s="31" t="s">
        <v>47</v>
      </c>
      <c r="J540" s="32" t="n">
        <v>1.0</v>
      </c>
      <c r="K540" s="33" t="n">
        <f>120400</f>
        <v>120400.0</v>
      </c>
      <c r="L540" s="34" t="s">
        <v>48</v>
      </c>
      <c r="M540" s="33" t="n">
        <f>127200</f>
        <v>127200.0</v>
      </c>
      <c r="N540" s="34" t="s">
        <v>75</v>
      </c>
      <c r="O540" s="33" t="n">
        <f>119200</f>
        <v>119200.0</v>
      </c>
      <c r="P540" s="34" t="s">
        <v>48</v>
      </c>
      <c r="Q540" s="33" t="n">
        <f>123500</f>
        <v>123500.0</v>
      </c>
      <c r="R540" s="34" t="s">
        <v>51</v>
      </c>
      <c r="S540" s="35" t="n">
        <f>123109.09</f>
        <v>123109.09</v>
      </c>
      <c r="T540" s="32" t="n">
        <f>195593</f>
        <v>195593.0</v>
      </c>
      <c r="U540" s="32" t="n">
        <f>40892</f>
        <v>40892.0</v>
      </c>
      <c r="V540" s="32" t="n">
        <f>24177835514</f>
        <v>2.4177835514E10</v>
      </c>
      <c r="W540" s="32" t="n">
        <f>5062041314</f>
        <v>5.062041314E9</v>
      </c>
      <c r="X540" s="36" t="n">
        <f>22</f>
        <v>22.0</v>
      </c>
    </row>
    <row r="541">
      <c r="A541" s="27" t="s">
        <v>42</v>
      </c>
      <c r="B541" s="27" t="s">
        <v>1675</v>
      </c>
      <c r="C541" s="27" t="s">
        <v>1676</v>
      </c>
      <c r="D541" s="27" t="s">
        <v>1677</v>
      </c>
      <c r="E541" s="28" t="s">
        <v>46</v>
      </c>
      <c r="F541" s="29" t="s">
        <v>46</v>
      </c>
      <c r="G541" s="30" t="s">
        <v>46</v>
      </c>
      <c r="H541" s="31"/>
      <c r="I541" s="31" t="s">
        <v>47</v>
      </c>
      <c r="J541" s="32" t="n">
        <v>1.0</v>
      </c>
      <c r="K541" s="33" t="n">
        <f>79400</f>
        <v>79400.0</v>
      </c>
      <c r="L541" s="34" t="s">
        <v>48</v>
      </c>
      <c r="M541" s="33" t="n">
        <f>83200</f>
        <v>83200.0</v>
      </c>
      <c r="N541" s="34" t="s">
        <v>156</v>
      </c>
      <c r="O541" s="33" t="n">
        <f>77400</f>
        <v>77400.0</v>
      </c>
      <c r="P541" s="34" t="s">
        <v>50</v>
      </c>
      <c r="Q541" s="33" t="n">
        <f>81400</f>
        <v>81400.0</v>
      </c>
      <c r="R541" s="34" t="s">
        <v>51</v>
      </c>
      <c r="S541" s="35" t="n">
        <f>80150</f>
        <v>80150.0</v>
      </c>
      <c r="T541" s="32" t="n">
        <f>644090</f>
        <v>644090.0</v>
      </c>
      <c r="U541" s="32" t="n">
        <f>141866</f>
        <v>141866.0</v>
      </c>
      <c r="V541" s="32" t="n">
        <f>51756805041</f>
        <v>5.1756805041E10</v>
      </c>
      <c r="W541" s="32" t="n">
        <f>11400421841</f>
        <v>1.1400421841E10</v>
      </c>
      <c r="X541" s="36" t="n">
        <f>22</f>
        <v>22.0</v>
      </c>
    </row>
    <row r="542">
      <c r="A542" s="27" t="s">
        <v>42</v>
      </c>
      <c r="B542" s="27" t="s">
        <v>1678</v>
      </c>
      <c r="C542" s="27" t="s">
        <v>1679</v>
      </c>
      <c r="D542" s="27" t="s">
        <v>1680</v>
      </c>
      <c r="E542" s="28" t="s">
        <v>46</v>
      </c>
      <c r="F542" s="29" t="s">
        <v>46</v>
      </c>
      <c r="G542" s="30" t="s">
        <v>46</v>
      </c>
      <c r="H542" s="31"/>
      <c r="I542" s="31" t="s">
        <v>47</v>
      </c>
      <c r="J542" s="32" t="n">
        <v>1.0</v>
      </c>
      <c r="K542" s="33" t="n">
        <f>99500</f>
        <v>99500.0</v>
      </c>
      <c r="L542" s="34" t="s">
        <v>48</v>
      </c>
      <c r="M542" s="33" t="n">
        <f>101500</f>
        <v>101500.0</v>
      </c>
      <c r="N542" s="34" t="s">
        <v>58</v>
      </c>
      <c r="O542" s="33" t="n">
        <f>97100</f>
        <v>97100.0</v>
      </c>
      <c r="P542" s="34" t="s">
        <v>51</v>
      </c>
      <c r="Q542" s="33" t="n">
        <f>97100</f>
        <v>97100.0</v>
      </c>
      <c r="R542" s="34" t="s">
        <v>51</v>
      </c>
      <c r="S542" s="35" t="n">
        <f>98931.82</f>
        <v>98931.82</v>
      </c>
      <c r="T542" s="32" t="n">
        <f>137726</f>
        <v>137726.0</v>
      </c>
      <c r="U542" s="32" t="n">
        <f>22142</f>
        <v>22142.0</v>
      </c>
      <c r="V542" s="32" t="n">
        <f>13650898539</f>
        <v>1.3650898539E10</v>
      </c>
      <c r="W542" s="32" t="n">
        <f>2196228839</f>
        <v>2.196228839E9</v>
      </c>
      <c r="X542" s="36" t="n">
        <f>22</f>
        <v>22.0</v>
      </c>
    </row>
    <row r="543">
      <c r="A543" s="27" t="s">
        <v>42</v>
      </c>
      <c r="B543" s="27" t="s">
        <v>1681</v>
      </c>
      <c r="C543" s="27" t="s">
        <v>1682</v>
      </c>
      <c r="D543" s="27" t="s">
        <v>1683</v>
      </c>
      <c r="E543" s="28" t="s">
        <v>46</v>
      </c>
      <c r="F543" s="29" t="s">
        <v>46</v>
      </c>
      <c r="G543" s="30" t="s">
        <v>46</v>
      </c>
      <c r="H543" s="31"/>
      <c r="I543" s="31" t="s">
        <v>47</v>
      </c>
      <c r="J543" s="32" t="n">
        <v>1.0</v>
      </c>
      <c r="K543" s="33" t="n">
        <f>137000</f>
        <v>137000.0</v>
      </c>
      <c r="L543" s="34" t="s">
        <v>48</v>
      </c>
      <c r="M543" s="33" t="n">
        <f>148300</f>
        <v>148300.0</v>
      </c>
      <c r="N543" s="34" t="s">
        <v>75</v>
      </c>
      <c r="O543" s="33" t="n">
        <f>134800</f>
        <v>134800.0</v>
      </c>
      <c r="P543" s="34" t="s">
        <v>48</v>
      </c>
      <c r="Q543" s="33" t="n">
        <f>144100</f>
        <v>144100.0</v>
      </c>
      <c r="R543" s="34" t="s">
        <v>51</v>
      </c>
      <c r="S543" s="35" t="n">
        <f>141504.55</f>
        <v>141504.55</v>
      </c>
      <c r="T543" s="32" t="n">
        <f>68144</f>
        <v>68144.0</v>
      </c>
      <c r="U543" s="32" t="n">
        <f>14946</f>
        <v>14946.0</v>
      </c>
      <c r="V543" s="32" t="n">
        <f>9675800159</f>
        <v>9.675800159E9</v>
      </c>
      <c r="W543" s="32" t="n">
        <f>2126871459</f>
        <v>2.126871459E9</v>
      </c>
      <c r="X543" s="36" t="n">
        <f>22</f>
        <v>22.0</v>
      </c>
    </row>
    <row r="544">
      <c r="A544" s="27" t="s">
        <v>42</v>
      </c>
      <c r="B544" s="27" t="s">
        <v>1684</v>
      </c>
      <c r="C544" s="27" t="s">
        <v>1685</v>
      </c>
      <c r="D544" s="27" t="s">
        <v>1686</v>
      </c>
      <c r="E544" s="28" t="s">
        <v>46</v>
      </c>
      <c r="F544" s="29" t="s">
        <v>46</v>
      </c>
      <c r="G544" s="30" t="s">
        <v>46</v>
      </c>
      <c r="H544" s="31"/>
      <c r="I544" s="31" t="s">
        <v>416</v>
      </c>
      <c r="J544" s="32" t="n">
        <v>1.0</v>
      </c>
      <c r="K544" s="33" t="n">
        <f>48350</f>
        <v>48350.0</v>
      </c>
      <c r="L544" s="34" t="s">
        <v>48</v>
      </c>
      <c r="M544" s="33" t="n">
        <f>49800</f>
        <v>49800.0</v>
      </c>
      <c r="N544" s="34" t="s">
        <v>69</v>
      </c>
      <c r="O544" s="33" t="n">
        <f>46550</f>
        <v>46550.0</v>
      </c>
      <c r="P544" s="34" t="s">
        <v>51</v>
      </c>
      <c r="Q544" s="33" t="n">
        <f>46750</f>
        <v>46750.0</v>
      </c>
      <c r="R544" s="34" t="s">
        <v>51</v>
      </c>
      <c r="S544" s="35" t="n">
        <f>47740.91</f>
        <v>47740.91</v>
      </c>
      <c r="T544" s="32" t="n">
        <f>5920</f>
        <v>5920.0</v>
      </c>
      <c r="U544" s="32" t="str">
        <f>"－"</f>
        <v>－</v>
      </c>
      <c r="V544" s="32" t="n">
        <f>283359050</f>
        <v>2.8335905E8</v>
      </c>
      <c r="W544" s="32" t="str">
        <f>"－"</f>
        <v>－</v>
      </c>
      <c r="X544" s="36" t="n">
        <f>22</f>
        <v>22.0</v>
      </c>
    </row>
    <row r="545">
      <c r="A545" s="27" t="s">
        <v>42</v>
      </c>
      <c r="B545" s="27" t="s">
        <v>1687</v>
      </c>
      <c r="C545" s="27" t="s">
        <v>1688</v>
      </c>
      <c r="D545" s="27" t="s">
        <v>1689</v>
      </c>
      <c r="E545" s="28" t="s">
        <v>46</v>
      </c>
      <c r="F545" s="29" t="s">
        <v>46</v>
      </c>
      <c r="G545" s="30" t="s">
        <v>46</v>
      </c>
      <c r="H545" s="31"/>
      <c r="I545" s="31" t="s">
        <v>416</v>
      </c>
      <c r="J545" s="32" t="n">
        <v>1.0</v>
      </c>
      <c r="K545" s="33" t="n">
        <f>81600</f>
        <v>81600.0</v>
      </c>
      <c r="L545" s="34" t="s">
        <v>48</v>
      </c>
      <c r="M545" s="33" t="n">
        <f>81600</f>
        <v>81600.0</v>
      </c>
      <c r="N545" s="34" t="s">
        <v>48</v>
      </c>
      <c r="O545" s="33" t="n">
        <f>75300</f>
        <v>75300.0</v>
      </c>
      <c r="P545" s="34" t="s">
        <v>50</v>
      </c>
      <c r="Q545" s="33" t="n">
        <f>76700</f>
        <v>76700.0</v>
      </c>
      <c r="R545" s="34" t="s">
        <v>51</v>
      </c>
      <c r="S545" s="35" t="n">
        <f>78600</f>
        <v>78600.0</v>
      </c>
      <c r="T545" s="32" t="n">
        <f>51226</f>
        <v>51226.0</v>
      </c>
      <c r="U545" s="32" t="n">
        <f>431</f>
        <v>431.0</v>
      </c>
      <c r="V545" s="32" t="n">
        <f>4017123402</f>
        <v>4.017123402E9</v>
      </c>
      <c r="W545" s="32" t="n">
        <f>33837302</f>
        <v>3.3837302E7</v>
      </c>
      <c r="X545" s="36" t="n">
        <f>22</f>
        <v>22.0</v>
      </c>
    </row>
    <row r="546">
      <c r="A546" s="27" t="s">
        <v>42</v>
      </c>
      <c r="B546" s="27" t="s">
        <v>1690</v>
      </c>
      <c r="C546" s="27" t="s">
        <v>1691</v>
      </c>
      <c r="D546" s="27" t="s">
        <v>1692</v>
      </c>
      <c r="E546" s="28" t="s">
        <v>46</v>
      </c>
      <c r="F546" s="29" t="s">
        <v>46</v>
      </c>
      <c r="G546" s="30" t="s">
        <v>46</v>
      </c>
      <c r="H546" s="31"/>
      <c r="I546" s="31" t="s">
        <v>416</v>
      </c>
      <c r="J546" s="32" t="n">
        <v>1.0</v>
      </c>
      <c r="K546" s="33" t="n">
        <f>45100</f>
        <v>45100.0</v>
      </c>
      <c r="L546" s="34" t="s">
        <v>48</v>
      </c>
      <c r="M546" s="33" t="n">
        <f>45100</f>
        <v>45100.0</v>
      </c>
      <c r="N546" s="34" t="s">
        <v>48</v>
      </c>
      <c r="O546" s="33" t="n">
        <f>42900</f>
        <v>42900.0</v>
      </c>
      <c r="P546" s="34" t="s">
        <v>75</v>
      </c>
      <c r="Q546" s="33" t="n">
        <f>43450</f>
        <v>43450.0</v>
      </c>
      <c r="R546" s="34" t="s">
        <v>51</v>
      </c>
      <c r="S546" s="35" t="n">
        <f>44156.82</f>
        <v>44156.82</v>
      </c>
      <c r="T546" s="32" t="n">
        <f>10179</f>
        <v>10179.0</v>
      </c>
      <c r="U546" s="32" t="str">
        <f>"－"</f>
        <v>－</v>
      </c>
      <c r="V546" s="32" t="n">
        <f>448426550</f>
        <v>4.4842655E8</v>
      </c>
      <c r="W546" s="32" t="str">
        <f>"－"</f>
        <v>－</v>
      </c>
      <c r="X546" s="36" t="n">
        <f>22</f>
        <v>22.0</v>
      </c>
    </row>
    <row r="547">
      <c r="A547" s="27" t="s">
        <v>42</v>
      </c>
      <c r="B547" s="27" t="s">
        <v>1693</v>
      </c>
      <c r="C547" s="27" t="s">
        <v>1694</v>
      </c>
      <c r="D547" s="27" t="s">
        <v>1695</v>
      </c>
      <c r="E547" s="28" t="s">
        <v>46</v>
      </c>
      <c r="F547" s="29" t="s">
        <v>46</v>
      </c>
      <c r="G547" s="30" t="s">
        <v>46</v>
      </c>
      <c r="H547" s="31"/>
      <c r="I547" s="31" t="s">
        <v>47</v>
      </c>
      <c r="J547" s="32" t="n">
        <v>1.0</v>
      </c>
      <c r="K547" s="33" t="n">
        <f>53900</f>
        <v>53900.0</v>
      </c>
      <c r="L547" s="34" t="s">
        <v>48</v>
      </c>
      <c r="M547" s="33" t="n">
        <f>54500</f>
        <v>54500.0</v>
      </c>
      <c r="N547" s="34" t="s">
        <v>207</v>
      </c>
      <c r="O547" s="33" t="n">
        <f>46950</f>
        <v>46950.0</v>
      </c>
      <c r="P547" s="34" t="s">
        <v>51</v>
      </c>
      <c r="Q547" s="33" t="n">
        <f>47100</f>
        <v>47100.0</v>
      </c>
      <c r="R547" s="34" t="s">
        <v>51</v>
      </c>
      <c r="S547" s="35" t="n">
        <f>50847.73</f>
        <v>50847.73</v>
      </c>
      <c r="T547" s="32" t="n">
        <f>48271</f>
        <v>48271.0</v>
      </c>
      <c r="U547" s="32" t="n">
        <f>409</f>
        <v>409.0</v>
      </c>
      <c r="V547" s="32" t="n">
        <f>2385648823</f>
        <v>2.385648823E9</v>
      </c>
      <c r="W547" s="32" t="n">
        <f>20356723</f>
        <v>2.0356723E7</v>
      </c>
      <c r="X547" s="36" t="n">
        <f>22</f>
        <v>22.0</v>
      </c>
    </row>
  </sheetData>
  <mergeCells count="3">
    <mergeCell ref="N1:X3"/>
    <mergeCell ref="A2:M2"/>
    <mergeCell ref="A3:M3"/>
  </mergeCells>
  <phoneticPr fontId="3"/>
  <printOptions horizontalCentered="1"/>
  <pageMargins left="0.39370078740157483" right="0.39370078740157483" top="0.39370078740157483" bottom="0.59055118110236227" header="0.27559055118110237" footer="0.27559055118110237"/>
  <pageSetup paperSize="9" scale="32" fitToHeight="0" orientation="landscape" r:id="rId1"/>
  <headerFooter>
    <oddFooter>&amp;C&amp;P/&amp;N&amp;RCopyright (c) Tokyo Stock Exchange, Inc. All Rights Reserved.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BO_EM0004</vt:lpstr>
      <vt:lpstr>BO_EM0004!Print_Titles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2018-10-04T04:21:09Z</dcterms:created>
  <dcterms:modified xsi:type="dcterms:W3CDTF">2020-05-11T08:48:14Z</dcterms:modified>
</cp:coreProperties>
</file>