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2330"/>
  </bookViews>
  <sheets>
    <sheet name="BO_EM0004" sheetId="1" r:id="rId1"/>
  </sheets>
  <definedNames>
    <definedName name="_xlnm.Print_Titles" localSheetId="0">BO_EM0004!$1:$6</definedName>
  </definedNames>
  <calcPr calcId="145621"/>
</workbook>
</file>

<file path=xl/sharedStrings.xml><?xml version="1.0" encoding="utf-8"?>
<sst xmlns="http://schemas.openxmlformats.org/spreadsheetml/2006/main" count="6643" uniqueCount="1725">
  <si>
    <t>(注) 1.信用：制度信用銘柄                  　　　　　　　　　　 (Notes) 1."信用"：Issues eligible for Standardized margin transactions.
     2.貸借：制度信用銘柄及び貸借銘柄                                   2."貸借"：Issues eligible for Standardized margin transactions and loan transactions.
     3.審　：監理銘柄（審査中）　確　：監理銘柄（確認中）               3."審""確""監"：Securities Under Supervision(Examination/Confirmation).
       監　：監理銘柄（審査中・確認中）                                   "整"　　　　：Securities to be Delisted.
       整　：整理銘柄</t>
    <phoneticPr fontId="3"/>
  </si>
  <si>
    <t>投　信　等　相　場　表</t>
    <rPh sb="0" eb="1">
      <t>トウ</t>
    </rPh>
    <rPh sb="2" eb="3">
      <t>シン</t>
    </rPh>
    <rPh sb="4" eb="5">
      <t>トウ</t>
    </rPh>
    <rPh sb="6" eb="7">
      <t>ソウ</t>
    </rPh>
    <rPh sb="8" eb="9">
      <t>バ</t>
    </rPh>
    <rPh sb="10" eb="11">
      <t>ヒョウ</t>
    </rPh>
    <phoneticPr fontId="3"/>
  </si>
  <si>
    <t>Investment Trust Quotations</t>
    <phoneticPr fontId="3"/>
  </si>
  <si>
    <t>年月</t>
  </si>
  <si>
    <t>銘柄コード</t>
    <rPh sb="0" eb="2">
      <t>メイガラ</t>
    </rPh>
    <phoneticPr fontId="3"/>
  </si>
  <si>
    <t>銘柄名称</t>
    <rPh sb="0" eb="2">
      <t>メイガラ</t>
    </rPh>
    <rPh sb="2" eb="4">
      <t>メイショウ</t>
    </rPh>
    <phoneticPr fontId="3"/>
  </si>
  <si>
    <t>Issues</t>
  </si>
  <si>
    <t>銘柄属性</t>
    <phoneticPr fontId="3"/>
  </si>
  <si>
    <t>Attribute</t>
    <phoneticPr fontId="3"/>
  </si>
  <si>
    <t>日付</t>
    <rPh sb="0" eb="2">
      <t>ヒヅケ</t>
    </rPh>
    <phoneticPr fontId="3"/>
  </si>
  <si>
    <t>区分</t>
  </si>
  <si>
    <t>信用・貸借</t>
    <rPh sb="0" eb="2">
      <t>シンヨウ</t>
    </rPh>
    <rPh sb="3" eb="5">
      <t>タイシャク</t>
    </rPh>
    <phoneticPr fontId="3"/>
  </si>
  <si>
    <t>売買単位</t>
    <rPh sb="0" eb="2">
      <t>バイバイ</t>
    </rPh>
    <rPh sb="2" eb="4">
      <t>タンイ</t>
    </rPh>
    <phoneticPr fontId="3"/>
  </si>
  <si>
    <t>始値</t>
    <rPh sb="0" eb="2">
      <t>ハジメネ</t>
    </rPh>
    <phoneticPr fontId="3"/>
  </si>
  <si>
    <t>高値</t>
    <rPh sb="0" eb="1">
      <t>タカ</t>
    </rPh>
    <rPh sb="1" eb="2">
      <t>ネ</t>
    </rPh>
    <phoneticPr fontId="3"/>
  </si>
  <si>
    <t>安値</t>
    <rPh sb="0" eb="2">
      <t>ヤスネ</t>
    </rPh>
    <phoneticPr fontId="3"/>
  </si>
  <si>
    <t>終値</t>
    <rPh sb="0" eb="2">
      <t>オワリネ</t>
    </rPh>
    <phoneticPr fontId="3"/>
  </si>
  <si>
    <t>終値平均</t>
    <rPh sb="0" eb="2">
      <t>オワリネ</t>
    </rPh>
    <rPh sb="2" eb="4">
      <t>ヘイキン</t>
    </rPh>
    <phoneticPr fontId="3"/>
  </si>
  <si>
    <t>売買高</t>
    <rPh sb="0" eb="3">
      <t>バイバイダカ</t>
    </rPh>
    <phoneticPr fontId="3"/>
  </si>
  <si>
    <t>うちToSTNeT売買高</t>
  </si>
  <si>
    <t>売買代金</t>
    <rPh sb="0" eb="2">
      <t>バイバイ</t>
    </rPh>
    <rPh sb="2" eb="4">
      <t>ダイキン</t>
    </rPh>
    <phoneticPr fontId="3"/>
  </si>
  <si>
    <t>うちToSTNeT売買代金</t>
  </si>
  <si>
    <t>値付日数</t>
    <rPh sb="0" eb="2">
      <t>ネツ</t>
    </rPh>
    <rPh sb="2" eb="4">
      <t>ニッスウ</t>
    </rPh>
    <phoneticPr fontId="3"/>
  </si>
  <si>
    <t>Year/Month</t>
  </si>
  <si>
    <t>Code</t>
    <phoneticPr fontId="10"/>
  </si>
  <si>
    <t>Date</t>
    <phoneticPr fontId="3"/>
  </si>
  <si>
    <t>Sector</t>
  </si>
  <si>
    <t>margin/loan</t>
    <phoneticPr fontId="10"/>
  </si>
  <si>
    <t>Trading Unit</t>
    <phoneticPr fontId="3"/>
  </si>
  <si>
    <t>Open</t>
  </si>
  <si>
    <t>High</t>
    <phoneticPr fontId="3"/>
  </si>
  <si>
    <t>Low</t>
  </si>
  <si>
    <t>Close</t>
  </si>
  <si>
    <t>Average Closing Price</t>
    <phoneticPr fontId="10"/>
  </si>
  <si>
    <t>Trading Volume</t>
  </si>
  <si>
    <t>Trading Volume(ToSTNeT)</t>
    <phoneticPr fontId="10"/>
  </si>
  <si>
    <t>Trading Value</t>
  </si>
  <si>
    <t>Trading Value(ToSTNeT)</t>
    <phoneticPr fontId="10"/>
  </si>
  <si>
    <t>Days Traded</t>
    <phoneticPr fontId="3"/>
  </si>
  <si>
    <t>口(units）</t>
    <phoneticPr fontId="10"/>
  </si>
  <si>
    <t>円(￥)</t>
    <phoneticPr fontId="10"/>
  </si>
  <si>
    <t>口(units）</t>
  </si>
  <si>
    <t>2026/09</t>
  </si>
  <si>
    <t>1305</t>
  </si>
  <si>
    <t>ｉＦｒｅｅＥＴＦ　ＴＯＰＩＸ（年１回決算型）　受益証券</t>
  </si>
  <si>
    <t>iFreeETF TOPIX (Yearly Dividend Type)</t>
  </si>
  <si>
    <t/>
  </si>
  <si>
    <t>貸借</t>
  </si>
  <si>
    <t>1</t>
  </si>
  <si>
    <t>11</t>
  </si>
  <si>
    <t>30</t>
  </si>
  <si>
    <t>1306</t>
  </si>
  <si>
    <t>ＮＥＸＴ　ＦＵＮＤＳ　ＴＯＰＩＸ連動型上場投信　受益証券</t>
  </si>
  <si>
    <t>NEXT FUNDS TOPIX Exchange Traded Fund</t>
  </si>
  <si>
    <t>1308</t>
  </si>
  <si>
    <t>上場インデックスファンドＴＯＰＩＸ　受益証券</t>
  </si>
  <si>
    <t>Listed Index Fund TOPIX</t>
  </si>
  <si>
    <t>1309</t>
  </si>
  <si>
    <t>ＮＥＸＴ　ＦＵＮＤＳ　ＣｈｉｎａＡＭＣ・中国株式・上証５０連動型上場投信　受益証券</t>
  </si>
  <si>
    <t>NEXT FUNDS ChinaAMC SSE50 Index Exchange Traded Fund</t>
  </si>
  <si>
    <t>1311</t>
  </si>
  <si>
    <t>ＮＥＸＴ　ＦＵＮＤＳ　ＴＯＰＩＸ　Ｃｏｒｅ　３０連動型上場投信　受益証券</t>
  </si>
  <si>
    <t>NEXT FUNDS TOPIX Core 30 Exchange Traded Fund</t>
  </si>
  <si>
    <t>1319</t>
  </si>
  <si>
    <t>ＮＥＸＴ　ＦＵＮＤＳ　日経３００株価指数連動型上場投信　受益証券</t>
  </si>
  <si>
    <t>NEXT FUNDS Nikkei 300 Index Exchange Traded Fund</t>
  </si>
  <si>
    <t>2</t>
  </si>
  <si>
    <t>16</t>
  </si>
  <si>
    <t>1320</t>
  </si>
  <si>
    <t>ｉＦｒｅｅＥＴＦ　日経２２５（年１回決算型）　受益証券</t>
  </si>
  <si>
    <t>iFreeETF Nikkei225 (Yearly Dividend Type)</t>
  </si>
  <si>
    <t>14</t>
  </si>
  <si>
    <t>1321</t>
  </si>
  <si>
    <t>ＮＥＸＴ　ＦＵＮＤＳ　日経２２５連動型上場投信　受益証券</t>
  </si>
  <si>
    <t>NEXT FUNDS Nikkei 225 Exchange Traded Fund</t>
  </si>
  <si>
    <t>1322</t>
  </si>
  <si>
    <t>上場インデックスファンド中国Ａ株（パンダ）Ｅ　Ｆｕｎｄ　ＣＳＩ３００　受益証券</t>
  </si>
  <si>
    <t>Listed Index Fund China A Share (Panda) E Fund CSI300</t>
  </si>
  <si>
    <t>29</t>
  </si>
  <si>
    <t>1325</t>
  </si>
  <si>
    <t>ＮＥＸＴ　ＦＵＮＤＳ　ブラジル株式指数・ボベスパ連動型上場投信　受益証券</t>
  </si>
  <si>
    <t>NEXT FUNDS Ibovespa Linked Exchange Traded Fund</t>
  </si>
  <si>
    <t>3</t>
  </si>
  <si>
    <t>1326</t>
  </si>
  <si>
    <t>ＳＰＤＲゴールド・シェア　受益証券</t>
  </si>
  <si>
    <t>SPDR Gold Shares</t>
  </si>
  <si>
    <t>1328</t>
  </si>
  <si>
    <t>ＮＥＸＴ　ＦＵＮＤＳ　金価格連動型上場投信　受益証券</t>
  </si>
  <si>
    <t>NEXT FUNDS Gold Price Exchange Traded Fund</t>
  </si>
  <si>
    <t>1329</t>
  </si>
  <si>
    <t>ｉシェアーズ・コア　日経２２５　ＥＴＦ　受益証券</t>
  </si>
  <si>
    <t>iShares Core Nikkei 225 ETF</t>
  </si>
  <si>
    <t>1330</t>
  </si>
  <si>
    <t>上場インデックスファンド２２５　受益証券</t>
  </si>
  <si>
    <t>Listed Index Fund 225</t>
  </si>
  <si>
    <t>133A</t>
  </si>
  <si>
    <t>グローバルＸ　超短期米国債　ＥＴＦ　受益証券</t>
  </si>
  <si>
    <t>Global X Ultra Short-Term T-Bill ETF</t>
  </si>
  <si>
    <t>8</t>
  </si>
  <si>
    <t>1343</t>
  </si>
  <si>
    <t>ＮＥＸＴ　ＦＵＮＤＳ　東証ＲＥＩＴ　指数連動型上場投信　受益証券</t>
  </si>
  <si>
    <t>NEXT FUNDS REIT INDEX ETF</t>
  </si>
  <si>
    <t>1345</t>
  </si>
  <si>
    <t>上場インデックスファンドＪリート（東証ＲＥＩＴ指数）隔月分配型　受益証券</t>
  </si>
  <si>
    <t>Listed Index Fund J-REIT (Tokyo Stock Exchange REIT Index)Bi-Monthly Dividend Payment Type</t>
  </si>
  <si>
    <t>1346</t>
  </si>
  <si>
    <t>ＭＡＸＩＳ　日経２２５上場投信　受益証券</t>
  </si>
  <si>
    <t>MAXIS NIKKEI 225 ETF</t>
  </si>
  <si>
    <t>1348</t>
  </si>
  <si>
    <t>ＭＡＸＩＳ　トピックス上場投信　受益証券</t>
  </si>
  <si>
    <t>MAXIS TOPIX ETF</t>
  </si>
  <si>
    <t>1349</t>
  </si>
  <si>
    <t>ABF汎アジア債券インデックス・ファンド　受益証券</t>
  </si>
  <si>
    <t>ABF PAN ASIA BOND INDEX FUND</t>
  </si>
  <si>
    <t>18</t>
  </si>
  <si>
    <t>1356</t>
  </si>
  <si>
    <t>ＴＯＰＩＸベア２倍上場投信　受益証券</t>
  </si>
  <si>
    <t>TOPIX Bear -2x ETF</t>
  </si>
  <si>
    <t>1357</t>
  </si>
  <si>
    <t>ＮＥＸＴ　ＦＵＮＤＳ　日経平均ダブルインバース・インデックス連動型上場投信　受益証券</t>
  </si>
  <si>
    <t>NEXT FUNDS Nikkei 225 Double Inverse Index Exchange Traded Fund</t>
  </si>
  <si>
    <t>1358</t>
  </si>
  <si>
    <t>上場インデックスファンド日経レバレッジ指数　受益証券</t>
  </si>
  <si>
    <t>Listed Index Fund Nikkei Leveraged Index</t>
  </si>
  <si>
    <t>1360</t>
  </si>
  <si>
    <t>日経平均ベア２倍上場投信　受益証券</t>
  </si>
  <si>
    <t>Nikkei225 Bear -2x ETF</t>
  </si>
  <si>
    <t>1364</t>
  </si>
  <si>
    <t>ｉシェアーズ　ＪＰＸ日経４００　ＥＴＦ　受益証券</t>
  </si>
  <si>
    <t>iShares JPX-Nikkei 400 ETF</t>
  </si>
  <si>
    <t>1365</t>
  </si>
  <si>
    <t>ｉＦｒｅｅＥＴＦ　日経平均レバレッジ・インデックス　受益証券</t>
  </si>
  <si>
    <t>iFreeETF Nikkei225 Leveraged Index</t>
  </si>
  <si>
    <t>1366</t>
  </si>
  <si>
    <t>ｉＦｒｅｅＥＴＦ　日経平均ダブルインバース・インデックス　受益証券</t>
  </si>
  <si>
    <t>iFreeETF Nikkei225 Double Inverse Index</t>
  </si>
  <si>
    <t>1367</t>
  </si>
  <si>
    <t>ｉＦｒｅｅＥＴＦ　ＴＯＰＩＸレバレッジ（２倍）指数　受益証券</t>
  </si>
  <si>
    <t>iFreeETF TOPIX Leveraged (2x) Index</t>
  </si>
  <si>
    <t>1368</t>
  </si>
  <si>
    <t>ｉＦｒｅｅＥＴＦ　ＴＯＰＩＸダブルインバース（－２倍）指数　受益証券</t>
  </si>
  <si>
    <t>iFreeETF TOPIX Double Inverse (-2x) Index</t>
  </si>
  <si>
    <t>1369</t>
  </si>
  <si>
    <t>Ｏｎｅ　ＥＴＦ　日経２２５　受益証券</t>
  </si>
  <si>
    <t>One ETF Nikkei225</t>
  </si>
  <si>
    <t>1397</t>
  </si>
  <si>
    <t>ＳＭＤＡＭ　日経２２５上場投信　受益証券</t>
  </si>
  <si>
    <t>SMDAM NIKKEI225 ETF</t>
  </si>
  <si>
    <t>1398</t>
  </si>
  <si>
    <t>ＳＭＤＡＭ　東証ＲＥＩＴ指数上場投信　受益証券</t>
  </si>
  <si>
    <t>SMDAM REIT Index ETF</t>
  </si>
  <si>
    <t>1399</t>
  </si>
  <si>
    <t>上場インデックスファンドＭＳＣＩ日本株高配当低ボラティリティ　受益証券</t>
  </si>
  <si>
    <t>Listed Index Fund MSCI Japan Equity High Dividend Low Volatility</t>
  </si>
  <si>
    <t>140A</t>
  </si>
  <si>
    <t>ｉＦｒｅｅＥＴＦ　米国１０年国債先物インバース　受益証券</t>
  </si>
  <si>
    <t>iFreeETF 10-Year U.S. Treasury Note Futures Inverse</t>
  </si>
  <si>
    <t>24</t>
  </si>
  <si>
    <t>1456</t>
  </si>
  <si>
    <t>ｉＦｒｅｅＥＴＦ　日経平均インバース・インデックス　受益証券</t>
  </si>
  <si>
    <t>iFreeETF Nikkei225 Inverse Index</t>
  </si>
  <si>
    <t>1457</t>
  </si>
  <si>
    <t>ｉＦｒｅｅＥＴＦ　ＴＯＰＩＸインバース（－１倍）指数　受益証券</t>
  </si>
  <si>
    <t>iFreeETF TOPIX Inverse (-1x) Index</t>
  </si>
  <si>
    <t>1458</t>
  </si>
  <si>
    <t>楽天ＥＴＦ‐日経レバレッジ指数連動型　受益証券</t>
  </si>
  <si>
    <t>Rakuten ETF - Nikkei 225 Leveraged Index</t>
  </si>
  <si>
    <t>1459</t>
  </si>
  <si>
    <t>楽天ＥＴＦ‐日経ダブルインバース指数連動型　受益証券</t>
  </si>
  <si>
    <t>Rakuten ETF - Nikkei 225 Double Inverse Index</t>
  </si>
  <si>
    <t>1466</t>
  </si>
  <si>
    <t>ｉＦｒｅｅＥＴＦ　ＪＰＸ日経４００ダブルインバース・インデックス　受益証券</t>
  </si>
  <si>
    <t>iFreeETF JPX-Nikkei400 Double Inverse (-2x) Index</t>
  </si>
  <si>
    <t>1469</t>
  </si>
  <si>
    <t>ＪＰＸ日経４００ベア２倍上場投信（ダブルインバース）　受益証券</t>
  </si>
  <si>
    <t>JPX-Nikkei 400 Bear -2x Double Inverse ETF</t>
  </si>
  <si>
    <t>1472</t>
  </si>
  <si>
    <t>ＮＥＸＴ　ＦＵＮＤＳ　ＪＰＸ日経４００ダブルインバース・インデックス連動型上場投信　受益証券</t>
  </si>
  <si>
    <t>NEXT FUNDS JPX-Nikkei 400 Double Inverse Index Exchange Traded Fund</t>
  </si>
  <si>
    <t>1473</t>
  </si>
  <si>
    <t>Ｏｎｅ　ＥＴＦ　トピックス　受益証券</t>
  </si>
  <si>
    <t>One ETF TOPIX</t>
  </si>
  <si>
    <t>1474</t>
  </si>
  <si>
    <t>Ｏｎｅ　ＥＴＦ　ＪＰＸ日経４００　受益証券</t>
  </si>
  <si>
    <t>One ETF JPX-Nikkei 400</t>
  </si>
  <si>
    <t>1475</t>
  </si>
  <si>
    <t>ｉシェアーズ・コア　ＴＯＰＩＸ　ＥＴＦ　受益証券</t>
  </si>
  <si>
    <t>iShares Core TOPIX ETF</t>
  </si>
  <si>
    <t>1476</t>
  </si>
  <si>
    <t>ｉシェアーズ・コア　Ｊリート　ＥＴＦ　受益証券</t>
  </si>
  <si>
    <t>iShares Core Japan REIT ETF</t>
  </si>
  <si>
    <t>1477</t>
  </si>
  <si>
    <t>ｉシェアーズ　ＭＳＣＩ　日本株最小分散　ＥＴＦ　受益証券</t>
  </si>
  <si>
    <t>iShares MSCI Japan Minimum Volatility (ex-REITs) ETF</t>
  </si>
  <si>
    <t>1478</t>
  </si>
  <si>
    <t>ｉシェアーズ　ＭＳＣＩ　ジャパン高配当利回り　ＥＴＦ　受益証券</t>
  </si>
  <si>
    <t>iShares MSCI Japan High Dividend ETF</t>
  </si>
  <si>
    <t>1479</t>
  </si>
  <si>
    <t>ｉＦｒｅｅＥＴＦ　ＭＳＣＩ日本株人材設備投資指数　受益証券</t>
  </si>
  <si>
    <t>iFreeETF MSCI Japan Human and Physical Investment Index</t>
  </si>
  <si>
    <t>25</t>
  </si>
  <si>
    <t>1480</t>
  </si>
  <si>
    <t>ＮＥＸＴ　ＦＵＮＤＳ　野村企業価値分配指数連動型上場投信　受益証券</t>
  </si>
  <si>
    <t>NEXT FUNDS Nomura Enterprise Value Allocation Index Exchange Traded Fund</t>
  </si>
  <si>
    <t>1481</t>
  </si>
  <si>
    <t>上場インデックスファンド日本経済貢献株　受益証券</t>
  </si>
  <si>
    <t>Listed Index Fund Japanese Economy Contributor Stocks</t>
  </si>
  <si>
    <t>1482</t>
  </si>
  <si>
    <t>ｉシェアーズ・コア　米国債７－１０年　ＥＴＦ（為替ヘッジあり）　受益証券</t>
  </si>
  <si>
    <t>iShares Core 7-10 Year US Treasury Bond JPY Hedged ETF</t>
  </si>
  <si>
    <t>7</t>
  </si>
  <si>
    <t>1483</t>
  </si>
  <si>
    <t>ｉシェアーズ　ＪＰＸ／Ｓ＆Ｐ設備・人材投資　ＥＴＦ　受益証券</t>
  </si>
  <si>
    <t>iShares JPX/S&amp;P CAPEX &amp; Human Capital ETF</t>
  </si>
  <si>
    <t>1484</t>
  </si>
  <si>
    <t>Ｏｎｅ　ＥＴＦ　ＪＰＸ／Ｓ＆Ｐ　設備・人材投資指数　受益証券</t>
  </si>
  <si>
    <t>One ETF JPX/S&amp;P CAPEX &amp; Human Capital Index</t>
  </si>
  <si>
    <t>10</t>
  </si>
  <si>
    <t>1485</t>
  </si>
  <si>
    <t>ＭＡＸＩＳ　ＪＡＰＡＮ　設備・人材積極投資企業２００上場投信　受益証券</t>
  </si>
  <si>
    <t>MAXIS JAPAN Proactive Investment in Physical and Human Capital 200 Index ETF</t>
  </si>
  <si>
    <t>17</t>
  </si>
  <si>
    <t>1486</t>
  </si>
  <si>
    <t>上場インデックスファンド米国債券（為替ヘッジなし）　受益証券</t>
  </si>
  <si>
    <t>Listed Index Fund US Bond (No Currency Hedge)</t>
  </si>
  <si>
    <t>1487</t>
  </si>
  <si>
    <t>上場インデックスファンド米国債券（為替ヘッジあり）　受益証券</t>
  </si>
  <si>
    <t>Listed Index Fund US Bond (Currency Hedge)</t>
  </si>
  <si>
    <t>1488</t>
  </si>
  <si>
    <t>ｉＦｒｅｅＥＴＦ　東証ＲＥＩＴ指数　受益証券</t>
  </si>
  <si>
    <t>iFreeETF Tokyo Stock Exchange REIT Index</t>
  </si>
  <si>
    <t>1489</t>
  </si>
  <si>
    <t>ＮＥＸＴ　ＦＵＮＤＳ　日経平均高配当株５０指数連動型上場投信　受益証券</t>
  </si>
  <si>
    <t>NEXT FUNDS Nikkei 225 High Dividend Yield Stock 50 Index Exchange Traded Fund</t>
  </si>
  <si>
    <t>1490</t>
  </si>
  <si>
    <t>上場インデックスファンドＭＳＣＩ日本株高配当低ボラティリティ（βヘッジ）　受益証券</t>
  </si>
  <si>
    <t>Listed Index Fund MSCI Japan Equity High Dividend Low Volatility (Beta Hedged)</t>
  </si>
  <si>
    <t>1493</t>
  </si>
  <si>
    <t>Ｏｎｅ　ＥＴＦ　ＪＰＸ日経中小型　受益証券</t>
  </si>
  <si>
    <t>One ETF JPX-Nikkei Mid Small</t>
  </si>
  <si>
    <t>1494</t>
  </si>
  <si>
    <t>Ｏｎｅ　ＥＴＦ　高配当日本株　受益証券</t>
  </si>
  <si>
    <t>One ETF High Dividend Japan Equity</t>
  </si>
  <si>
    <t>1495</t>
  </si>
  <si>
    <t>上場インデックスファンドアジアリート　受益証券</t>
  </si>
  <si>
    <t>Listed Index Fund Asian REIT</t>
  </si>
  <si>
    <t>1496</t>
  </si>
  <si>
    <t>ｉシェアーズ　米ドル建て投資適格社債　ＥＴＦ（為替ヘッジあり）　受益証券</t>
  </si>
  <si>
    <t>iShares USD Investment Grade Corporate Bond JPY Hedged ETF</t>
  </si>
  <si>
    <t>1497</t>
  </si>
  <si>
    <t>ｉシェアーズ　米ドル建てハイイールド社債　ＥＴＦ（為替ヘッジあり）　受益証券</t>
  </si>
  <si>
    <t>iShares USD High Yield Corporate Bond JPY Hedged ETF</t>
  </si>
  <si>
    <t>1498</t>
  </si>
  <si>
    <t>Ｏｎｅ　ＥＴＦ　ＥＳＧ　受益証券</t>
  </si>
  <si>
    <t>One ETF ESG</t>
  </si>
  <si>
    <t>1499</t>
  </si>
  <si>
    <t>ＭＡＸＩＳ日本株高配当７０マーケットニュートラル上場投信　受益証券</t>
  </si>
  <si>
    <t>MAXIS Japan Equity High Dividend 70 Market Neutral ETF</t>
  </si>
  <si>
    <t>1540</t>
  </si>
  <si>
    <t>純金上場信託（現物国内保管型）　受益証券</t>
  </si>
  <si>
    <t>Japan Physical Gold ETF</t>
  </si>
  <si>
    <t>1541</t>
  </si>
  <si>
    <t>純プラチナ上場信託（現物国内保管型）　受益証券</t>
  </si>
  <si>
    <t>Japan Physical Platinum ETF</t>
  </si>
  <si>
    <t>1542</t>
  </si>
  <si>
    <t>純銀上場信託（現物国内保管型）　受益証券</t>
  </si>
  <si>
    <t>Japan Physical Silver ETF</t>
  </si>
  <si>
    <t>1543</t>
  </si>
  <si>
    <t>純パラジウム上場信託（現物国内保管型）　受益証券</t>
  </si>
  <si>
    <t>Japan Physical Palladium ETF</t>
  </si>
  <si>
    <t>4</t>
  </si>
  <si>
    <t>1545</t>
  </si>
  <si>
    <t>ＮＥＸＴ　ＦＵＮＤＳ　ＮＡＳＤＡＱ－１００（為替ヘッジなし）連動型上場投信　受益証券</t>
  </si>
  <si>
    <t>NEXT FUNDS NASDAQ-100(R) (Unhedged) Exchange Traded Fund</t>
  </si>
  <si>
    <t>1546</t>
  </si>
  <si>
    <t>ＮＥＸＴ　ＦＵＮＤＳ　ダウ・ジョーンズ工業株３０種平均株価（為替ヘッジなし）連動型上場投信　受益証券</t>
  </si>
  <si>
    <t>NEXT FUNDS DJIA (Unhedged) Exchange Traded Fund</t>
  </si>
  <si>
    <t>1547</t>
  </si>
  <si>
    <t>上場インデックスファンド米国株式（Ｓ＆Ｐ５００）　受益証券</t>
  </si>
  <si>
    <t>Listed Index Fund US Equity (S&amp;P500)</t>
  </si>
  <si>
    <t>1550</t>
  </si>
  <si>
    <t>ＭＡＸＩＳ　海外株式（ＭＳＣＩコクサイ）上場投信　受益証券</t>
  </si>
  <si>
    <t>MAXIS Global Equity (MSCI Kokusai) ETF</t>
  </si>
  <si>
    <t>1551</t>
  </si>
  <si>
    <t>東証スタンダードＴＯＰ２０ＥＴＦ　受益証券</t>
  </si>
  <si>
    <t>TSE Standard Top 20 ETF</t>
  </si>
  <si>
    <t>28</t>
  </si>
  <si>
    <t>1554</t>
  </si>
  <si>
    <t>上場インデックスファンド世界株式（ＭＳＣＩ　ＡＣＷＩ）除く日本　受益証券</t>
  </si>
  <si>
    <t>Listed Index Fund World Equity (MSCI ACWI) ex Japan</t>
  </si>
  <si>
    <t>1555</t>
  </si>
  <si>
    <t>上場インデックスファンド豪州リート（Ｓ＆Ｐ／ＡＳＸ２００　Ａ－ＲＥＩＴ）　受益証券</t>
  </si>
  <si>
    <t>Listed Index Fund Australian REIT (S&amp;P/ASX200 A-REIT)</t>
  </si>
  <si>
    <t>1557</t>
  </si>
  <si>
    <t>ＳＰＤＲ　Ｓ＆Ｐ５００　ＥＴＦ　受益証券</t>
  </si>
  <si>
    <t>State Street SPDR S&amp;P 500 ETF Trust</t>
  </si>
  <si>
    <t>1559</t>
  </si>
  <si>
    <t>ＮＥＸＴ　ＦＵＮＤＳ　タイ株式ＳＥＴ５０指数連動型上場投信　受益証券</t>
  </si>
  <si>
    <t>NEXT FUNDS Thai Stock SET50 Exchange Traded Fund</t>
  </si>
  <si>
    <t>1560</t>
  </si>
  <si>
    <t>ＮＥＸＴ　ＦＵＮＤＳ　ＦＴＳＥブルサ・マレーシアＫＬＣＩ連動型上場投信　受益証券</t>
  </si>
  <si>
    <t>NEXT FUNDS FTSE Bursa Malaysia KLCI Exchange Traded Fund</t>
  </si>
  <si>
    <t>1563</t>
  </si>
  <si>
    <t>東証グロース・コアＥＴＦ　受益証券</t>
  </si>
  <si>
    <t>TSE Growth Core ETF</t>
  </si>
  <si>
    <t>1566</t>
  </si>
  <si>
    <t>上場インデックスファンド新興国債券　受益証券</t>
  </si>
  <si>
    <t>Listed Index Fund Emerging Bond</t>
  </si>
  <si>
    <t>15</t>
  </si>
  <si>
    <t>1568</t>
  </si>
  <si>
    <t>ＴＯＰＩＸブル２倍上場投信　受益証券</t>
  </si>
  <si>
    <t>TOPIX Bull 2x ETF</t>
  </si>
  <si>
    <t>1569</t>
  </si>
  <si>
    <t>ＴＯＰＩＸベア上場投信　受益証券</t>
  </si>
  <si>
    <t>TOPIX Bear -1x ETF</t>
  </si>
  <si>
    <t>1570</t>
  </si>
  <si>
    <t>ＮＥＸＴ　ＦＵＮＤＳ　日経平均レバレッジ・インデックス連動型上場投信　受益証券</t>
  </si>
  <si>
    <t>NEXT FUNDS Nikkei 225 Leveraged Index Exchange Traded Fund</t>
  </si>
  <si>
    <t>1571</t>
  </si>
  <si>
    <t>ＮＥＸＴ　ＦＵＮＤＳ　日経平均インバース・インデックス連動型上場投信　受益証券</t>
  </si>
  <si>
    <t>NEXT FUNDS Nikkei 225 Inverse Index Exchange Traded Fund</t>
  </si>
  <si>
    <t>1572</t>
  </si>
  <si>
    <t>中国Ｈ株ブル２倍上場投信　受益証券</t>
  </si>
  <si>
    <t>China Bull 2x HSCEI ETF</t>
  </si>
  <si>
    <t>1573</t>
  </si>
  <si>
    <t>中国Ｈ株ベア上場投信　受益証券</t>
  </si>
  <si>
    <t>China Bear -1x HSCEI ETF</t>
  </si>
  <si>
    <t>1577</t>
  </si>
  <si>
    <t>ＮＥＸＴ　ＦＵＮＤＳ　野村日本株高配当７０連動型上場投信　受益証券</t>
  </si>
  <si>
    <t>NEXT FUNDS Nomura Japan Equity High Dividend 70 Exchange Traded Fund</t>
  </si>
  <si>
    <t>1578</t>
  </si>
  <si>
    <t>上場インデックスファンド日経２２５（ミニ）　受益証券</t>
  </si>
  <si>
    <t>Listed Index Fund Nikkei 225 (Mini)</t>
  </si>
  <si>
    <t>1579</t>
  </si>
  <si>
    <t>日経平均ブル２倍上場投信　受益証券</t>
  </si>
  <si>
    <t>Nikkei 225 Bull 2x ETF</t>
  </si>
  <si>
    <t>1580</t>
  </si>
  <si>
    <t>日経平均ベア上場投信　受益証券</t>
  </si>
  <si>
    <t>Nikkei 225 Bear -1x ETF</t>
  </si>
  <si>
    <t>1585</t>
  </si>
  <si>
    <t>ｉＦｒｅｅＥＴＦ　ＴＯＰＩＸ　Ｅｘ－Ｆｉｎａｎｃｉａｌｓ　受益証券</t>
  </si>
  <si>
    <t>iFreeETF TOPIX Ex-Financials</t>
  </si>
  <si>
    <t>1586</t>
  </si>
  <si>
    <t>上場インデックスファンドＴＯＰＩＸ　Ｅｘ－Ｆｉｎａｎｃｉａｌｓ　受益証券</t>
  </si>
  <si>
    <t>Listed Index Fund TOPIX Ex-Financials</t>
  </si>
  <si>
    <t>1591</t>
  </si>
  <si>
    <t>ＮＥＸＴ　ＦＵＮＤＳ　ＪＰＸ日経インデックス４００連動型上場投信　受益証券</t>
  </si>
  <si>
    <t>NEXT FUNDS JPX-Nikkei Index 400 Exchange Traded Fund</t>
  </si>
  <si>
    <t>1592</t>
  </si>
  <si>
    <t>上場インデックスファンドＪＰＸ日経インデックス４００　受益証券</t>
  </si>
  <si>
    <t>Listed Index Fund JPX-Nikkei Index 400</t>
  </si>
  <si>
    <t>1593</t>
  </si>
  <si>
    <t>ＭＡＸＩＳ　ＪＰＸ日経インデックス４００上場投信　受益証券</t>
  </si>
  <si>
    <t>MAXIS JPX-Nikkei Index 400 ETF</t>
  </si>
  <si>
    <t>1595</t>
  </si>
  <si>
    <t>ＮＺＡＭ　上場投信　東証ＲＥＩＴ指数　受益証券</t>
  </si>
  <si>
    <t>NZAM ETF J-REIT Index</t>
  </si>
  <si>
    <t>1596</t>
  </si>
  <si>
    <t>ＮＺＡＭ　上場投信　ＴＯＰＩＸ　Ｅｘ－Ｆｉｎａｎｃｉａｌｓ　受益証券</t>
  </si>
  <si>
    <t>NZAM ETF TOPIX Ex-Financials</t>
  </si>
  <si>
    <t>1597</t>
  </si>
  <si>
    <t>ＭＡＸＩＳ　Ｊリート上場投信　受益証券</t>
  </si>
  <si>
    <t>MAXIS J-REIT ETF</t>
  </si>
  <si>
    <t>1599</t>
  </si>
  <si>
    <t>ｉＦｒｅｅＥＴＦ　ＪＰＸ日経４００　受益証券</t>
  </si>
  <si>
    <t>iFreeETF JPX-Nikkei400</t>
  </si>
  <si>
    <t>159A</t>
  </si>
  <si>
    <t>ＮＥＸＴ　ＦＵＮＤＳ　ＪＰＸプライム１５０指数連動型上場投信　受益証券</t>
  </si>
  <si>
    <t>NEXT FUNDS JPX Prime 150 Index Exchange Traded Fund</t>
  </si>
  <si>
    <t>1615</t>
  </si>
  <si>
    <t>ＮＥＸＴ　ＦＵＮＤＳ　東証銀行業株価指数連動型上場投信　受益証券</t>
  </si>
  <si>
    <t>NEXT FUNDS TOPIX Banks Exchange Traded Fund</t>
  </si>
  <si>
    <t>1617</t>
  </si>
  <si>
    <t>ＮＥＸＴ　ＦＵＮＤＳ　食品（ＴＯＰＩＸ－１７）上場投信　受益証券</t>
  </si>
  <si>
    <t>NEXT FUNDS TOPIX-17 FOODS ETF</t>
  </si>
  <si>
    <t>1618</t>
  </si>
  <si>
    <t>ＮＥＸＴ　ＦＵＮＤＳ　エネルギー資源（ＴＯＰＩＸ－１７）上場投信　受益証券</t>
  </si>
  <si>
    <t>NEXT FUNDS TOPIX-17 ENERGY RESOURCES ETF</t>
  </si>
  <si>
    <t>1619</t>
  </si>
  <si>
    <t>ＮＥＸＴ　ＦＵＮＤＳ　建設・資材（ＴＯＰＩＸ－１７）上場投信　受益証券</t>
  </si>
  <si>
    <t>NEXT FUNDS TOPIX-17 CONSTRUCTION &amp; MATERIALS ETF</t>
  </si>
  <si>
    <t>1620</t>
  </si>
  <si>
    <t>ＮＥＸＴ　ＦＵＮＤＳ　素材・化学（ＴＯＰＩＸ－１７）上場投信　受益証券</t>
  </si>
  <si>
    <t>NEXT FUNDS TOPIX-17 RAW MATERIALS &amp; CHEMICALS ETF</t>
  </si>
  <si>
    <t>1621</t>
  </si>
  <si>
    <t>ＮＥＸＴ　ＦＵＮＤＳ　医薬品（ＴＯＰＩＸ－１７）上場投信　受益証券</t>
  </si>
  <si>
    <t>NEXT FUNDS TOPIX-17 PHARMACEUTICAL ETF</t>
  </si>
  <si>
    <t>1622</t>
  </si>
  <si>
    <t>ＮＥＸＴ　ＦＵＮＤＳ　自動車・輸送機（ＴＯＰＩＸ－１７）上場投信　受益証券</t>
  </si>
  <si>
    <t>NEXT FUNDS TOPIX-17 AUTOMOBILES TRANSPORTATION EQUIPMENT ETF</t>
  </si>
  <si>
    <t>1623</t>
  </si>
  <si>
    <t>ＮＥＸＴ　ＦＵＮＤＳ　鉄鋼・非鉄（ＴＯＰＩＸ－１７）上場投信　受益証券</t>
  </si>
  <si>
    <t>NEXT FUNDS TOPIX-17 STEEL &amp; NONFERROUS ETF</t>
  </si>
  <si>
    <t>1624</t>
  </si>
  <si>
    <t>ＮＥＸＴ　ＦＵＮＤＳ　機械（ＴＯＰＩＸ－１７）上場投信　受益証券</t>
  </si>
  <si>
    <t>NEXT FUNDS TOPIX-17 MACHINERY ETF</t>
  </si>
  <si>
    <t>1625</t>
  </si>
  <si>
    <t>ＮＥＸＴ　ＦＵＮＤＳ　電機・精密（ＴＯＰＩＸ－１７）上場投信　受益証券</t>
  </si>
  <si>
    <t>NEXT FUNDS TOPIX-17 ELECTRIC &amp; PRECISION INSTRUMENTS ETF</t>
  </si>
  <si>
    <t>1626</t>
  </si>
  <si>
    <t>ＮＥＸＴ　ＦＵＮＤＳ　情報通信・サービスその他（ＴＯＰＩＸ－１７）上場投信　受益証券</t>
  </si>
  <si>
    <t>NEXT FUNDS TOPIX-17 IT &amp; SERVICES,OTHERS ETF</t>
  </si>
  <si>
    <t>1627</t>
  </si>
  <si>
    <t>ＮＥＸＴ　ＦＵＮＤＳ　電力・ガス（ＴＯＰＩＸ－１７）上場投信　受益証券</t>
  </si>
  <si>
    <t>NEXT FUNDS TOPIX-17 ELECTRIC POWER &amp; GAS ETF</t>
  </si>
  <si>
    <t>1628</t>
  </si>
  <si>
    <t>ＮＥＸＴ　ＦＵＮＤＳ　運輸・物流（ＴＯＰＩＸ－１７）上場投信　受益証券</t>
  </si>
  <si>
    <t>NEXT FUNDS TOPIX-17 TRANSPORTATION &amp; LOGISTICS ETF</t>
  </si>
  <si>
    <t>1629</t>
  </si>
  <si>
    <t>ＮＥＸＴ　ＦＵＮＤＳ　商社・卸売（ＴＯＰＩＸ－１７）上場投信　受益証券</t>
  </si>
  <si>
    <t>NEXT FUNDS TOPIX-17 COMMERCIAL &amp; WHOLESALE TRADE ETF</t>
  </si>
  <si>
    <t>162A</t>
  </si>
  <si>
    <t>ＡＩセレクトメガトレンド　日本株（ネットリターン）ＥＴＮ　受益証券</t>
  </si>
  <si>
    <t>AI Select Megatrend Japan Equity Net Return ETN</t>
  </si>
  <si>
    <t>信用</t>
  </si>
  <si>
    <t>1630</t>
  </si>
  <si>
    <t>ＮＥＸＴ　ＦＵＮＤＳ　小売（ＴＯＰＩＸ－１７）上場投信　受益証券</t>
  </si>
  <si>
    <t>NEXT FUNDS TOPIX-17 RETAIL TRADE ETF</t>
  </si>
  <si>
    <t>1631</t>
  </si>
  <si>
    <t>ＮＥＸＴ　ＦＵＮＤＳ　銀行（ＴＯＰＩＸ－１７）上場投信　受益証券</t>
  </si>
  <si>
    <t>NEXT FUNDS TOPIX-17 BANKS ETF</t>
  </si>
  <si>
    <t>1632</t>
  </si>
  <si>
    <t>ＮＥＸＴ　ＦＵＮＤＳ　金融（除く銀行）（ＴＯＰＩＸ－１７）上場投信　受益証券</t>
  </si>
  <si>
    <t>NEXT FUNDS TOPIX-17 FINANCIALS (EX BANKS) ETF</t>
  </si>
  <si>
    <t>1633</t>
  </si>
  <si>
    <t>ＮＥＸＴ　ＦＵＮＤＳ　不動産（ＴＯＰＩＸ－１７）上場投信　受益証券</t>
  </si>
  <si>
    <t>NEXT FUNDS TOPIX-17 REAL ESTATE ETF</t>
  </si>
  <si>
    <t>163A</t>
  </si>
  <si>
    <t>半導体フォーカス　日本株（ネットリターン）ＥＴＮ　受益証券</t>
  </si>
  <si>
    <t>Semiconductor Focus Japan Equity Net Return ETN</t>
  </si>
  <si>
    <t>1651</t>
  </si>
  <si>
    <t>ｉＦｒｅｅＥＴＦ　ＴＯＰＩＸ高配当４０指数　受益証券</t>
  </si>
  <si>
    <t>iFreeETF TOPIX High Dividend Yield 40 Index</t>
  </si>
  <si>
    <t>1652</t>
  </si>
  <si>
    <t>ｉＦｒｅｅＥＴＦ　ＭＳＣＩ日本株女性活躍指数（ＷＩＮ）　受益証券</t>
  </si>
  <si>
    <t>iFreeETF MSCI Japan Empowering Women Index (WIN)</t>
  </si>
  <si>
    <t>1653</t>
  </si>
  <si>
    <t>ｉＦｒｅｅＥＴＦ　ＭＳＣＩジャパンＥＳＧセレクト・リーダーズ指数　受益証券</t>
  </si>
  <si>
    <t>iFreeETF MSCI Japan ESG Select Leaders Index</t>
  </si>
  <si>
    <t>1654</t>
  </si>
  <si>
    <t>ｉＦｒｅｅＥＴＦ　ＦＴＳＥ　ＪＰＸ　Ｂｌｏｓｓｏｍ　Ｊａｐａｎ　Ｉｎｄｅｘ　受益証券</t>
  </si>
  <si>
    <t>iFreeETF FTSE JPX Blossom Japan Index</t>
  </si>
  <si>
    <t>1655</t>
  </si>
  <si>
    <t>ｉシェアーズ　Ｓ＆Ｐ　５００　米国株　ＥＴＦ　受益証券</t>
  </si>
  <si>
    <t>iShares S&amp;P 500 ETF</t>
  </si>
  <si>
    <t>1656</t>
  </si>
  <si>
    <t>ｉシェアーズ・コア　米国債７－１０年　ＥＴＦ　受益証券</t>
  </si>
  <si>
    <t>iShares Core 7-10 Year US Treasury Bond ETF</t>
  </si>
  <si>
    <t>1657</t>
  </si>
  <si>
    <t>ｉシェアーズ・コア　ＭＳＣＩ　先進国株（除く日本）ＥＴＦ　受益証券</t>
  </si>
  <si>
    <t>iShares Core MSCI Kokusai ETF</t>
  </si>
  <si>
    <t>1658</t>
  </si>
  <si>
    <t>ｉシェアーズ・コア　ＭＳＣＩ　新興国株　ＥＴＦ　受益証券</t>
  </si>
  <si>
    <t>iShares Core MSCI Emerging Markets IMI ETF</t>
  </si>
  <si>
    <t>1659</t>
  </si>
  <si>
    <t>ｉシェアーズ　米国リート　ＥＴＦ　受益証券</t>
  </si>
  <si>
    <t>iShares US REIT ETF</t>
  </si>
  <si>
    <t>1660</t>
  </si>
  <si>
    <t>ＭＡＸＩＳ高利回りＪリート上場投信　受益証券</t>
  </si>
  <si>
    <t>MAXIS High Yield J-REIT ETF</t>
  </si>
  <si>
    <t>1671</t>
  </si>
  <si>
    <t>ＷＴＩ原油価格連動型上場投信　受益証券</t>
  </si>
  <si>
    <t>Simplex WTI ETF</t>
  </si>
  <si>
    <t>1672</t>
  </si>
  <si>
    <t>ＥＴＦＳ　金上場投資信託　投資証券</t>
  </si>
  <si>
    <t>WisdomTree Physical Gold Individual Securities</t>
  </si>
  <si>
    <t>1673</t>
  </si>
  <si>
    <t>ＥＴＦＳ　銀上場投資信託　投資証券</t>
  </si>
  <si>
    <t>WisdomTree Physical Silver Individual Securities</t>
  </si>
  <si>
    <t>1674</t>
  </si>
  <si>
    <t>ＥＴＦＳ　白金上場投資信託　投資証券</t>
  </si>
  <si>
    <t>WisdomTree Physical Platinum Individual Securities</t>
  </si>
  <si>
    <t>1675</t>
  </si>
  <si>
    <t>ＥＴＦＳ　パラジウム上場投資信託　投資証券</t>
  </si>
  <si>
    <t>WisdomTree Physical Palladium Individual Securities</t>
  </si>
  <si>
    <t>1676</t>
  </si>
  <si>
    <t>ＥＴＦＳ　貴金属バスケット上場投資信託　投資証券</t>
  </si>
  <si>
    <t>WisdomTree Physical Precious Metals Basket Securities</t>
  </si>
  <si>
    <t>1677</t>
  </si>
  <si>
    <t>上場インデックスファンド海外債券（ＦＴＳＥ　ＷＧＢＩ）毎月分配型　受益証券</t>
  </si>
  <si>
    <t>Listed Index Fund International Bond (FTSE WGBI) Monthly Dividend Payment Type</t>
  </si>
  <si>
    <t>1678</t>
  </si>
  <si>
    <t>ＮＥＸＴ　ＦＵＮＤＳ　インド株式指数・Ｎｉｆｔｙ　５０　連動型上場投信　受益証券</t>
  </si>
  <si>
    <t>NEXT FUNDS Nifty 50 Linked Exchange Traded Fund</t>
  </si>
  <si>
    <t>1679</t>
  </si>
  <si>
    <t>Ｓｉｍｐｌｅ－Ｘ　ＮＹ　ダウ・ジョーンズ・インデックス上場投信　受益証券</t>
  </si>
  <si>
    <t>Simple-X NY Dow Jones Index ETF</t>
  </si>
  <si>
    <t>1680</t>
  </si>
  <si>
    <t>上場インデックスファンド海外先進国株式（ＭＳＣＩ－ＫＯＫＵＳＡＩ）　受益証券</t>
  </si>
  <si>
    <t>Listed Index Fund International Developed Countries Equity (MSCI-KOKUSAI)</t>
  </si>
  <si>
    <t>1681</t>
  </si>
  <si>
    <t>上場インデックスファンド海外新興国株式（ＭＳＣＩ　エマージング）　受益証券</t>
  </si>
  <si>
    <t>Listed Index Fund International Emerging Countries Equity (MSCI EMERGING)</t>
  </si>
  <si>
    <t>1684</t>
  </si>
  <si>
    <t>ＥＴＦＳ　総合上場投資信託　投資証券</t>
  </si>
  <si>
    <t>WisdomTree Broad Commodities</t>
  </si>
  <si>
    <t>1685</t>
  </si>
  <si>
    <t>ＥＴＦＳ　エネルギー上場投資信託　投資証券</t>
  </si>
  <si>
    <t>WisdomTree Energy</t>
  </si>
  <si>
    <t>1686</t>
  </si>
  <si>
    <t>ＥＴＦＳ　産業用金属上場投資信託　投資証券</t>
  </si>
  <si>
    <t>WisdomTree Industrial Metals</t>
  </si>
  <si>
    <t>1687</t>
  </si>
  <si>
    <t>ＥＴＦＳ　農産物上場投資信託　投資証券</t>
  </si>
  <si>
    <t>WisdomTree Agriculture</t>
  </si>
  <si>
    <t>1688</t>
  </si>
  <si>
    <t>ＥＴＦＳ　穀物上場投資信託　投資証券</t>
  </si>
  <si>
    <t>WisdomTree Grains</t>
  </si>
  <si>
    <t>9</t>
  </si>
  <si>
    <t>1689</t>
  </si>
  <si>
    <t>ＥＴＦＳ　天然ガス上場投資信託　投資証券</t>
  </si>
  <si>
    <t>WisdomTree Natural Gas</t>
  </si>
  <si>
    <t>1690</t>
  </si>
  <si>
    <t>ＥＴＦＳ　ＷＴＩ　原油上場投資信託　投資証券</t>
  </si>
  <si>
    <t>WisdomTree WTI Crude Oil</t>
  </si>
  <si>
    <t>1691</t>
  </si>
  <si>
    <t>ＥＴＦＳ　ガソリン上場投資信託　投資証券</t>
  </si>
  <si>
    <t>WisdomTree Gasoline</t>
  </si>
  <si>
    <t>1692</t>
  </si>
  <si>
    <t>ＥＴＦＳ　アルミニウム上場投資信託　投資証券</t>
  </si>
  <si>
    <t>WisdomTree Aluminium</t>
  </si>
  <si>
    <t>1693</t>
  </si>
  <si>
    <t>ＥＴＦＳ　銅上場投資信託　投資証券</t>
  </si>
  <si>
    <t>WisdomTree Copper</t>
  </si>
  <si>
    <t>1694</t>
  </si>
  <si>
    <t>ＥＴＦＳ　ニッケル上場投資信託　投資証券</t>
  </si>
  <si>
    <t>WisdomTree Nickel</t>
  </si>
  <si>
    <t>1695</t>
  </si>
  <si>
    <t>ＥＴＦＳ　小麦上場投資信託　投資証券</t>
  </si>
  <si>
    <t>WisdomTree Wheat</t>
  </si>
  <si>
    <t>1696</t>
  </si>
  <si>
    <t>ＥＴＦＳ　とうもろこし上場投資信託　投資証券</t>
  </si>
  <si>
    <t>WisdomTree Corn</t>
  </si>
  <si>
    <t>1697</t>
  </si>
  <si>
    <t>ＥＴＦＳ　大豆上場投資信託　投資証券</t>
  </si>
  <si>
    <t>WisdomTree Soybeans</t>
  </si>
  <si>
    <t>1698</t>
  </si>
  <si>
    <t>上場インデックスファンド日本高配当（東証配当フォーカス１００）　受益証券</t>
  </si>
  <si>
    <t>Listed Index Fund Japan High Dividend (TSE Dividend Focus 100)</t>
  </si>
  <si>
    <t>1699</t>
  </si>
  <si>
    <t>ＮＥＸＴ　ＦＵＮＤＳ　ＮＯＭＵＲＡ　原油インデックス連動型上場投信　受益証券</t>
  </si>
  <si>
    <t>NEXT FUNDS NOMURA Crude Oil Long Index Linked Exchange Traded Fund</t>
  </si>
  <si>
    <t>170A</t>
  </si>
  <si>
    <t>ＳＭＴ　ＥＴＦ日本好配当株アクティブ　受益証券</t>
  </si>
  <si>
    <t>SMT ETF Japan Equity Income Strategy Active</t>
  </si>
  <si>
    <t>178A</t>
  </si>
  <si>
    <t>グローバルＸ　革新的優良企業　ＥＴＦ　受益証券</t>
  </si>
  <si>
    <t>Global X Innovative Bluechip Top 10+ ETF</t>
  </si>
  <si>
    <t>179A</t>
  </si>
  <si>
    <t>グローバルＸ　超長期米国債　ＥＴＦ（為替ヘッジあり）　受益証券</t>
  </si>
  <si>
    <t>Global X 25+ Year T-Bond ETF (JPY Hedged)</t>
  </si>
  <si>
    <t>180A</t>
  </si>
  <si>
    <t>グローバルＸ　超長期米国債　ＥＴＦ　受益証券</t>
  </si>
  <si>
    <t>Global X 25+ Year T-Bond ETF</t>
  </si>
  <si>
    <t>181A</t>
  </si>
  <si>
    <t>ＭＡＸＩＳ米国国債１－３年上場投信（為替ヘッジなし）　受益証券</t>
  </si>
  <si>
    <t>MAXIS US Treasury Bond 1-3 Year ETF (Unhedged)</t>
  </si>
  <si>
    <t>182A</t>
  </si>
  <si>
    <t>ＭＡＸＩＳ米国国債２０年超上場投信（為替ヘッジなし）　受益証券</t>
  </si>
  <si>
    <t>MAXIS US Treasury Bond 20+ Year ETF (Unhedged)</t>
  </si>
  <si>
    <t>183A</t>
  </si>
  <si>
    <t>ＭＡＸＩＳ米国国債２０年超上場投信（為替ヘッジあり）　受益証券</t>
  </si>
  <si>
    <t>MAXIS US Treasury Bond 20+ Year ETF (JPY Hedged)</t>
  </si>
  <si>
    <t>188A</t>
  </si>
  <si>
    <t>グローバルＸ　インド・トップ１０＋　ＥＴＦ　受益証券</t>
  </si>
  <si>
    <t>Global X India Top 10+ ETF</t>
  </si>
  <si>
    <t>200A</t>
  </si>
  <si>
    <t>ＮＥＸＴ　ＦＵＮＤＳ　日経半導体株指数連動型上場投信　受益証券</t>
  </si>
  <si>
    <t>NEXT FUNDS Nikkei Semiconductor Stock Index Exchange Traded Fund</t>
  </si>
  <si>
    <t>2011</t>
  </si>
  <si>
    <t>ＳＭＤＡＭ　Ａｃｔｉｖｅ　ＥＴＦ　日本高配当株式　受益証券</t>
  </si>
  <si>
    <t>SMDAM Active ETF Japan High Dividend Equity</t>
  </si>
  <si>
    <t>2012</t>
  </si>
  <si>
    <t>ｉシェアーズ　米国債０－３ヶ月　ＥＴＦ　受益証券</t>
  </si>
  <si>
    <t>iShares 0-3 Month US Treasury Bond ETF</t>
  </si>
  <si>
    <t>2013</t>
  </si>
  <si>
    <t>ｉシェアーズ　米国高配当株　ＥＴＦ　受益証券</t>
  </si>
  <si>
    <t>iShares US High Dividend ETF</t>
  </si>
  <si>
    <t>2014</t>
  </si>
  <si>
    <t>ｉシェアーズ　米国連続増配株　ＥＴＦ　受益証券</t>
  </si>
  <si>
    <t>iShares US Dividend Growth ETF</t>
  </si>
  <si>
    <t>2015</t>
  </si>
  <si>
    <t>ｉＦｒｅｅＥＴＦ　米国国債７－１０年（為替ヘッジなし）　受益証券</t>
  </si>
  <si>
    <t>iFreeETF US Treasury Bond 7-10 Year (NON HEDGED)</t>
  </si>
  <si>
    <t>2016</t>
  </si>
  <si>
    <t>ｉＦｒｅｅＥＴＦ　米国国債７－１０年（為替ヘッジあり）　受益証券</t>
  </si>
  <si>
    <t>iFreeETF US Treasury Bond 7-10 Year (JPY HEDGED)</t>
  </si>
  <si>
    <t>2017</t>
  </si>
  <si>
    <t>ｉＦｒｅｅＥＴＦ　ＪＰＸプライム１５０　受益証券</t>
  </si>
  <si>
    <t>iFreeETF JPX Prime 150</t>
  </si>
  <si>
    <t>2018</t>
  </si>
  <si>
    <t>グローバルＸ　ＵＳ　ＲＥＩＴ・トップ２０　ＥＴＦ　受益証券</t>
  </si>
  <si>
    <t>Global X US REIT Top 20 ETF</t>
  </si>
  <si>
    <t>2019</t>
  </si>
  <si>
    <t>グローバルＸ　米国優先証券　ＥＴＦ（隔月分配型）　受益証券</t>
  </si>
  <si>
    <t>Global X U.S. Preferred Security ETF (Bi-monthly dividend type)</t>
  </si>
  <si>
    <t>201A</t>
  </si>
  <si>
    <t>ｉシェアーズ　Ｎｉｆｔｙ　５０　インド株　ＥＴＦ　受益証券</t>
  </si>
  <si>
    <t>iShares Nifty 50 ETF</t>
  </si>
  <si>
    <t>2031</t>
  </si>
  <si>
    <t>ＮＥＸＴ　ＮＯＴＥＳ　香港ハンセン・ダブル・ブル　ＥＴＮ　受益証券</t>
  </si>
  <si>
    <t>NEXT NOTES HSI Leveraged ETN</t>
  </si>
  <si>
    <t>2032</t>
  </si>
  <si>
    <t>ＮＥＸＴ　ＮＯＴＥＳ　香港ハンセン・ベア　ＥＴＮ　受益証券</t>
  </si>
  <si>
    <t>NEXT NOTES HSI Short ETN</t>
  </si>
  <si>
    <t>2033</t>
  </si>
  <si>
    <t>ＮＥＸＴ　ＮＯＴＥＳ　韓国ＫＯＳＰＩ・ダブル・ブル　ＥＴＮ　受益証券</t>
  </si>
  <si>
    <t>NEXT NOTES KOSPI200 Leverage ETN</t>
  </si>
  <si>
    <t>2034</t>
  </si>
  <si>
    <t>ＮＥＸＴ　ＮＯＴＥＳ　韓国ＫＯＳＰＩ・ベア　ＥＴＮ　受益証券</t>
  </si>
  <si>
    <t>NEXT NOTES F-KOSPI200 Inverse ETN</t>
  </si>
  <si>
    <t>2036</t>
  </si>
  <si>
    <t>ＮＥＸＴ　ＮＯＴＥＳ　金先物　ダブル・ブル　ＥＴＮ　受益証券</t>
  </si>
  <si>
    <t>NEXT NOTES Gold Futures Double Bull ETN</t>
  </si>
  <si>
    <t>2037</t>
  </si>
  <si>
    <t>ＮＥＸＴ　ＮＯＴＥＳ　金先物　ベア　ＥＴＮ　受益証券</t>
  </si>
  <si>
    <t>NEXT NOTES Gold Futures Bear ETN</t>
  </si>
  <si>
    <t>2038</t>
  </si>
  <si>
    <t>ＮＥＸＴ　ＮＯＴＥＳ　ドバイ原油先物　ダブル・ブル　ＥＴＮ　受益証券</t>
  </si>
  <si>
    <t>NEXT NOTES Dubai Crude Oil Futures Double Bull ETN</t>
  </si>
  <si>
    <t>2039</t>
  </si>
  <si>
    <t>ＮＥＸＴ　ＮＯＴＥＳ　ドバイ原油先物　ベア　ＥＴＮ　受益証券</t>
  </si>
  <si>
    <t>NEXT NOTES Dubai Crude Oil Futures Bear ETN</t>
  </si>
  <si>
    <t>2040</t>
  </si>
  <si>
    <t>ＮＥＸＴ　ＮＯＴＥＳ　ＮＹダウ・ダブル・ブル・ドルヘッジ　ＥＴＮ　受益証券</t>
  </si>
  <si>
    <t>NEXT NOTES DJIA PR JPY-Monthly Hedged Leveraged (x2) ETN</t>
  </si>
  <si>
    <t>2041</t>
  </si>
  <si>
    <t>ＮＥＸＴ　ＮＯＴＥＳ　ＮＹダウ・ベア・ドルヘッジ　ＥＴＮ　受益証券</t>
  </si>
  <si>
    <t>NEXT NOTES DJIA TR JPY-Monthly Hedged Inverse (x1) ETN</t>
  </si>
  <si>
    <t>2042</t>
  </si>
  <si>
    <t>ＮＥＸＴ　ＮＯＴＥＳ　東証グロース市場２５０　ＥＴＮ　受益証券</t>
  </si>
  <si>
    <t>NEXT NOTES Tokyo Stock Exchange Growth Market 250 Index ETN</t>
  </si>
  <si>
    <t>2043</t>
  </si>
  <si>
    <t>ＮＥＸＴ　ＮＯＴＥＳ　ＳＴＯＸＸ　アセアン好配当５０（円、ネットリターン）ＥＴＮ　受益証券</t>
  </si>
  <si>
    <t>NEXT NOTES STOXX ASEAN-Five Select Dividend 50(NR-JPY) ETN</t>
  </si>
  <si>
    <t>2044</t>
  </si>
  <si>
    <t>ＮＥＸＴ　ＮＯＴＥＳ　Ｓ＆Ｐ５００　配当貴族（ネットリターン）　ＥＴＮ　受益証券</t>
  </si>
  <si>
    <t>NEXT NOTES S&amp;P 500 Dividend Aristocrats Net Total Return Index ETN</t>
  </si>
  <si>
    <t>2045</t>
  </si>
  <si>
    <t>ＮＥＸＴ　ＮＯＴＥＳ　Ｓ＆Ｐ　シンガポール　リート（ネットリターン）　ＥＴＮ　受益証券</t>
  </si>
  <si>
    <t>NEXT NOTES S&amp;P Singapore REIT Net Total Return Index ETN</t>
  </si>
  <si>
    <t>2046</t>
  </si>
  <si>
    <t>ＮＥＸＴ　ＮＯＴＥＳ　インドＮｉｆｔｙ・ダブル・ブル　ＥＴＮ　受益証券</t>
  </si>
  <si>
    <t>NEXT NOTES Nifty PR 2x Leverage Index ETN</t>
  </si>
  <si>
    <t>2047</t>
  </si>
  <si>
    <t>ＮＥＸＴ　ＮＯＴＥＳ　インドＮｉｆｔｙ・ベア　ＥＴＮ　受益証券</t>
  </si>
  <si>
    <t>NEXT NOTES Nifty Total Returns(TR) Daily Inverse Index ETN</t>
  </si>
  <si>
    <t>2048</t>
  </si>
  <si>
    <t>ＮＥＸＴ　ＮＯＴＥＳ　野村日本株高配当７０（ドルヘッジ、ネットリターン）ＥＴＮ　受益証券</t>
  </si>
  <si>
    <t>NEXT NOTES Nomura Japan Equity High Dividend 70,Net Total Return US Dollar Hedged Index ETN</t>
  </si>
  <si>
    <t>2050</t>
  </si>
  <si>
    <t>ＮＥＸＴ　ＮＯＴＥＳ　ニッチトップ　中小型日本株（ネットリターン）ＥＴＮ　受益証券</t>
  </si>
  <si>
    <t>NEXT NOTES Niche Top Mid Small Cap Japan Equity, Net Total Return ETN</t>
  </si>
  <si>
    <t>2065</t>
  </si>
  <si>
    <t>ＮＥＸＴ　ＮＯＴＥＳ　日本株配当貴族（ドルヘッジ、ネットリターン）ＥＴＮ　受益証券</t>
  </si>
  <si>
    <t>NEXT NOTES S&amp;P/JPX Dividend Aristocrats Index USD Hedged NTR ETN</t>
  </si>
  <si>
    <t>2066</t>
  </si>
  <si>
    <t>ＮＥＸＴ　ＮＯＴＥＳ　東証ＲＥＩＴ（ドルヘッジ、ネットリターン）ＥＴＮ　受益証券</t>
  </si>
  <si>
    <t>NEXT NOTES Tokyo Stock Exchange REIT Net Total Return US Dollar Hedged Index ETN</t>
  </si>
  <si>
    <t>2067</t>
  </si>
  <si>
    <t>ＮＥＸＴ　ＮＯＴＥＳ　野村ＡＩビジネス７０（ネットリターン）ＥＴＮ　受益証券</t>
  </si>
  <si>
    <t>NEXT NOTES AI Companies 70,Net Total Return ETN</t>
  </si>
  <si>
    <t>2068</t>
  </si>
  <si>
    <t>ＮＥＸＴ　ＮＯＴＥＳ　高ベータ３０（ネットリターン）ＥＴＮ　受益証券</t>
  </si>
  <si>
    <t>NEXT NOTES Japan Equity High Beta Select 30,Net Total Return ETN</t>
  </si>
  <si>
    <t>2069</t>
  </si>
  <si>
    <t>ＮＥＸＴ　ＮＯＴＥＳ　低ベータ５０（ネットリターン）ＥＴＮ　受益証券</t>
  </si>
  <si>
    <t>NEXT NOTES Japan Equity Low Beta Select 50,Net Total Return ETN</t>
  </si>
  <si>
    <t>2070</t>
  </si>
  <si>
    <t>スマートＥＳＧ３０女性活躍（ネットリターン）ＥＴＮ　受益証券</t>
  </si>
  <si>
    <t>Smart ESG 30 Empowering Women Net Return ETN</t>
  </si>
  <si>
    <t>2071</t>
  </si>
  <si>
    <t>スマートＥＳＧ３０総合（ネットリターン）ＥＴＮ　受益証券</t>
  </si>
  <si>
    <t>Smart ESG 30 Net Return ETN</t>
  </si>
  <si>
    <t>2072</t>
  </si>
  <si>
    <t>トップシェアインデックス（ネットリターン）ＥＴＮ　受益証券</t>
  </si>
  <si>
    <t>Market Share Leaders Net Return ETN</t>
  </si>
  <si>
    <t>2073</t>
  </si>
  <si>
    <t>スマートＥＳＧ３０低カーボンリスク（ネットリターン）ＥＴＮ　受益証券</t>
  </si>
  <si>
    <t>Smart ESG 30 Low Carbon Risk Net Return ETN</t>
  </si>
  <si>
    <t>2080</t>
  </si>
  <si>
    <t>ＰＢＲ１倍割れ解消推進ＥＴＦ　受益証券</t>
  </si>
  <si>
    <t>PBR Improvement over 1x ETF</t>
  </si>
  <si>
    <t>2081</t>
  </si>
  <si>
    <t>政策保有解消推進ＥＴＦ　受益証券</t>
  </si>
  <si>
    <t>Strategic Shareholding Disposal Promotion ETF</t>
  </si>
  <si>
    <t>2082</t>
  </si>
  <si>
    <t>投資家経営者一心同体ＥＴＦ　受益証券</t>
  </si>
  <si>
    <t>Investor-Management Unite as One ETF</t>
  </si>
  <si>
    <t>2083</t>
  </si>
  <si>
    <t>ＮＥＸＴ　ＦＵＮＤＳ　日本成長株アクティブ上場投信　受益証券</t>
  </si>
  <si>
    <t>NEXT FUNDS Japan Growth Equity Active Exchange Traded Fund</t>
  </si>
  <si>
    <t>2084</t>
  </si>
  <si>
    <t>ＮＥＸＴ　ＦＵＮＤＳ　日本高配当株アクティブ上場投信　受益証券</t>
  </si>
  <si>
    <t>NEXT FUNDS Japan High Dividend Equity Active Exchange Traded Fund</t>
  </si>
  <si>
    <t>2085</t>
  </si>
  <si>
    <t>ＭＡＸＩＳ高配当日本株アクティブ上場投信　受益証券</t>
  </si>
  <si>
    <t>MAXIS High Dividend Japan Equity Actively Managed ETF</t>
  </si>
  <si>
    <t>2086</t>
  </si>
  <si>
    <t>ＮＺＡＭ　上場投信　Ｓ＆Ｐ５００（為替ヘッジあり）　受益証券</t>
  </si>
  <si>
    <t>NZAM ETF S&amp;P500 (JPY Hedged)</t>
  </si>
  <si>
    <t>2087</t>
  </si>
  <si>
    <t>ＮＺＡＭ　上場投信　ＮＡＳＤＡＱ１００（為替ヘッジあり）　受益証券</t>
  </si>
  <si>
    <t>NZAM ETF NASDAQ100 (JPY Hedged)</t>
  </si>
  <si>
    <t>2088</t>
  </si>
  <si>
    <t>ＮＺＡＭ　上場投信　ＮＹダウ３０（為替ヘッジあり）　受益証券</t>
  </si>
  <si>
    <t>NZAM ETF NY Dow30 (JPY Hedged)</t>
  </si>
  <si>
    <t>2089</t>
  </si>
  <si>
    <t>ＮＺＡＭ　上場投信　ＤＡＸ（為替ヘッジあり）　受益証券</t>
  </si>
  <si>
    <t>NZAM ETF DAX (JPY Hedged)</t>
  </si>
  <si>
    <t>2090</t>
  </si>
  <si>
    <t>ＮＺＡＭ　上場投信　米国国債７－１０年（為替ヘッジあり）　受益証券</t>
  </si>
  <si>
    <t>NZAM ETF US Treasury 7-10Y (JPY Hedged)</t>
  </si>
  <si>
    <t>2091</t>
  </si>
  <si>
    <t>ＮＺＡＭ　上場投信　ドイツ国債７－１０年（為替ヘッジあり）　受益証券</t>
  </si>
  <si>
    <t>NZAM ETF German Government Bond 7-10Y (JPY Hedged)</t>
  </si>
  <si>
    <t>2092</t>
  </si>
  <si>
    <t>ＮＺＡＭ　上場投信　フランス国債７－１０年（為替ヘッジあり）　受益証券</t>
  </si>
  <si>
    <t>NZAM ETF France Government Bond 7-10Y (JPY Hedged)</t>
  </si>
  <si>
    <t>2093</t>
  </si>
  <si>
    <t>上場Ｔｒａｃｅｒｓ　米国債０－２年ラダー（為替ヘッジなし）　受益証券</t>
  </si>
  <si>
    <t>Listed Tracers US Government Bond 0-2years Ladder (No Currency Hedge)</t>
  </si>
  <si>
    <t>2094</t>
  </si>
  <si>
    <t>東証ＲＥＩＴインバースＥＴＦ　受益証券</t>
  </si>
  <si>
    <t>TSE REIT Inverse ETF</t>
  </si>
  <si>
    <t>2095</t>
  </si>
  <si>
    <t>グローバルＸ　Ｓ＆Ｐ５００配当貴族　ＥＴＦ（為替ヘッジあり）　受益証券</t>
  </si>
  <si>
    <t>Global X S&amp;P 500 Dividend Aristocrats ETF (JPY Hedged)</t>
  </si>
  <si>
    <t>2096</t>
  </si>
  <si>
    <t>グローバルＸ　オフィス・Ｊ－ＲＥＩＴ　ＥＴＦ　受益証券</t>
  </si>
  <si>
    <t>Global X Office J-REIT ETF</t>
  </si>
  <si>
    <t>2097</t>
  </si>
  <si>
    <t>グローバルＸ　レジデンシャル・Ｊ－ＲＥＩＴ　ＥＴＦ　受益証券</t>
  </si>
  <si>
    <t>Global X Residential J-REIT ETF</t>
  </si>
  <si>
    <t>2098</t>
  </si>
  <si>
    <t>グローバルＸ　ホテル＆リテール・Ｊ－ＲＥＩＴ　ＥＴＦ　受益証券</t>
  </si>
  <si>
    <t>Global X Hotel &amp; Retail J-REIT ETF</t>
  </si>
  <si>
    <t>210A</t>
  </si>
  <si>
    <t>ｉＦｒｅｅＥＴＦ　日経高利回りＲＥＩＴ指数　受益証券</t>
  </si>
  <si>
    <t>iFreeETF Nikkei High Yield REIT Index</t>
  </si>
  <si>
    <t>213A</t>
  </si>
  <si>
    <t>上場インデックスファンド日経半導体株　受益証券</t>
  </si>
  <si>
    <t>Listed Index Fund Nikkei Semiconductor Stock</t>
  </si>
  <si>
    <t>221A</t>
  </si>
  <si>
    <t>ＭＡＸＩＳ日経半導体株上場投信　受益証券</t>
  </si>
  <si>
    <t>MAXIS Nikkei Semiconductor Stock (Japan) ETF</t>
  </si>
  <si>
    <t>2235</t>
  </si>
  <si>
    <t>上場インデックスファンド米国株式（ダウ平均）為替ヘッジなし　受益証券</t>
  </si>
  <si>
    <t>Listed Index Fund US Equity (Dow Average) No Currency Hedge</t>
  </si>
  <si>
    <t>2236</t>
  </si>
  <si>
    <t>グローバルＸ　Ｓ＆Ｐ５００配当貴族ＥＴＦ　受益証券</t>
  </si>
  <si>
    <t>Global X S&amp;P 500 Dividend Aristocrats ETF</t>
  </si>
  <si>
    <t>2237</t>
  </si>
  <si>
    <t>ｉＦｒｅｅＥＴＦ　Ｓ＆Ｐ５００レバレッジ　受益証券</t>
  </si>
  <si>
    <t>iFreeETF S&amp;P500 Leveraged (2x)</t>
  </si>
  <si>
    <t>2238</t>
  </si>
  <si>
    <t>ｉＦｒｅｅＥＴＦ　Ｓ＆Ｐ５００インバース　受益証券</t>
  </si>
  <si>
    <t>iFreeETF S&amp;P500 Inverse</t>
  </si>
  <si>
    <t>2239</t>
  </si>
  <si>
    <t>上場インデックスファンドＳ＆Ｐ５００先物レバレッジ２倍　受益証券</t>
  </si>
  <si>
    <t>Listed Index Fund S&amp;P500 Futures Leveraged Two Times</t>
  </si>
  <si>
    <t>223A</t>
  </si>
  <si>
    <t>グローバルＸ　ＡＩ＆ビッグデータ　ＥＴＦ　受益証券</t>
  </si>
  <si>
    <t>Global X Artificial Intelligence &amp; Technology ETF</t>
  </si>
  <si>
    <t>2240</t>
  </si>
  <si>
    <t>上場インデックスファンドＳ＆Ｐ５００先物インバース　受益証券</t>
  </si>
  <si>
    <t>Listed Index Fund S&amp;P500 Futures Inverse</t>
  </si>
  <si>
    <t>2241</t>
  </si>
  <si>
    <t>ＭＡＸＩＳ　ＮＹダウ上場投信　受益証券</t>
  </si>
  <si>
    <t>MAXIS NY Dow Industrial Average ETF</t>
  </si>
  <si>
    <t>2242</t>
  </si>
  <si>
    <t>ＭＡＸＩＳ　ＮＹダウ上場投信（為替ヘッジあり）　受益証券</t>
  </si>
  <si>
    <t>MAXIS NY Dow Industrial Average ETF (JPY Hedged)</t>
  </si>
  <si>
    <t>2243</t>
  </si>
  <si>
    <t>グローバルＸ　半導体　ＥＴＦ　受益証券</t>
  </si>
  <si>
    <t>Global X Semiconductor ETF</t>
  </si>
  <si>
    <t>2244</t>
  </si>
  <si>
    <t>グローバルＸ　ＵＳ　テック・トップ２０　ＥＴＦ　受益証券</t>
  </si>
  <si>
    <t>Global X US Tech Top 20 ETF</t>
  </si>
  <si>
    <t>2245</t>
  </si>
  <si>
    <t>ＮＥＸＴ　ＦＵＮＤＳ　ブルームバーグ・ドイツ国債（７－１０年）インデックス（為替ヘッジあり）連動型上場投信　受益証券</t>
  </si>
  <si>
    <t>NEXT FUNDS Bloomberg Germany Treasury Bond (7-10 year) Index (Yen-Hedged) Exchange Traded Fund</t>
  </si>
  <si>
    <t>2247</t>
  </si>
  <si>
    <t>ｉＦｒｅｅＥＴＦ　Ｓ＆Ｐ５００（為替ヘッジなし）　受益証券</t>
  </si>
  <si>
    <t>iFreeETF S&amp;P500 (NON HEDGED)</t>
  </si>
  <si>
    <t>2248</t>
  </si>
  <si>
    <t>ｉＦｒｅｅＥＴＦ　Ｓ＆Ｐ５００（為替ヘッジあり）　受益証券</t>
  </si>
  <si>
    <t>iFreeETF S&amp;P500 (JPY HEDGED)</t>
  </si>
  <si>
    <t>2249</t>
  </si>
  <si>
    <t>ｉＦｒｅｅＥＴＦ　Ｓ＆Ｐ５００ダブルインバース　受益証券</t>
  </si>
  <si>
    <t>iFreeETF S&amp;P500 Double Inverse (-2x)</t>
  </si>
  <si>
    <t>224A</t>
  </si>
  <si>
    <t>グローバルＸ　ウラニウムビジネス　ＥＴＦ　受益証券</t>
  </si>
  <si>
    <t>Global X Uranium ETF</t>
  </si>
  <si>
    <t>2250</t>
  </si>
  <si>
    <t>ｉシェアーズ　ＭＳＣＩ　ジャパン気候変動アクション　ＥＴＦ　受益証券</t>
  </si>
  <si>
    <t>iShares MSCI Japan Climate Action ETF</t>
  </si>
  <si>
    <t>2251</t>
  </si>
  <si>
    <t>ＮＥＸＴ　ＦＵＮＤＳ　ＪＰＸ国債先物ダブルインバース指数連動型上場投信　受益証券</t>
  </si>
  <si>
    <t>NEXT FUNDS JPX JGB Futures Double Inverse Index Exchange Traded Fund</t>
  </si>
  <si>
    <t>2252</t>
  </si>
  <si>
    <t>グローバルＸ　Ｍｏｒｎｉｎｇｓｔａｒ　米国中小型　Ｍｏａｔ　ＥＴＦ　受益証券</t>
  </si>
  <si>
    <t>Global X Morningstar US Small Mid Moat ETF</t>
  </si>
  <si>
    <t>2253</t>
  </si>
  <si>
    <t>グローバルＸ　スーパーディビィデンド－ＵＳ　ＥＴＦ　受益証券</t>
  </si>
  <si>
    <t>Global X SuperDividend U.S. ETF</t>
  </si>
  <si>
    <t>2254</t>
  </si>
  <si>
    <t>グローバルＸ　チャイナＥＶ＆バッテリー　ＥＴＦ　受益証券</t>
  </si>
  <si>
    <t>Global X China Electric Vehicle and Battery ETF</t>
  </si>
  <si>
    <t>2255</t>
  </si>
  <si>
    <t>ｉシェアーズ　米国債２０年超　ＥＴＦ　受益証券</t>
  </si>
  <si>
    <t>iShares 20+ Year US Treasury Bond ETF</t>
  </si>
  <si>
    <t>2256</t>
  </si>
  <si>
    <t>ｉシェアーズ　米国総合債券　ＥＴＦ　受益証券</t>
  </si>
  <si>
    <t>iShares US Aggregate Bond ETF</t>
  </si>
  <si>
    <t>2257</t>
  </si>
  <si>
    <t>ｉシェアーズ　米ドル建て投資適格社債　ＥＴＦ　受益証券</t>
  </si>
  <si>
    <t>iShares USD Investment Grade Corporate Bond ETF</t>
  </si>
  <si>
    <t>2258</t>
  </si>
  <si>
    <t>ｉシェアーズ　米ドル建てハイイールド社債　ＥＴＦ　受益証券</t>
  </si>
  <si>
    <t>iShares USD High Yield Corporate Bond ETF</t>
  </si>
  <si>
    <t>2259</t>
  </si>
  <si>
    <t>ｉシェアーズ　フランス国債７－１０年　ＥＴＦ（為替ヘッジあり）　受益証券</t>
  </si>
  <si>
    <t>iShares 7-10 Year France Government Bond JPY Hedged ETF</t>
  </si>
  <si>
    <t>233A</t>
  </si>
  <si>
    <t>ｉＦｒｅｅＥＴＦ　インドＮｉｆｔｙ５０　受益証券</t>
  </si>
  <si>
    <t>iFreeETF Nifty50</t>
  </si>
  <si>
    <t>234A</t>
  </si>
  <si>
    <t>グローバルＸ　ＭＳＣＩ　キャッシュフローキング－日本株式　ＥＴＦ　受益証券</t>
  </si>
  <si>
    <t>Global X MSCI Japan Cash Flow Kings ETF</t>
  </si>
  <si>
    <t>235A</t>
  </si>
  <si>
    <t>グローバルＸ　高配当３０－日本株式　ＥＴＦ　受益証券</t>
  </si>
  <si>
    <t>Global X Japan High Dividend 30 ETF</t>
  </si>
  <si>
    <t>236A</t>
  </si>
  <si>
    <t>ｉシェアーズ　日本国債７－１０年　ＥＴＦ　受益証券</t>
  </si>
  <si>
    <t>iShares 7-10 Year Japan Government Bond ETF</t>
  </si>
  <si>
    <t>237A</t>
  </si>
  <si>
    <t>ｉシェアーズ　米国債２５年超　ロングデュレーション　ＥＴＦ　受益証券</t>
  </si>
  <si>
    <t>iShares 25+ Year US Treasury Bond Long Duration ETF</t>
  </si>
  <si>
    <t>238A</t>
  </si>
  <si>
    <t>ｉシェアーズ　米国債２５年超　ロングデュレーション　ＥＴＦ（為替ヘッジあり）　受益証券</t>
  </si>
  <si>
    <t>iShares 25+ Year US Treasury Bond Long Duration JPY Hedged ETF</t>
  </si>
  <si>
    <t>2510</t>
  </si>
  <si>
    <t>ＮＥＸＴ　ＦＵＮＤＳ　国内債券・ＮＯＭＵＲＡ－ＢＰＩ総合連動型上場投信　受益証券</t>
  </si>
  <si>
    <t>NEXT FUNDS Japan Bond NOMURA-BPI Exchange Traded Fund</t>
  </si>
  <si>
    <t>2511</t>
  </si>
  <si>
    <t>ＮＥＸＴ　ＦＵＮＤＳ　外国債券・ＦＴＳＥ世界国債インデックス（除く日本・為替ヘッジなし）連動型上場投信　受益証券</t>
  </si>
  <si>
    <t>NEXT FUNDS International Bond FTSE World Government Bond Index (ex Japan Unhedged) Exchange Traded Fund</t>
  </si>
  <si>
    <t>2512</t>
  </si>
  <si>
    <t>ＮＥＸＴ　ＦＵＮＤＳ　外国債券・ＦＴＳＥ世界国債インデックス（除く日本・為替ヘッジあり）連動型上場投信　受益証券</t>
  </si>
  <si>
    <t>NEXT FUNDS International Bond FTSE World Government Bond Index (ex Japan Yen-Hedged) Exchange Traded Fund</t>
  </si>
  <si>
    <t>2513</t>
  </si>
  <si>
    <t>ＮＥＸＴ　ＦＵＮＤＳ　外国株式・ＭＳＣＩ－ＫＯＫＵＳＡＩ指数（為替ヘッジなし）連動型上場投信　受益証券</t>
  </si>
  <si>
    <t>NEXT FUNDS International Equity MSCI-KOKUSAI (Unhedged) Exchange Traded Fund</t>
  </si>
  <si>
    <t>2514</t>
  </si>
  <si>
    <t>ＮＥＸＴ　ＦＵＮＤＳ　外国株式・ＭＳＣＩ－ＫＯＫＵＳＡＩ指数（為替ヘッジあり）連動型上場投信　受益証券</t>
  </si>
  <si>
    <t>NEXT FUNDS International Equity MSCI-KOKUSAI (Yen-Hedged) Exchange Traded Fund</t>
  </si>
  <si>
    <t>2515</t>
  </si>
  <si>
    <t>ＮＥＸＴ　ＦＵＮＤＳ　外国ＲＥＩＴ・Ｓ＆Ｐ先進国ＲＥＩＴ指数（除く日本・為替ヘッジなし）連動型上場投信　受益証券</t>
  </si>
  <si>
    <t>NEXT FUNDS International REIT S&amp;P Developed REIT Index (ex Japan Unhedged) Exchange Traded Fund</t>
  </si>
  <si>
    <t>2516</t>
  </si>
  <si>
    <t>東証グロース２５０ＥＴＦ　受益証券</t>
  </si>
  <si>
    <t>TSE Growth 250 ETF</t>
  </si>
  <si>
    <t>2517</t>
  </si>
  <si>
    <t>ＭＡＸＩＳ　Ｊリート・コア上場投信　受益証券</t>
  </si>
  <si>
    <t>MAXIS J-REIT Core ETF</t>
  </si>
  <si>
    <t>2518</t>
  </si>
  <si>
    <t>ＮＥＸＴ　ＦＵＮＤＳ　ＭＳＣＩ日本株女性活躍指数（セレクト）連動型上場投信　受益証券</t>
  </si>
  <si>
    <t>NEXT FUNDS MSCI Japan Empowering Women Select Index Exchange Traded Fund</t>
  </si>
  <si>
    <t>2519</t>
  </si>
  <si>
    <t>ＮＥＸＴ　ＦＵＮＤＳ　新興国債券・Ｊ．Ｐ．モルガン・エマージング・マーケット・ボンド・インデックス・プラス（為替ヘッジなし）連動型上場投信　受益証券</t>
  </si>
  <si>
    <t>NEXT FUNDS Emerging Market Bond J.P. Morgan EMBI Plus (Unhedged) Exchange Traded Fund</t>
  </si>
  <si>
    <t>2520</t>
  </si>
  <si>
    <t>ＮＥＸＴ　ＦＵＮＤＳ　新興国株式・ＭＳＣＩエマージング・マーケット・インデックス（為替ヘッジなし）連動型上場投信　受益証券</t>
  </si>
  <si>
    <t>NEXT FUNDS Emerging Market Equity MSCI-EM (Unhedged) Exchange Traded Fund</t>
  </si>
  <si>
    <t>2521</t>
  </si>
  <si>
    <t>上場インデックスファンド米国株式（Ｓ＆Ｐ５００）為替ヘッジあり　受益証券</t>
  </si>
  <si>
    <t>Listed Index Fund US Equity (S&amp;P500) Currency Hedge</t>
  </si>
  <si>
    <t>2522</t>
  </si>
  <si>
    <t>ｉシェアーズ　オートメーション　＆　ロボット　ＥＴＦ　受益証券</t>
  </si>
  <si>
    <t>iShares Automation &amp; Robot ETF</t>
  </si>
  <si>
    <t>2523</t>
  </si>
  <si>
    <t>ＭＡＸＩＳトピックス（除く金融）上場投信　受益証券</t>
  </si>
  <si>
    <t>MAXIS TOPIX Ex-Financials ETF</t>
  </si>
  <si>
    <t>2524</t>
  </si>
  <si>
    <t>ＮＺＡＭ　上場投信　ＴＯＰＩＸ　受益証券</t>
  </si>
  <si>
    <t>NZAM ETF TOPIX</t>
  </si>
  <si>
    <t>2525</t>
  </si>
  <si>
    <t>ＮＺＡＭ　上場投信　日経２２５　受益証券</t>
  </si>
  <si>
    <t>NZAM ETF Nikkei 225</t>
  </si>
  <si>
    <t>2526</t>
  </si>
  <si>
    <t>ＮＺＡＭ　上場投信　ＪＰＸ日経４００　受益証券</t>
  </si>
  <si>
    <t>NZAM ETF JPX-Nikkei400</t>
  </si>
  <si>
    <t>2527</t>
  </si>
  <si>
    <t>ＮＺＡＭ　上場投信　東証ＲＥＩＴ　Ｃｏｒｅ指数　受益証券</t>
  </si>
  <si>
    <t>NZAM ETF J-REIT Core Index</t>
  </si>
  <si>
    <t>2528</t>
  </si>
  <si>
    <t>ｉＦｒｅｅＥＴＦ　東証ＲＥＩＴ　Ｃｏｒｅ指数　受益証券</t>
  </si>
  <si>
    <t>iFreeETF Tokyo Stock Exchange REIT Core Index</t>
  </si>
  <si>
    <t>2529</t>
  </si>
  <si>
    <t>ＮＥＸＴ　ＦＵＮＤＳ　野村株主還元７０連動型上場投信　受益証券</t>
  </si>
  <si>
    <t>NEXT FUNDS Nomura Shareholder Yield 70 Exchange Traded Fund</t>
  </si>
  <si>
    <t>2530</t>
  </si>
  <si>
    <t>ＭＡＸＩＳ　ＨｕａＡｎ中国株式（上海１８０Ａ株）上場投信　受益証券</t>
  </si>
  <si>
    <t>MAXIS HuaAn China Equity (SSE 180 index) ETF</t>
  </si>
  <si>
    <t>2552</t>
  </si>
  <si>
    <t>上場インデックスファンドＪリート（東証ＲＥＩＴ指数）隔月分配型（ミニ）　受益証券</t>
  </si>
  <si>
    <t>Listed Index Fund J-REIT (Tokyo Stock Exchange REIT Index) Bi-Monthly Dividend Payment Type (Mini)</t>
  </si>
  <si>
    <t>2553</t>
  </si>
  <si>
    <t>Ｏｎｅ　ＥＴＦ　南方　中国Ａ株　ＣＳＩ５００　受益証券</t>
  </si>
  <si>
    <t>One ETF Southern China A-Share CSI 500</t>
  </si>
  <si>
    <t>2554</t>
  </si>
  <si>
    <t>ＮＥＸＴ　ＦＵＮＤＳ　ブルームバーグ米国投資適格社債（１－１０年）インデックス（為替ヘッジあり）連動型上場投信　受益証券</t>
  </si>
  <si>
    <t>NEXT FUNDS Bloomberg US Intermediate Corporate Index (JPY Hedged) Exchange Traded Fund</t>
  </si>
  <si>
    <t>2555</t>
  </si>
  <si>
    <t>東証ＲＥＩＴ　ＥＴＦ　受益証券</t>
  </si>
  <si>
    <t>TSE REIT ETF</t>
  </si>
  <si>
    <t>2556</t>
  </si>
  <si>
    <t>Ｏｎｅ　ＥＴＦ　東証ＲＥＩＴ指数　受益証券</t>
  </si>
  <si>
    <t>One ETF Tokyo Stock Exchange REIT Index</t>
  </si>
  <si>
    <t>2557</t>
  </si>
  <si>
    <t>ＳＭＤＡＭ　トピックス上場投信　受益証券</t>
  </si>
  <si>
    <t>SMDAM TOPIX ETF</t>
  </si>
  <si>
    <t>2558</t>
  </si>
  <si>
    <t>ＭＡＸＩＳ米国株式（Ｓ＆Ｐ５００）上場投信　受益証券</t>
  </si>
  <si>
    <t>MAXIS S&amp;P500 US Equity ETF</t>
  </si>
  <si>
    <t>2559</t>
  </si>
  <si>
    <t>ＭＡＸＩＳ全世界株式（オール・カントリー）上場投信　受益証券</t>
  </si>
  <si>
    <t>MAXIS World Equity (MSCI ACWI) ETF</t>
  </si>
  <si>
    <t>2560</t>
  </si>
  <si>
    <t>ＭＡＸＩＳカーボン・エフィシェント日本株上場投信　受益証券</t>
  </si>
  <si>
    <t>MAXIS Carbon Efficient Japan Equity ETF</t>
  </si>
  <si>
    <t>2561</t>
  </si>
  <si>
    <t>ｉシェアーズ・コア　日本国債　ＥＴＦ　受益証券</t>
  </si>
  <si>
    <t>iShares Core Japan Government Bond ETF</t>
  </si>
  <si>
    <t>2562</t>
  </si>
  <si>
    <t>上場インデックスファンド米国株式（ダウ平均）為替ヘッジあり　受益証券</t>
  </si>
  <si>
    <t>Listed Index Fund US Equity (Dow Average) Currency Hedge</t>
  </si>
  <si>
    <t>2563</t>
  </si>
  <si>
    <t>ｉシェアーズ　Ｓ＆Ｐ　５００　米国株　ＥＴＦ（為替ヘッジあり）　受益証券</t>
  </si>
  <si>
    <t>iShares S&amp;P 500 JPY Hedged ETF</t>
  </si>
  <si>
    <t>2564</t>
  </si>
  <si>
    <t>グローバルＸ　ＭＳＣＩスーパーディビィデンド－日本株式　ＥＴＦ　受益証券</t>
  </si>
  <si>
    <t>Global X MSCI SuperDividend Japan ETF</t>
  </si>
  <si>
    <t>2565</t>
  </si>
  <si>
    <t>グローバルＸ　ロジスティクス・Ｊ－ＲＥＩＴ　ＥＴＦ　受益証券</t>
  </si>
  <si>
    <t>Global X Logistics J-REIT ETF</t>
  </si>
  <si>
    <t>2566</t>
  </si>
  <si>
    <t>上場インデックスファンド日経ＥＳＧリート　受益証券</t>
  </si>
  <si>
    <t>Listed Index Fund Nikkei ESG REIT</t>
  </si>
  <si>
    <t>2567</t>
  </si>
  <si>
    <t>ＮＺＡＭ　上場投信　Ｓ＆Ｐ／ＪＰＸカーボン・エフィシェント指数　受益証券</t>
  </si>
  <si>
    <t>NZAM ETF S&amp;P/JPX Carbon Efficient Index</t>
  </si>
  <si>
    <t>2568</t>
  </si>
  <si>
    <t>上場インデックスファンド米国株式（ＮＡＳＤＡＱ１００）為替ヘッジなし　受益証券</t>
  </si>
  <si>
    <t>Listed Index Fund US Equity (NASDAQ100) No Currency Hedge</t>
  </si>
  <si>
    <t>2569</t>
  </si>
  <si>
    <t>上場インデックスファンド米国株式（ＮＡＳＤＡＱ１００）為替ヘッジあり　受益証券</t>
  </si>
  <si>
    <t>Listed Index Fund US Equity (NASDAQ100) Currency Hedge</t>
  </si>
  <si>
    <t>257A</t>
  </si>
  <si>
    <t>ＳＭＴ　ＥＴＦ日本株厳選投資アクティブ　受益証券</t>
  </si>
  <si>
    <t>SMT ETF Selected Japan Equity Active</t>
  </si>
  <si>
    <t>258A</t>
  </si>
  <si>
    <t>ＳＭＴ　ＥＴＦ国内リート厳選投資アクティブ　受益証券</t>
  </si>
  <si>
    <t>SMT ETF Selected J-REIT Active</t>
  </si>
  <si>
    <t>2620</t>
  </si>
  <si>
    <t>ｉシェアーズ　米国債１－３年　ＥＴＦ　受益証券</t>
  </si>
  <si>
    <t>iShares 1-3 Year US Treasury Bond ETF</t>
  </si>
  <si>
    <t>2621</t>
  </si>
  <si>
    <t>ｉシェアーズ　米国債２０年超　ＥＴＦ（為替ヘッジあり）　受益証券</t>
  </si>
  <si>
    <t>iShares 20+ Year US Treasury Bond JPY Hedged ETF</t>
  </si>
  <si>
    <t>2622</t>
  </si>
  <si>
    <t>ｉシェアーズ　米ドル建て新興国債券　ＥＴＦ（為替ヘッジあり）　受益証券</t>
  </si>
  <si>
    <t>iShares USD Emerging Markets Bond JPY Hedged ETF</t>
  </si>
  <si>
    <t>2623</t>
  </si>
  <si>
    <t>ｉシェアーズ　ユーロ建て投資適格社債　ＥＴＦ（為替ヘッジあり）　受益証券</t>
  </si>
  <si>
    <t>iShares Euro Investment Grade Corporate Bond JPY Hedged ETF</t>
  </si>
  <si>
    <t>2624</t>
  </si>
  <si>
    <t>ｉＦｒｅｅＥＴＦ　日経２２５（年４回決算型）　受益証券</t>
  </si>
  <si>
    <t>iFreeETF Nikkei225 (Quarterly Dividend Type)</t>
  </si>
  <si>
    <t>2625</t>
  </si>
  <si>
    <t>ｉＦｒｅｅＥＴＦ　ＴＯＰＩＸ（年４回決算型）　受益証券</t>
  </si>
  <si>
    <t>iFreeETF TOPIX (Quarterly Dividend Type)</t>
  </si>
  <si>
    <t>2626</t>
  </si>
  <si>
    <t>グローバルＸ　デジタル・イノベーション－日本株式　ＥＴＦ　受益証券</t>
  </si>
  <si>
    <t>Global X Digital Innovation Japan ETF</t>
  </si>
  <si>
    <t>2627</t>
  </si>
  <si>
    <t>グローバルＸ　ｅコマース－日本株式　ＥＴＦ　受益証券</t>
  </si>
  <si>
    <t>Global X E-Commerce Japan ETF</t>
  </si>
  <si>
    <t>2628</t>
  </si>
  <si>
    <t>ｉＦｒｅｅＥＴＦ　中国科創板５０（ＳＴＡＲ５０）　受益証券</t>
  </si>
  <si>
    <t>iFreeETF China STAR50</t>
  </si>
  <si>
    <t>2629</t>
  </si>
  <si>
    <t>ｉＦｒｅｅＥＴＦ　中国グレーターベイエリア・イノベーション１００（ＧＢＡ１００）　受益証券</t>
  </si>
  <si>
    <t>iFreeETF China GBA100</t>
  </si>
  <si>
    <t>2630</t>
  </si>
  <si>
    <t>ＭＡＸＩＳ米国株式（Ｓ＆Ｐ５００）上場投信（為替ヘッジあり）　受益証券</t>
  </si>
  <si>
    <t>MAXIS S&amp;P500 US Equity ETF (JPY Hedged)</t>
  </si>
  <si>
    <t>2631</t>
  </si>
  <si>
    <t>ＭＡＸＩＳナスダック１００上場投信　受益証券</t>
  </si>
  <si>
    <t>MAXIS NASDAQ100 ETF</t>
  </si>
  <si>
    <t>2632</t>
  </si>
  <si>
    <t>ＭＡＸＩＳナスダック１００上場投信（為替ヘッジあり）　受益証券</t>
  </si>
  <si>
    <t>MAXIS NASDAQ100 ETF (JPY Hedged)</t>
  </si>
  <si>
    <t>2633</t>
  </si>
  <si>
    <t>ＮＥＸＴ　ＦＵＮＤＳ　Ｓ＆Ｐ　５００　指数（為替ヘッジなし）連動型上場投信　受益証券</t>
  </si>
  <si>
    <t>NEXT FUNDS S&amp;P 500 (Unhedged) Exchange Traded Fund</t>
  </si>
  <si>
    <t>2634</t>
  </si>
  <si>
    <t>ＮＥＸＴ　ＦＵＮＤＳ　Ｓ＆Ｐ　５００　指数（為替ヘッジあり）連動型上場投信　受益証券</t>
  </si>
  <si>
    <t>NEXT FUNDS S&amp;P 500 (Yen-Hedged) Exchange Traded Fund</t>
  </si>
  <si>
    <t>2636</t>
  </si>
  <si>
    <t>グローバルＸ　ＭＳＣＩ　ガバナンス・クオリティ－日本株式　ＥＴＦ　受益証券</t>
  </si>
  <si>
    <t>Global X MSCI Governance-Quality Japan ETF</t>
  </si>
  <si>
    <t>2637</t>
  </si>
  <si>
    <t>グローバルＸ　クリーンテック－日本株式　ＥＴＦ　受益証券</t>
  </si>
  <si>
    <t>Global X CleanTech Japan ETF</t>
  </si>
  <si>
    <t>2638</t>
  </si>
  <si>
    <t>グローバルＸ　ロボティクス＆ＡＩ－日本株式　ＥＴＦ　受益証券</t>
  </si>
  <si>
    <t>Global X Japan Robotics &amp; AI ETF</t>
  </si>
  <si>
    <t>2639</t>
  </si>
  <si>
    <t>グローバルＸ　バイオ＆メドテック－日本株式　ＥＴＦ　受益証券</t>
  </si>
  <si>
    <t>Global X Japan Bio &amp; Med Tech ETF</t>
  </si>
  <si>
    <t>2640</t>
  </si>
  <si>
    <t>グローバルＸ　ゲーム＆アニメ－日本株式　ＥＴＦ　受益証券</t>
  </si>
  <si>
    <t>Global X Japan Games &amp; Animation ETF</t>
  </si>
  <si>
    <t>2641</t>
  </si>
  <si>
    <t>グローバルＸ　グローバルリーダーズ－日本株式　ＥＴＦ　受益証券</t>
  </si>
  <si>
    <t>Global X Japan Global Leaders ETF</t>
  </si>
  <si>
    <t>2642</t>
  </si>
  <si>
    <t>ＳＭＴ　ＥＴＦカーボン・エフィシェント日本株　受益証券</t>
  </si>
  <si>
    <t>SMT ETF Carbon Efficient Index Japan Equity</t>
  </si>
  <si>
    <t>2643</t>
  </si>
  <si>
    <t>ＮＥＸＴ　ＦＵＮＤＳ　ＭＳＣＩジャパンカントリー指数（セレクト）連動型上場投信　受益証券</t>
  </si>
  <si>
    <t>NEXT FUNDS MSCI Japan Country Selection Index Exchange Traded Fund</t>
  </si>
  <si>
    <t xml:space="preserve">上場廃止  </t>
  </si>
  <si>
    <t xml:space="preserve">Removal  </t>
  </si>
  <si>
    <t xml:space="preserve">2026/09/18  </t>
  </si>
  <si>
    <t>整</t>
  </si>
  <si>
    <t>2644</t>
  </si>
  <si>
    <t>グローバルＸ　半導体関連－日本株式　ＥＴＦ　受益証券</t>
  </si>
  <si>
    <t>Global X Japan Semiconductor ETF</t>
  </si>
  <si>
    <t>2645</t>
  </si>
  <si>
    <t>グローバルＸ　レジャー＆エンターテインメント－日本株式　ＥＴＦ　受益証券</t>
  </si>
  <si>
    <t>Global X Japan Leisure &amp; Entertainment ETF</t>
  </si>
  <si>
    <t>2646</t>
  </si>
  <si>
    <t>グローバルＸ　メタルビジネス－日本株式　ＥＴＦ　受益証券</t>
  </si>
  <si>
    <t>Global X Japan Metal Business ETF</t>
  </si>
  <si>
    <t>2647</t>
  </si>
  <si>
    <t>ＮＥＸＴ　ＦＵＮＤＳ　ブルームバーグ米国国債（７－１０年）インデックス（為替ヘッジなし）連動型上場投信　受益証券</t>
  </si>
  <si>
    <t>NEXT FUNDS Bloomberg US Treasury Bond (7-10 year) Index (Unhedged) Exchange Traded Fund</t>
  </si>
  <si>
    <t>2648</t>
  </si>
  <si>
    <t>ＮＥＸＴ　ＦＵＮＤＳ　ブルームバーグ米国国債（７－１０年）インデックス（為替ヘッジあり）連動型上場投信　受益証券</t>
  </si>
  <si>
    <t>NEXT FUNDS Bloomberg US Treasury Bond (7-10 year) Index (Yen-Hedged) Exchange Traded Fund</t>
  </si>
  <si>
    <t>2649</t>
  </si>
  <si>
    <t>ｉシェアーズ　米国政府系機関ジニーメイＭＢＳ　ＥＴＦ（為替ヘッジあり）　受益証券</t>
  </si>
  <si>
    <t>iShares Ginnie Mae MBS JPY Hedged ETF</t>
  </si>
  <si>
    <t>273A</t>
  </si>
  <si>
    <t>ＳＢＩ　サウジアラビア株式上場投信　受益証券</t>
  </si>
  <si>
    <t>SBI Saudi Arabia Equity Exchange Traded Fund</t>
  </si>
  <si>
    <t>282A</t>
  </si>
  <si>
    <t>グローバルＸ　半導体・トップ１０－日本株式　ＥＴＦ　受益証券</t>
  </si>
  <si>
    <t>Global X Japan Semiconductor Top 10 ETF</t>
  </si>
  <si>
    <t>2836</t>
  </si>
  <si>
    <t>グローバルＸ　フィンテック－日本株式　ＥＴＦ　受益証券</t>
  </si>
  <si>
    <t>Global X Japan Fintech ETF</t>
  </si>
  <si>
    <t>2837</t>
  </si>
  <si>
    <t>グローバルＸ　中小型リーダーズ－日本株式　ＥＴＦ　受益証券</t>
  </si>
  <si>
    <t>Global X Japan Mid &amp; Small Cap Leaders ETF</t>
  </si>
  <si>
    <t>2838</t>
  </si>
  <si>
    <t>ＭＡＸＩＳ米国国債７－１０年上場投信（為替ヘッジなし）　受益証券</t>
  </si>
  <si>
    <t>MAXIS US Treasury Bond 7-10 Year ETF (Unhedged)</t>
  </si>
  <si>
    <t>2839</t>
  </si>
  <si>
    <t>ＭＡＸＩＳ米国国債７－１０年上場投信（為替ヘッジあり）　受益証券</t>
  </si>
  <si>
    <t>MAXIS US Treasury Bond 7-10 Year ETF (JPY Hedged)</t>
  </si>
  <si>
    <t>283A</t>
  </si>
  <si>
    <t>グローバルＸ　ＵＳ　テック・配当貴族　ＥＴＦ　受益証券</t>
  </si>
  <si>
    <t>Global X US Tech Dividend Aristocrats ETF</t>
  </si>
  <si>
    <t>2840</t>
  </si>
  <si>
    <t>ｉＦｒｅｅＥＴＦ　ＮＡＳＤＡＱ１００（為替ヘッジなし）　受益証券</t>
  </si>
  <si>
    <t>iFreeETF NASDAQ100 (NON HEDGED)</t>
  </si>
  <si>
    <t>2841</t>
  </si>
  <si>
    <t>ｉＦｒｅｅＥＴＦ　ＮＡＳＤＡＱ１００（為替ヘッジあり）　受益証券</t>
  </si>
  <si>
    <t>iFreeETF NASDAQ100 (JPY HEDGED)</t>
  </si>
  <si>
    <t>2842</t>
  </si>
  <si>
    <t>ｉＦｒｅｅＥＴＦ　ＮＡＳＤＡＱ１００インバース　受益証券</t>
  </si>
  <si>
    <t>iFreeETF NASDAQ100 Inverse</t>
  </si>
  <si>
    <t>2843</t>
  </si>
  <si>
    <t>上場インデックスファンド豪州国債（為替ヘッジあり）　受益証券</t>
  </si>
  <si>
    <t>Listed Index Fund Australian Government Bond (Currency Hedge)</t>
  </si>
  <si>
    <t>2844</t>
  </si>
  <si>
    <t>上場インデックスファンド豪州国債（為替ヘッジなし）　受益証券</t>
  </si>
  <si>
    <t>Listed Index Fund Australian Government Bond (No Currency Hedge)</t>
  </si>
  <si>
    <t>2845</t>
  </si>
  <si>
    <t>ＮＥＸＴ　ＦＵＮＤＳ　ＮＡＳＤＡＱ－１００（為替ヘッジあり）連動型上場投信　受益証券</t>
  </si>
  <si>
    <t>NEXT FUNDS NASDAQ-100(R) (Yen-Hedged) Exchange Traded Fund</t>
  </si>
  <si>
    <t>2846</t>
  </si>
  <si>
    <t>ＮＥＸＴ　ＦＵＮＤＳ　ダウ・ジョーンズ工業株３０種平均株価（為替ヘッジあり）連動型上場投信　受益証券</t>
  </si>
  <si>
    <t>NEXT FUNDS DJIA (Yen-Hedged) Exchange Traded Fund</t>
  </si>
  <si>
    <t>2847</t>
  </si>
  <si>
    <t>グローバルＸ　新成長インフラ－日本株式　ＥＴＦ　受益証券</t>
  </si>
  <si>
    <t>Global X Japan New Growth Infrastructure ETF</t>
  </si>
  <si>
    <t>2848</t>
  </si>
  <si>
    <t>グローバルＸ　ＭＳＣＩ　気候変動対応－日本株式　ＥＴＦ　受益証券</t>
  </si>
  <si>
    <t>Global X MSCI Japan Climate Change ETF</t>
  </si>
  <si>
    <t>2849</t>
  </si>
  <si>
    <t>グローバルＸ　Ｍｏｒｎｉｎｇｓｔａｒ　高配当　ＥＳＧ－日本株式　ＥＴＦ　受益証券</t>
  </si>
  <si>
    <t>Global X Morningstar Japan High Dividend ESG ETF</t>
  </si>
  <si>
    <t>2851</t>
  </si>
  <si>
    <t>ｉシェアーズ　ＭＳＣＩ　ジャパンＳＲＩ　ＥＴＦ　受益証券</t>
  </si>
  <si>
    <t>iShares MSCI Japan SRI ETF</t>
  </si>
  <si>
    <t>確</t>
  </si>
  <si>
    <t>2852</t>
  </si>
  <si>
    <t>ｉシェアーズ　グリーンＪリート　ＥＴＦ　受益証券</t>
  </si>
  <si>
    <t>iShares Japan Green REIT ETF</t>
  </si>
  <si>
    <t>2853</t>
  </si>
  <si>
    <t>ｉシェアーズ　気候リスク調整世界国債　ＥＴＦ（除く日本・為替ヘッジあり）　受益証券</t>
  </si>
  <si>
    <t>iShares Climate Risk-Adjusted Global ex Japan Government Bond JPY Hedged ETF</t>
  </si>
  <si>
    <t>2854</t>
  </si>
  <si>
    <t>グローバルＸ　テック・トップ２０－日本株式　ＥＴＦ　受益証券</t>
  </si>
  <si>
    <t>Global X Japan Tech Top 20 ETF</t>
  </si>
  <si>
    <t>2855</t>
  </si>
  <si>
    <t>グローバルＸ　グリーン・Ｊ－ＲＥＩＴ　ＥＴＦ　受益証券</t>
  </si>
  <si>
    <t>Global X Green J-REIT ETF</t>
  </si>
  <si>
    <t>2856</t>
  </si>
  <si>
    <t>ｉシェアーズ　米国債３－７年　ＥＴＦ（為替ヘッジあり）　受益証券</t>
  </si>
  <si>
    <t>iShares 3-7 Year US Treasury Bond JPY Hedged ETF</t>
  </si>
  <si>
    <t>2857</t>
  </si>
  <si>
    <t>ｉシェアーズ　ドイツ国債　ＥＴＦ（為替ヘッジあり）　受益証券</t>
  </si>
  <si>
    <t>iShares Germany Government Bond JPY Hedged ETF</t>
  </si>
  <si>
    <t>2858</t>
  </si>
  <si>
    <t>グローバルＸ　日経２２５　カバード・コール　ＥＴＦ（プレミアム再投資型）　受益証券</t>
  </si>
  <si>
    <t>Global X Nikkei 225 Covered Call ETF (option premium reinvestment type)</t>
  </si>
  <si>
    <t>2859</t>
  </si>
  <si>
    <t>ＮＥＸＴ　ＦＵＮＤＳ　ユーロ・ストックス５０指数（為替ヘッジあり）連動型上場投信　受益証券</t>
  </si>
  <si>
    <t>NEXT FUNDS EURO STOXX 50 (Yen-Hedged) Exchange Traded Fund</t>
  </si>
  <si>
    <t>2860</t>
  </si>
  <si>
    <t>ＮＥＸＴ　ＦＵＮＤＳ　ドイツ株式・ＤＡＸ（為替ヘッジあり）連動型上場投信　受益証券</t>
  </si>
  <si>
    <t>NEXT FUNDS German Equity DAX (Yen-Hedged) Exchange Traded Fund</t>
  </si>
  <si>
    <t>2861</t>
  </si>
  <si>
    <t>上場インデックスファンドフランス国債（為替ヘッジなし）　受益証券</t>
  </si>
  <si>
    <t>Listed Index Fund France Government Bond (No Currency Hedge)</t>
  </si>
  <si>
    <t>2862</t>
  </si>
  <si>
    <t>上場インデックスファンドフランス国債（為替ヘッジあり）　受益証券</t>
  </si>
  <si>
    <t>Listed Index Fund France Government Bond (Currency Hedge)</t>
  </si>
  <si>
    <t>2864</t>
  </si>
  <si>
    <t>グローバルＸ　ロジスティクス・ＲＥＩＴ　ＥＴＦ　受益証券</t>
  </si>
  <si>
    <t>Global X Logistics REIT ETF</t>
  </si>
  <si>
    <t>2865</t>
  </si>
  <si>
    <t>グローバルＸ　ＮＡＳＤＡＱ１００・カバード・コール　ＥＴＦ　受益証券</t>
  </si>
  <si>
    <t>Global X Nasdaq 100 Covered Call ETF</t>
  </si>
  <si>
    <t>2866</t>
  </si>
  <si>
    <t>グローバルＸ　米国優先証券　ＥＴＦ　受益証券</t>
  </si>
  <si>
    <t>Global X U.S. Preferred Security ETF</t>
  </si>
  <si>
    <t>2867</t>
  </si>
  <si>
    <t>グローバルＸ　自動運転＆ＥＶ　ＥＴＦ　受益証券</t>
  </si>
  <si>
    <t>Global X Autonomous &amp; EV ETF</t>
  </si>
  <si>
    <t>2868</t>
  </si>
  <si>
    <t>グローバルＸ　Ｓ＆Ｐ５００・カバード・コール　ＥＴＦ　受益証券</t>
  </si>
  <si>
    <t>Global X S&amp;P 500 Covered Call ETF</t>
  </si>
  <si>
    <t>2869</t>
  </si>
  <si>
    <t>ｉＦｒｅｅＥＴＦ　ＮＡＳＤＡＱ１００レバレッジ　受益証券</t>
  </si>
  <si>
    <t>iFreeETF NASDAQ100 Leveraged (2x)</t>
  </si>
  <si>
    <t>2870</t>
  </si>
  <si>
    <t>ｉＦｒｅｅＥＴＦ　ＮＡＳＤＡＱ１００ダブルインバース　受益証券</t>
  </si>
  <si>
    <t>iFreeETF NASDAQ100 Double Inverse (-2x)</t>
  </si>
  <si>
    <t>294A</t>
  </si>
  <si>
    <t>ＮＥＸＴ　ＦＵＮＤＳ　ＭＳＣＩジャパン気候変動指数（セレクト）連動型上場投信　受益証券</t>
  </si>
  <si>
    <t>NEXT FUNDS MSCI Global Climate 500 Japan Selection Index Exchange Traded Fund</t>
  </si>
  <si>
    <t>295A</t>
  </si>
  <si>
    <t>Ｏｎｅ　ＥＴＦ　ＦＴＳＥ・サウジアラビア・インデックス　受益証券</t>
  </si>
  <si>
    <t>One ETF FTSE Saudi Arabia Index</t>
  </si>
  <si>
    <t>2971</t>
  </si>
  <si>
    <t>エスコンジャパンリート投資法人　投資証券</t>
  </si>
  <si>
    <t>ESCON JAPAN REIT Investment Corporation</t>
  </si>
  <si>
    <t>2972</t>
  </si>
  <si>
    <t>サンケイリアルエステート投資法人　投資証券</t>
  </si>
  <si>
    <t>SANKEI REAL ESTATE Inc.</t>
  </si>
  <si>
    <t>2979</t>
  </si>
  <si>
    <t>ＳＯＳｉＬＡ物流リート投資法人　投資証券</t>
  </si>
  <si>
    <t>SOSiLA Logistics REIT,Inc.</t>
  </si>
  <si>
    <t>2989</t>
  </si>
  <si>
    <t>東海道リート投資法人　投資証券</t>
  </si>
  <si>
    <t>Tokaido REIT,Inc.</t>
  </si>
  <si>
    <t>313A</t>
  </si>
  <si>
    <t>ｉシェアーズ　Ｓ＆Ｐ　５００　トップ　２０　ＥＴＦ　受益証券</t>
  </si>
  <si>
    <t>iShares S&amp;P 500 Top 20 ETF</t>
  </si>
  <si>
    <t>314A</t>
  </si>
  <si>
    <t>ｉシェアーズ　ゴールド　ＥＴＦ　受益証券</t>
  </si>
  <si>
    <t>iShares Gold ETF</t>
  </si>
  <si>
    <t>315A</t>
  </si>
  <si>
    <t>グローバルＸ　銀行　高配当－日本株式　ＥＴＦ　受益証券</t>
  </si>
  <si>
    <t>Global X Japan Bank High Dividend ETF</t>
  </si>
  <si>
    <t>316A</t>
  </si>
  <si>
    <t>ｉＦｒｅｅＥＴＦ　ＦＡＮＧ＋　受益証券</t>
  </si>
  <si>
    <t>iFreeETF FANG+</t>
  </si>
  <si>
    <t>318A</t>
  </si>
  <si>
    <t>ＶＩＸ短期先物指数ＥＴＦ　受益証券</t>
  </si>
  <si>
    <t>SIMPLEX VIX Short-Term Futures ETF</t>
  </si>
  <si>
    <t>3226</t>
  </si>
  <si>
    <t>三井不動産アコモデーションファンド投資法人　投資証券</t>
  </si>
  <si>
    <t>Mitsui Fudosan Accommodations Fund Inc.</t>
  </si>
  <si>
    <t>3234</t>
  </si>
  <si>
    <t>森ヒルズリート投資法人　投資証券</t>
  </si>
  <si>
    <t>MORI HILLS REIT INVESTMENT CORPORATION</t>
  </si>
  <si>
    <t>3249</t>
  </si>
  <si>
    <t>産業ファンド投資法人　投資証券</t>
  </si>
  <si>
    <t>Industrial &amp; Infrastructure Fund Investment Corporation</t>
  </si>
  <si>
    <t>3269</t>
  </si>
  <si>
    <t>アドバンス・レジデンス投資法人　投資証券</t>
  </si>
  <si>
    <t>Advance Residence Investment Corporation</t>
  </si>
  <si>
    <t>3279</t>
  </si>
  <si>
    <t>アクティビア・プロパティーズ投資法人　投資証券</t>
  </si>
  <si>
    <t>Activia Properties Inc.</t>
  </si>
  <si>
    <t>3281</t>
  </si>
  <si>
    <t>ＧＬＰ投資法人　投資証券</t>
  </si>
  <si>
    <t>GLP J-REIT</t>
  </si>
  <si>
    <t>3282</t>
  </si>
  <si>
    <t>コンフォリア・レジデンシャル投資法人　投資証券</t>
  </si>
  <si>
    <t>Comforia Residential REIT,Inc</t>
  </si>
  <si>
    <t>3283</t>
  </si>
  <si>
    <t>日本プロロジスリート投資法人　投資証券</t>
  </si>
  <si>
    <t>Nippon Prologis REIT,Inc.</t>
  </si>
  <si>
    <t>3287</t>
  </si>
  <si>
    <t>星野リゾート・リート投資法人　投資証券</t>
  </si>
  <si>
    <t>Hoshino Resorts REIT,Inc.</t>
  </si>
  <si>
    <t>328A</t>
  </si>
  <si>
    <t>グローバルＸ　プライシングパワー・リーダーズ－日本株式　ＥＴＦ　受益証券</t>
  </si>
  <si>
    <t>Global X Japan Pricing Power Leaders ETF</t>
  </si>
  <si>
    <t>3290</t>
  </si>
  <si>
    <t>Ｏｎｅリート投資法人　投資証券</t>
  </si>
  <si>
    <t>One REIT,Inc.</t>
  </si>
  <si>
    <t>3292</t>
  </si>
  <si>
    <t>イオンリート投資法人　投資証券</t>
  </si>
  <si>
    <t>AEON REIT Investment Corporation</t>
  </si>
  <si>
    <t>3295</t>
  </si>
  <si>
    <t>ヒューリックリート投資法人　投資証券</t>
  </si>
  <si>
    <t>Hulic Reit,Inc.</t>
  </si>
  <si>
    <t>3296</t>
  </si>
  <si>
    <t>日本リート投資法人　投資証券</t>
  </si>
  <si>
    <t>NIPPON REIT Investment Corporation</t>
  </si>
  <si>
    <t>3309</t>
  </si>
  <si>
    <t>積水ハウス・リート投資法人　投資証券</t>
  </si>
  <si>
    <t>Sekisui House Reit,Inc.</t>
  </si>
  <si>
    <t>3451</t>
  </si>
  <si>
    <t>トーセイ・リート投資法人　投資証券</t>
  </si>
  <si>
    <t>Tosei Reit Investment Corporation</t>
  </si>
  <si>
    <t>3455</t>
  </si>
  <si>
    <t>ヘルスケア＆メディカル投資法人　投資証券</t>
  </si>
  <si>
    <t>Healthcare &amp; Medical Investment Corporation</t>
  </si>
  <si>
    <t>3459</t>
  </si>
  <si>
    <t>サムティ・レジデンシャル投資法人　投資証券</t>
  </si>
  <si>
    <t>Samty Residential Investment Corporation</t>
  </si>
  <si>
    <t>345A</t>
  </si>
  <si>
    <t>高配当成長　日本株（ネットリターン）ＥＴＮ　受益証券</t>
  </si>
  <si>
    <t>High Dividend Growth Japan Equity Net Return ETN</t>
  </si>
  <si>
    <t>3462</t>
  </si>
  <si>
    <t>野村不動産マスターファンド投資法人　投資証券</t>
  </si>
  <si>
    <t>Nomura Real Estate Master Fund,Inc.</t>
  </si>
  <si>
    <t>3463</t>
  </si>
  <si>
    <t>いちごホテルリート投資法人　投資証券</t>
  </si>
  <si>
    <t>Ichigo Hotel REIT Investment Corporation</t>
  </si>
  <si>
    <t>3466</t>
  </si>
  <si>
    <t>ラサールロジポート投資法人　投資証券</t>
  </si>
  <si>
    <t>LaSalle LOGIPORT REIT</t>
  </si>
  <si>
    <t>3468</t>
  </si>
  <si>
    <t>スターアジア不動産投資法人　投資証券</t>
  </si>
  <si>
    <t>Star Asia Investment Corporation</t>
  </si>
  <si>
    <t>346A</t>
  </si>
  <si>
    <t>ＮＥＸＴ　ＦＵＮＤＳ　Ｓ＆Ｐ　５００　半導体・半導体製造装置３５％キャップ指数連動型上場投信　受益証券</t>
  </si>
  <si>
    <t>NEXT FUNDS S&amp;P 500 Semiconductors &amp; Semiconductor Equipment (Industry Group) 35% Capped Index Exchange Traded Fund</t>
  </si>
  <si>
    <t>3470</t>
  </si>
  <si>
    <t>マリモ地方創生リート投資法人　投資証券</t>
  </si>
  <si>
    <t>Marimo Regional Revitalization REIT,Inc.</t>
  </si>
  <si>
    <t>3471</t>
  </si>
  <si>
    <t>三井不動産ロジスティクスパーク投資法人　投資証券</t>
  </si>
  <si>
    <t>Mitsui Fudosan Logistics Park Inc.</t>
  </si>
  <si>
    <t>3472</t>
  </si>
  <si>
    <t>日本ホテル＆レジデンシャル投資法人　投資証券</t>
  </si>
  <si>
    <t>Nippon Hotel &amp; Residential Investment Corporation</t>
  </si>
  <si>
    <t>3476</t>
  </si>
  <si>
    <t>投資法人みらい　投資証券</t>
  </si>
  <si>
    <t>MIRAI Corporation</t>
  </si>
  <si>
    <t>3481</t>
  </si>
  <si>
    <t>三菱地所物流リート投資法人　投資証券</t>
  </si>
  <si>
    <t>Mitsubishi Estate Logistics REIT Investment Corporation</t>
  </si>
  <si>
    <t>3487</t>
  </si>
  <si>
    <t>ＣＲＥロジスティクスファンド投資法人　投資証券</t>
  </si>
  <si>
    <t>CRE Logistics REIT,Inc.</t>
  </si>
  <si>
    <t>3488</t>
  </si>
  <si>
    <t>セントラル・リート投資法人　投資証券</t>
  </si>
  <si>
    <t>CENTRAL REIT Investment Corporation</t>
  </si>
  <si>
    <t>348A</t>
  </si>
  <si>
    <t>ＭＡＸＩＳ読売３３３日本株上場投信　受益証券</t>
  </si>
  <si>
    <t>MAXIS Yomiuri333 Japan Stock ETF</t>
  </si>
  <si>
    <t>3492</t>
  </si>
  <si>
    <t>ＭＩＲＡＲＴＨ不動産投資法人　投資証券</t>
  </si>
  <si>
    <t>MIRARTH Real Estate Investment Corporation</t>
  </si>
  <si>
    <t>349A</t>
  </si>
  <si>
    <t>ＳＭＤＡＭ　Ａｃｔｉｖｅ　ＥＴＦ　日本グロース株式　受益証券</t>
  </si>
  <si>
    <t>SMDAM Active ETF Japan Growth Equity</t>
  </si>
  <si>
    <t>354A</t>
  </si>
  <si>
    <t>ｉＦｒｅｅＥＴＦ　ブルームバーグ日本株高配当５０指数　受益証券</t>
  </si>
  <si>
    <t>iFreeETF Bloomberg Japan High Dividend 50 Index</t>
  </si>
  <si>
    <t>356A</t>
  </si>
  <si>
    <t>グローバルＸ　Ｓ＆Ｐ５００　キャッシュフロー・トップ１００　ＥＴＦ　受益証券</t>
  </si>
  <si>
    <t>Global X S&amp;P 500 Cash Flow Top 100 ETF</t>
  </si>
  <si>
    <t>360A</t>
  </si>
  <si>
    <t>東証ＲＥＩＴ　Ｃｏｒｅ　ＥＴＦ　受益証券</t>
  </si>
  <si>
    <t>TSE REIT Core ETF</t>
  </si>
  <si>
    <t>363A</t>
  </si>
  <si>
    <t>ｉＦｒｅｅＥＴＦ　英国ＦＴＳＥ１００　受益証券</t>
  </si>
  <si>
    <t>iFreeETF FTSE100</t>
  </si>
  <si>
    <t>364A</t>
  </si>
  <si>
    <t>ＮＥＸＴ　ＦＵＮＤＳ　Ｓ＆Ｐ　５００　配当貴族指数連動型上場投信　受益証券</t>
  </si>
  <si>
    <t>NEXT FUNDS S&amp;P 500 Dividend Aristocrats Index Exchange Traded Fund</t>
  </si>
  <si>
    <t>376A</t>
  </si>
  <si>
    <t>ＮＥＸＴ　ＦＵＮＤＳ　ブルームバーグ米国国債（７－１０年）インデックス（７５％為替ヘッジあり）連動型上場投信　受益証券</t>
  </si>
  <si>
    <t>NEXT FUNDS Bloomberg US Treasury Bond (7-10 year) Index (75% Yen-Hedged) Exchange Traded Fund</t>
  </si>
  <si>
    <t>379A</t>
  </si>
  <si>
    <t>グローバルＸ　Ｓ＆Ｐ５００　ＥＴＦ（ダイナミック・プロテクション）　受益証券</t>
  </si>
  <si>
    <t>Global X S&amp;P 500 ETF (Dynamic Protection)</t>
  </si>
  <si>
    <t>380A</t>
  </si>
  <si>
    <t>グローバルＸ　チャイナテック　ＥＴＦ　受益証券</t>
  </si>
  <si>
    <t>Global X China Tech ETF</t>
  </si>
  <si>
    <t>381A</t>
  </si>
  <si>
    <t>ｉＦｒｅｅＥＴＦ　米国国債３－５年（為替ヘッジなし）　受益証券</t>
  </si>
  <si>
    <t>iFreeETF US Treasury Bond 3-5 Year (NON HEDGED)</t>
  </si>
  <si>
    <t>382A</t>
  </si>
  <si>
    <t>ｉＦｒｅｅＥＴＦ　米国国債３－５年（為替ヘッジあり）　受益証券</t>
  </si>
  <si>
    <t>iFreeETF US Treasury Bond 3-5 Year (JPY HEDGED)</t>
  </si>
  <si>
    <t>383A</t>
  </si>
  <si>
    <t>ＭＡＸＩＳ　Ｓ＆Ｐ５００均等ウェイト上場投信　受益証券</t>
  </si>
  <si>
    <t>MAXIS S&amp;P500 Equal Weight ETF</t>
  </si>
  <si>
    <t>392A</t>
  </si>
  <si>
    <t>ｉシェアーズ　ＮＡＳＤＡＱ　トップ　３０　ＥＴＦ　受益証券</t>
  </si>
  <si>
    <t>iShares Nasdaq Top 30 ETF</t>
  </si>
  <si>
    <t>394A</t>
  </si>
  <si>
    <t>業界改革厳選ＥＴＦテレビ業界　受益証券</t>
  </si>
  <si>
    <t>Sector Restructuring Select ETF TV</t>
  </si>
  <si>
    <t>395A</t>
  </si>
  <si>
    <t>業界改革厳選ＥＴＦ地銀　受益証券</t>
  </si>
  <si>
    <t>Sector Restructuring Select ETF Regional Banks</t>
  </si>
  <si>
    <t>396A</t>
  </si>
  <si>
    <t>業界改革厳選ＥＴＦ　ＲＥＩＴイベント・ドリブン　受益証券</t>
  </si>
  <si>
    <t>Sector Restructuring Select ETF Event-Driven REITs</t>
  </si>
  <si>
    <t>399A</t>
  </si>
  <si>
    <t>上場インデックスファンド日経平均高配当株５０　受益証券</t>
  </si>
  <si>
    <t>Listed Index Fund Nikkei 225 High Dividend Yield Stock 50</t>
  </si>
  <si>
    <t>401A</t>
  </si>
  <si>
    <t>霞ヶ関ホテルリート投資法人　投資証券</t>
  </si>
  <si>
    <t>Kasumigaseki Hotel REIT Investment Corporation</t>
  </si>
  <si>
    <t>404A</t>
  </si>
  <si>
    <t>グローバルＸ　チャイナテック・トップ１０　ＥＴＦ　受益証券</t>
  </si>
  <si>
    <t>Global X China Tech Top 10 ETF</t>
  </si>
  <si>
    <t>408A</t>
  </si>
  <si>
    <t>ｉシェアーズ　ＡＩ　グローバル・イノベーション　アクティブ　ＥＴＦ　受益証券</t>
  </si>
  <si>
    <t>iShares A.I. Global Innovation Active ETF</t>
  </si>
  <si>
    <t>412A</t>
  </si>
  <si>
    <t>ＮＥＸＴ　ＦＵＮＤＳ　ＴＩＰ　ＦａｃｔＳｅｔ　台湾イノベイティブ・テクノロジー５０指数連動型上場投信　受益証券</t>
  </si>
  <si>
    <t>NEXT FUNDS TIP FactSet Taiwan Innovative Technology 50 Index Exchange Traded Fund</t>
  </si>
  <si>
    <t>413A</t>
  </si>
  <si>
    <t>ｉＦｒｅｅＥＴＦ　キャセイ台湾テックリーダー指数　受益証券</t>
  </si>
  <si>
    <t>iFreeETF Cathay Taiwan Tech Leader Index</t>
  </si>
  <si>
    <t>424A</t>
  </si>
  <si>
    <t>グローバルＸ　ゴールド　ＥＴＦ（為替ヘッジあり）　受益証券</t>
  </si>
  <si>
    <t>Global X Gold ETF (JPY Hedged)</t>
  </si>
  <si>
    <t>425A</t>
  </si>
  <si>
    <t>グローバルＸ　ゴールド　ＥＴＦ　受益証券</t>
  </si>
  <si>
    <t>Global X Gold ETF</t>
  </si>
  <si>
    <t>426A</t>
  </si>
  <si>
    <t>ニッセイＥＴＦ　Ｓ＆Ｐ５００イコール・ウェイト（為替ヘッジなし）　受益証券</t>
  </si>
  <si>
    <t>Nissay ETF S&amp;P500 Equal Weight (Currency Unhedged)</t>
  </si>
  <si>
    <t>435A</t>
  </si>
  <si>
    <t>ｉＦｒｅｅＥＴＦ　日本株配当ローテーション戦略　受益証券</t>
  </si>
  <si>
    <t>iFreeETF Japan Equity Dividend Rotation Strategy</t>
  </si>
  <si>
    <t>443A</t>
  </si>
  <si>
    <t>ｉＦｒｅｅＥＴＦ　東証ＲＥＩＴ指数（２・５・８・１１月決算型）　受益証券</t>
  </si>
  <si>
    <t>iFreeETF Tokyo Stock Exchange REIT Index (Feb/May/Aug/Nov Dividend Type)</t>
  </si>
  <si>
    <t>447A</t>
  </si>
  <si>
    <t>ステート・ストリート・スパイダー　ゴールド　ＥＴＦ（為替ヘッジなし）　受益証券</t>
  </si>
  <si>
    <t>State Street SPDR Gold ETF (JPY Unhedged)</t>
  </si>
  <si>
    <t>448A</t>
  </si>
  <si>
    <t>ステート・ストリート・スパイダー　ゴールド　ＥＴＦ（為替ヘッジあり）　受益証券</t>
  </si>
  <si>
    <t>State Street SPDR Gold ETF (JPY Hedged)</t>
  </si>
  <si>
    <t>449A</t>
  </si>
  <si>
    <t>ステート・ストリート・スパイダー　Ｓ＆Ｐ５００　ＥＴＦ（為替ヘッジなし）　受益証券</t>
  </si>
  <si>
    <t>State Street SPDR S&amp;P 500 ETF (JPY Unhedged)</t>
  </si>
  <si>
    <t>450A</t>
  </si>
  <si>
    <t>ステート・ストリート・スパイダー　Ｓ＆Ｐ５００　ＥＴＦ（為替ヘッジあり）　受益証券</t>
  </si>
  <si>
    <t>State Street SPDR S&amp;P 500 ETF (JPY Hedged)</t>
  </si>
  <si>
    <t>451A</t>
  </si>
  <si>
    <t>ステート・ストリート・スパイダー　Ｓ＆Ｐ５００高配当株　ＥＴＦ　受益証券</t>
  </si>
  <si>
    <t>State Street SPDR S&amp;P 500 High Dividend ETF (JPY Unhedged)</t>
  </si>
  <si>
    <t>452A</t>
  </si>
  <si>
    <t>ｉシェアーズ　Ｓ＆Ｐ　５００　プレミアムインカム　ＥＴＦ　受益証券</t>
  </si>
  <si>
    <t>iShares S&amp;P 500 Premium Income ETF</t>
  </si>
  <si>
    <t>453A</t>
  </si>
  <si>
    <t>ｉシェアーズ　米国債２０年超　プレミアムインカム　ＥＴＦ　受益証券</t>
  </si>
  <si>
    <t>iShares 20+ Year US Treasury Bond Premium Income ETF</t>
  </si>
  <si>
    <t>459A</t>
  </si>
  <si>
    <t>野村高利回りＪリート指数ＥＴＦ　受益証券</t>
  </si>
  <si>
    <t>Nomura High-yield J-REIT Index ETF</t>
  </si>
  <si>
    <t>461A</t>
  </si>
  <si>
    <t>ＭＡＸＩＳ日本株高配当ＳＭＡＲＴ５０上場投信　受益証券</t>
  </si>
  <si>
    <t>MAXIS Japan Equity High Dividend SMART 50 ETF</t>
  </si>
  <si>
    <t>465A</t>
  </si>
  <si>
    <t>グローバルＸ　日経平均株主還元４０－日本株式　ＥＴＦ　受益証券</t>
  </si>
  <si>
    <t>Global X Japan Nikkei 225 Shareholder Return 40 ETF</t>
  </si>
  <si>
    <t>466A</t>
  </si>
  <si>
    <t>グローバルＸ　防衛テック　ＥＴＦ　受益証券</t>
  </si>
  <si>
    <t>Global X Defense Tech ETF</t>
  </si>
  <si>
    <t>467A</t>
  </si>
  <si>
    <t>グローバルＸ　米ドル建て投資適格社債　ＥＴＦ（為替ヘッジあり）　受益証券</t>
  </si>
  <si>
    <t>Global X USD Investment Grade Corporate Bond ETF (JPY Hedged)</t>
  </si>
  <si>
    <t>468A</t>
  </si>
  <si>
    <t>グローバルＸ　米ドル建て投資適格社債　ＥＴＦ　受益証券</t>
  </si>
  <si>
    <t>Global X USD Investment Grade Corporate Bond ETF</t>
  </si>
  <si>
    <t>473A</t>
  </si>
  <si>
    <t>ニッセイＥＴＦ　日経２２５インデックス　受益証券</t>
  </si>
  <si>
    <t>Nissay ETF Nikkei 225 Index</t>
  </si>
  <si>
    <t>486A</t>
  </si>
  <si>
    <t>ＮＥＸＴ　ＦＵＮＤＳ　ユーロ・ストックス５０指数（為替ヘッジなし）連動型上場投信　受益証券</t>
  </si>
  <si>
    <t>NEXT FUNDS EURO STOXX 50 (Unhedged) Exchange Traded Fund</t>
  </si>
  <si>
    <t>487A</t>
  </si>
  <si>
    <t>ＮＥＸＴ　ＦＵＮＤＳ　ドイツ株式・ＤＡＸ（為替ヘッジなし）連動型上場投信　受益証券</t>
  </si>
  <si>
    <t>NEXT FUNDS German Equity DAX (Unhedged) Exchange Traded Fund</t>
  </si>
  <si>
    <t>488A</t>
  </si>
  <si>
    <t>ｉシェアーズ　円高フォーカス　ＥＴＦ　受益証券</t>
  </si>
  <si>
    <t>iShares Yen Appreciation Focus ETF</t>
  </si>
  <si>
    <t>489A</t>
  </si>
  <si>
    <t>東証ＲＥＩＴ物流フォーカスＥＴＦ　受益証券</t>
  </si>
  <si>
    <t>TSE REIT Logistics Focus ETF</t>
  </si>
  <si>
    <t>491A</t>
  </si>
  <si>
    <t>ｉシェアーズ　Ｓ＆Ｐ　５００　除く金融　ＥＴＦ（為替ヘッジあり）　受益証券</t>
  </si>
  <si>
    <t>iShares S&amp;P 500 Ex-Financials JPY Hedged ETF</t>
  </si>
  <si>
    <t>492A</t>
  </si>
  <si>
    <t>Ｏｎｅ　ＥＴＦ　日本国債　高クーポン（平均残存１０年未満）　受益証券</t>
  </si>
  <si>
    <t>One ETF Japanese Government Bond High Coupon (Average Duration Below Ten Years)</t>
  </si>
  <si>
    <t>493A</t>
  </si>
  <si>
    <t>Ｏｎｅ　ＥＴＦ　日本国債　１－３年　受益証券</t>
  </si>
  <si>
    <t>One ETF Japanese Government Bond 1-3 years</t>
  </si>
  <si>
    <t>494A</t>
  </si>
  <si>
    <t>Ｏｎｅ　ＥＴＦ　日本国債　３－７年　受益証券</t>
  </si>
  <si>
    <t>One ETF Japanese Government Bond 3-7 years</t>
  </si>
  <si>
    <t>495A</t>
  </si>
  <si>
    <t>Ｏｎｅ　ＥＴＦ　日本国債　７－１０年　受益証券</t>
  </si>
  <si>
    <t>One ETF Japanese Government Bond 7-10 years</t>
  </si>
  <si>
    <t>496A</t>
  </si>
  <si>
    <t>Ｏｎｅ　ＥＴＦ　日本国債　１７－２０年　受益証券</t>
  </si>
  <si>
    <t>One ETF Japanese Government Bond 17-20 years</t>
  </si>
  <si>
    <t>497A</t>
  </si>
  <si>
    <t>インバウンド消費関連　日本株（ネットリターン）ＥＴＮ　受益証券</t>
  </si>
  <si>
    <t>Inbound Consumer Related Japan Equity Net Return ETN</t>
  </si>
  <si>
    <t>498A</t>
  </si>
  <si>
    <t>防衛・航空宇宙　欧州株（ネットリターン）ＥＴＮ　受益証券</t>
  </si>
  <si>
    <t>Defense Aerospace Europe Equity Net Return ETN</t>
  </si>
  <si>
    <t>499A</t>
  </si>
  <si>
    <t>ラグジュアリー厳選１０　欧州株（ネットリターン）ＥＴＮ　受益証券</t>
  </si>
  <si>
    <t>Luxury Select 10 Europe Equity Net Return ETN</t>
  </si>
  <si>
    <t>502A</t>
  </si>
  <si>
    <t>グローバルＸ　超短期円建て債券　ＥＴＦ　受益証券</t>
  </si>
  <si>
    <t>Global X JPY Ultra Short-Term Bond ETF</t>
  </si>
  <si>
    <t>509A</t>
  </si>
  <si>
    <t>グリーンライト・再エネインフラ投資法人　投資証券</t>
  </si>
  <si>
    <t>Green Light Renewable Energy Infrastructure Fund</t>
  </si>
  <si>
    <t>512A</t>
  </si>
  <si>
    <t>グローバルＸ　ステーブルコイン＆トークンビジネス　ＥＴＦ（除く日本）　受益証券</t>
  </si>
  <si>
    <t>Global X Stablecoins &amp; Tokenization ETF (ex-Japan)</t>
  </si>
  <si>
    <t>513A</t>
  </si>
  <si>
    <t>グローバルＸ　防衛テック－日本株式　ＥＴＦ　受益証券</t>
  </si>
  <si>
    <t>Global X Japan Defense Tech ETF</t>
  </si>
  <si>
    <t>515A</t>
  </si>
  <si>
    <t>ｉシェアーズ　高格付け日本円社債　ＥＴＦ　受益証券</t>
  </si>
  <si>
    <t>iShares JPY Investment Grade Corporate Bond Active ETF</t>
  </si>
  <si>
    <t>516A</t>
  </si>
  <si>
    <t>ｉＦｒｅｅＥＴＦ　米ドル・ブル（１倍）　受益証券</t>
  </si>
  <si>
    <t>iFreeETF US Dollar Bull (1x)</t>
  </si>
  <si>
    <t>517A</t>
  </si>
  <si>
    <t>ｉＦｒｅｅＥＴＦ　米ドル・ベア（１倍）　受益証券</t>
  </si>
  <si>
    <t>iFreeETF US Dollar Bear (1x)</t>
  </si>
  <si>
    <t>518A</t>
  </si>
  <si>
    <t>ＮＥＸＴ　ＦＵＮＤＳ　ＦＴＳＥ日本株高配当キャッシュフロー５０指数連動型上場投信　受益証券</t>
  </si>
  <si>
    <t>NEXT FUNDS FTSE Japan ex-REITs High Income Cash Flow 50 Index Exchange Traded Fund</t>
  </si>
  <si>
    <t>521A</t>
  </si>
  <si>
    <t>ｉＦｒｅｅＥＴＦ　ＦＡＮＧ＋ゴールド　受益証券</t>
  </si>
  <si>
    <t>iFreeETF FANG+GOLD</t>
  </si>
  <si>
    <t>526A</t>
  </si>
  <si>
    <t>ＪＰＸスタートアップ急成長１００ＥＴＦ　受益証券</t>
  </si>
  <si>
    <t>JPX Startup100 ETF</t>
  </si>
  <si>
    <t>530A</t>
  </si>
  <si>
    <t>ＮＺＡＭ　上場投信　東証ＲＥＩＴ指数（２・５・８・１１月決算型）　受益証券</t>
  </si>
  <si>
    <t>NZAM ETF J-REIT Index(2 5 8 11)</t>
  </si>
  <si>
    <t>531A</t>
  </si>
  <si>
    <t>ＮＺＡＭ　上場投信　日経平均高配当株５０　受益証券</t>
  </si>
  <si>
    <t>NZAM ETF Nikkei High Dividend 50</t>
  </si>
  <si>
    <t>532A</t>
  </si>
  <si>
    <t>ＮＺＡＭ　上場投信　ＴＯＰＩＸ高配当４０　受益証券</t>
  </si>
  <si>
    <t>NZAM ETF TOPIX High Dividend 40</t>
  </si>
  <si>
    <t>533A</t>
  </si>
  <si>
    <t>ＮＺＡＭ　上場投信　Ｓ＆Ｐ５００（為替ヘッジなし）　受益証券</t>
  </si>
  <si>
    <t>NZAM ETF S&amp;P500(Unhedged)</t>
  </si>
  <si>
    <t>534A</t>
  </si>
  <si>
    <t>ＮＺＡＭ　上場投信　ＮＡＳＤＡＱ１００（為替ヘッジなし）　受益証券</t>
  </si>
  <si>
    <t>NZAM ETF NASDAQ100(Unhedged)</t>
  </si>
  <si>
    <t>535A</t>
  </si>
  <si>
    <t>ＮＺＡＭ　上場投信　ＤＡＸ（為替ヘッジなし）　受益証券</t>
  </si>
  <si>
    <t>NZAM ETF DAX(Unhedged)</t>
  </si>
  <si>
    <t>536A</t>
  </si>
  <si>
    <t>ＮＺＡＭ　上場投信　先進国株式（ＭＳＣＩ－ＫＯＫＵＳＡＩ）（為替ヘッジなし）　受益証券</t>
  </si>
  <si>
    <t>NZAM ETF MSCI-KOKUSAI(Unhedged)</t>
  </si>
  <si>
    <t>537A</t>
  </si>
  <si>
    <t>ＮＺＡＭ　上場投信　全世界株式（ＭＳＣＩ　ＡＣＷＩ）（為替ヘッジなし）　受益証券</t>
  </si>
  <si>
    <t>NZAM ETF MSCI ACWI(Unhedged)</t>
  </si>
  <si>
    <t>538A</t>
  </si>
  <si>
    <t>ＮＺＡＭ　上場投信　米国国債７－１０年（為替ヘッジなし）　受益証券</t>
  </si>
  <si>
    <t>NZAM ETF US Treasury 7-10Y(Unhedged)</t>
  </si>
  <si>
    <t>539A</t>
  </si>
  <si>
    <t>ＮＺＡＭ　上場投信　海外債券（ＦＴＳＥ　ＷＧＢＩ除く日本）（為替ヘッジなし）　受益証券</t>
  </si>
  <si>
    <t>NZAM ETF FTSE WGBI ex Japan(Unhedged)</t>
  </si>
  <si>
    <t>540A</t>
  </si>
  <si>
    <t>上場インデックスファンド日経銀行株トップ１０　受益証券</t>
  </si>
  <si>
    <t>Listed Index Fund Nikkei Bank Stock Top 10</t>
  </si>
  <si>
    <t>541A</t>
  </si>
  <si>
    <t>Ｏｎｅ　ＥＴＦ　ＴＯＰＩＸ高配当株グロース指数　受益証券</t>
  </si>
  <si>
    <t>One ETF TOPIX High Dividend Growth Index</t>
  </si>
  <si>
    <t>552A</t>
  </si>
  <si>
    <t>ＭＡＸＩＳ米国ＡＩインフラ株上場投信　受益証券</t>
  </si>
  <si>
    <t>MAXIS US AI Infrastructure Equity ETF</t>
  </si>
  <si>
    <t>563A</t>
  </si>
  <si>
    <t>グローバルＸ　ＮＡＳＤＡＱ１００・デイリー・カバード・コール　ＥＴＦ　受益証券</t>
  </si>
  <si>
    <t>Global X Nasdaq 100 Daily Covered Call ETF</t>
  </si>
  <si>
    <t>564A</t>
  </si>
  <si>
    <t>グローバルＸ　Ｓ＆Ｐ先進国キャッシュフロー・トップ１００　ＥＴＦ　受益証券</t>
  </si>
  <si>
    <t>Global X S&amp;P Developed Cash Flow Top 100 ETF</t>
  </si>
  <si>
    <t>566A</t>
  </si>
  <si>
    <t>ｉＦｒｅｅＥＴＦ　ブルームバーグ日本株（除く金融）高配当５０指数　受益証券</t>
  </si>
  <si>
    <t>iFreeETF Bloomberg Japan ex-Financials High Dividend 50 Index</t>
  </si>
  <si>
    <t>568A</t>
  </si>
  <si>
    <t>ｉシェアーズ　シルバー　ＥＴＦ　受益証券</t>
  </si>
  <si>
    <t>iShares Silver ETF</t>
  </si>
  <si>
    <t>569A</t>
  </si>
  <si>
    <t>ｉシェアーズ　プラチナ　ＥＴＦ　受益証券</t>
  </si>
  <si>
    <t>iShares Platinum ETF</t>
  </si>
  <si>
    <t>570A</t>
  </si>
  <si>
    <t>ｉシェアーズ　日本国債０－１年　ＥＴＦ　受益証券</t>
  </si>
  <si>
    <t>iShares 0-1 Year Japan Government Bond ETF</t>
  </si>
  <si>
    <t>571A</t>
  </si>
  <si>
    <t>ｉシェアーズ　日本国債１－３年　ＥＴＦ　受益証券</t>
  </si>
  <si>
    <t>iShares 1-3 Year Japan Government Bond ETF</t>
  </si>
  <si>
    <t>572A</t>
  </si>
  <si>
    <t>ｉシェアーズ　日本国債３－７年　ＥＴＦ　受益証券</t>
  </si>
  <si>
    <t>iShares 3-7 Year Japan Government Bond ETF</t>
  </si>
  <si>
    <t>573A</t>
  </si>
  <si>
    <t>ｉシェアーズ　日本国債２０年超　ＥＴＦ　受益証券</t>
  </si>
  <si>
    <t>iShares 20+ Year Japan Government Bond ETF</t>
  </si>
  <si>
    <t>576A</t>
  </si>
  <si>
    <t>グローバルＸ　チャイナテック・カバード・コール　ＥＴＦ　受益証券</t>
  </si>
  <si>
    <t>Global X China Tech Covered Call ETF</t>
  </si>
  <si>
    <t>577A</t>
  </si>
  <si>
    <t>グローバルＸ　シルバー　ＥＴＦ　受益証券</t>
  </si>
  <si>
    <t>Global X Silver ETF</t>
  </si>
  <si>
    <t>578A</t>
  </si>
  <si>
    <t>グローバルＸ　シルバー　ＥＴＦ（為替ヘッジあり）　受益証券</t>
  </si>
  <si>
    <t>Global X Silver ETF (JPY Hedged)</t>
  </si>
  <si>
    <t>579A</t>
  </si>
  <si>
    <t>グローバルＸ　銀ビジネス　ＥＴＦ　受益証券</t>
  </si>
  <si>
    <t>Global X Silver Miners ETF</t>
  </si>
  <si>
    <t>580A</t>
  </si>
  <si>
    <t>グローバルＸ　銅ビジネス　ＥＴＦ　受益証券</t>
  </si>
  <si>
    <t>Global X Copper Miners ETF</t>
  </si>
  <si>
    <t>585A</t>
  </si>
  <si>
    <t>日本バリュー・ボトムアップ株式投資戦略アクティブＥＴＦ　受益証券</t>
  </si>
  <si>
    <t>NV Bottom Up Equity Investment Strategy Active ETF</t>
  </si>
  <si>
    <t>586A</t>
  </si>
  <si>
    <t>ＮＥＸＴ　ＦＵＮＤＳ　日経エンタメ・コンテンツ株指数連動型上場投信　受益証券</t>
  </si>
  <si>
    <t>NEXT FUNDS Nikkei Japan Entertainment Content Stock Index Exchange Traded Fund</t>
  </si>
  <si>
    <t>587A</t>
  </si>
  <si>
    <t>インベスコＱＱＱトラスト　シリーズ１　受益証券</t>
  </si>
  <si>
    <t>Invesco QQQ Trust, Series 1</t>
  </si>
  <si>
    <t>600A</t>
  </si>
  <si>
    <t>ニッセイＥＴＦ　ラッセル２０００　受益証券</t>
  </si>
  <si>
    <t>Nissay ETF Russell 2000</t>
  </si>
  <si>
    <t>605A</t>
  </si>
  <si>
    <t>ＮＥＸＴ　ＦＵＮＤＳ　日本株政策フォーカス上場投信　受益証券</t>
  </si>
  <si>
    <t>NEXT FUNDS Japan Equity Policy Focus Exchange Traded Fund</t>
  </si>
  <si>
    <t>606A</t>
  </si>
  <si>
    <t>金２倍ブルＥＴＦ　受益証券</t>
  </si>
  <si>
    <t>Gold 2x Bull ETF</t>
  </si>
  <si>
    <t>608A</t>
  </si>
  <si>
    <t>上場インデックスファンド東証ＲＥＩＴ高利回り３０　受益証券</t>
  </si>
  <si>
    <t>Listed Index Fund TSE REIT High Yield 30</t>
  </si>
  <si>
    <t>609A</t>
  </si>
  <si>
    <t>グローバルＸ　総合商社＆資源ビジネス－日本株式　ＥＴＦ　受益証券</t>
  </si>
  <si>
    <t>Global X Japan Wholesale Trade &amp; Resource Business ETF</t>
  </si>
  <si>
    <t>610A</t>
  </si>
  <si>
    <t>グローバルＸ　宇宙テック・トップ１０　ＥＴＦ（除く日本）　受益証券</t>
  </si>
  <si>
    <t>Global X Space Tech Top 10 ETF (ex-Japan)</t>
  </si>
  <si>
    <t>611A</t>
  </si>
  <si>
    <t>Ｏｎｅ　ＥＴＦ　日本国債　２７－３０年　受益証券</t>
  </si>
  <si>
    <t>One ETF Japanese Government Bond 27-30 years</t>
  </si>
  <si>
    <t>612A</t>
  </si>
  <si>
    <t>Ｏｎｅ　ＥＴＦ　日本国債先物逆連動指数　受益証券</t>
  </si>
  <si>
    <t>One ETF JGB Futures Short Index</t>
  </si>
  <si>
    <t>613A</t>
  </si>
  <si>
    <t>ｉＦｒｅｅＥＴＦ　ドイツ０－３カ月短期国債　受益証券</t>
  </si>
  <si>
    <t>iFreeETF German Government 0-3 Month Bill</t>
  </si>
  <si>
    <t>626A</t>
  </si>
  <si>
    <t>ｉＦｒｅｅＥＴＦ　ゴールドプラスインカム　受益証券</t>
  </si>
  <si>
    <t>iFreeETF Gold plus Income</t>
  </si>
  <si>
    <t xml:space="preserve">新規上場  </t>
  </si>
  <si>
    <t xml:space="preserve">New Listing  </t>
  </si>
  <si>
    <t xml:space="preserve">2026/09/04  </t>
  </si>
  <si>
    <t>630A</t>
  </si>
  <si>
    <t>ニッセイＥＴＦ　ＴＯＰＩＸ（年４回決算型）　受益証券</t>
  </si>
  <si>
    <t>Nissay ETF TOPIX(Quarterly settlement type)</t>
  </si>
  <si>
    <t xml:space="preserve">2026/09/08  </t>
  </si>
  <si>
    <t>632A</t>
  </si>
  <si>
    <t>グローバルＸ　日経２２５　ＥＴＦ　受益証券</t>
  </si>
  <si>
    <t>Global X Nikkei225 ETF</t>
  </si>
  <si>
    <t xml:space="preserve">2026/09/09  </t>
  </si>
  <si>
    <t>633A</t>
  </si>
  <si>
    <t>グローバルＸ　韓国半導体・トップ１０　ＥＴＦ　受益証券</t>
  </si>
  <si>
    <t>Global X Korea Semiconductor Top 10 ETF</t>
  </si>
  <si>
    <t>635A</t>
  </si>
  <si>
    <t>ＳＭＢＣ　Ｐｒｉｍｅ　日本短期債券ＥＴＦ（毎月決算型）　受益証券</t>
  </si>
  <si>
    <t>SMBC Prime Japan Short Term Bond ETF (Monthly Pay-out)</t>
  </si>
  <si>
    <t xml:space="preserve">2026/09/11  </t>
  </si>
  <si>
    <t>636A</t>
  </si>
  <si>
    <t>ＳＭＢＣ　Ｐｒｉｍｅ　日本短期債券ＥＴＦ（年１回決算型）　受益証券</t>
  </si>
  <si>
    <t>SMBC Prime Japan Short Term Bond ETF (Annual Pay-out)</t>
  </si>
  <si>
    <t>639A</t>
  </si>
  <si>
    <t>ＮＥＸＴ　ＦＵＮＤＳ　Ｓｏｌａｃｔｉｖｅグローバル・メモリ指数連動型上場投信　受益証券</t>
  </si>
  <si>
    <t>NEXT FUNDS Solactive Global Memory Index Exchange Traded Fund</t>
  </si>
  <si>
    <t xml:space="preserve">2026/09/30  </t>
  </si>
  <si>
    <t>643A</t>
  </si>
  <si>
    <t>データセンターインフラ　日本株（ネットリターン）ＥＴＮ　受益証券</t>
  </si>
  <si>
    <t>Data Center Infrastructure Japan Equity Net Return ETN</t>
  </si>
  <si>
    <t xml:space="preserve">2026/09/28  </t>
  </si>
  <si>
    <t>644A</t>
  </si>
  <si>
    <t>防衛フォーカス　日本株（ネットリターン）ＥＴＮ　受益証券</t>
  </si>
  <si>
    <t>Defense Focus Japan Equity Net Return ETN</t>
  </si>
  <si>
    <t>8951</t>
  </si>
  <si>
    <t>日本ビルファンド投資法人　投資証券</t>
  </si>
  <si>
    <t>Nippon Building Fund Inc.</t>
  </si>
  <si>
    <t>8952</t>
  </si>
  <si>
    <t>ジャパンリアルエステイト投資法人　投資証券</t>
  </si>
  <si>
    <t>Japan Real Estate Investment Corporation</t>
  </si>
  <si>
    <t>8953</t>
  </si>
  <si>
    <t>日本都市ファンド投資法人　投資証券</t>
  </si>
  <si>
    <t>Japan Metropolitan Fund Investment Corporation</t>
  </si>
  <si>
    <t>8954</t>
  </si>
  <si>
    <t>オリックス不動産投資法人　投資証券</t>
  </si>
  <si>
    <t>ORIX JREIT Inc.</t>
  </si>
  <si>
    <t>8955</t>
  </si>
  <si>
    <t>日本プライムリアルティ投資法人　投資証券</t>
  </si>
  <si>
    <t>Japan Prime Realty Investment Corporation</t>
  </si>
  <si>
    <t>8956</t>
  </si>
  <si>
    <t>ＮＴＴ都市開発リート投資法人　投資証券</t>
  </si>
  <si>
    <t>NTT UD REIT Investment Corporation</t>
  </si>
  <si>
    <t>8957</t>
  </si>
  <si>
    <t>東急リアル・エステート投資法人　投資証券</t>
  </si>
  <si>
    <t>TOKYU REIT, Inc.</t>
  </si>
  <si>
    <t>8958</t>
  </si>
  <si>
    <t>グローバル・ワン不動産投資法人　投資証券</t>
  </si>
  <si>
    <t>Global One Real Estate Investment Corporation</t>
  </si>
  <si>
    <t>8960</t>
  </si>
  <si>
    <t>ユナイテッド・アーバン投資法人　投資証券</t>
  </si>
  <si>
    <t>United Urban Investment Corporation</t>
  </si>
  <si>
    <t>8961</t>
  </si>
  <si>
    <t>森トラストリート投資法人　投資証券</t>
  </si>
  <si>
    <t>MORI TRUST REIT,Inc.</t>
  </si>
  <si>
    <t>8963</t>
  </si>
  <si>
    <t>インヴィンシブル投資法人　投資証券</t>
  </si>
  <si>
    <t>Invincible Investment Corporation</t>
  </si>
  <si>
    <t>8964</t>
  </si>
  <si>
    <t>三井不動産商業ファンド投資法人　投資証券</t>
  </si>
  <si>
    <t>Mitsui Fudosan Retail Fund Investment Corporation</t>
  </si>
  <si>
    <t>8966</t>
  </si>
  <si>
    <t>平和不動産リート投資法人　投資証券</t>
  </si>
  <si>
    <t>HEIWA REAL ESTATE REIT,Inc.</t>
  </si>
  <si>
    <t>8967</t>
  </si>
  <si>
    <t>日本ロジスティクスファンド投資法人　投資証券</t>
  </si>
  <si>
    <t>Japan Logistics Fund,Inc.</t>
  </si>
  <si>
    <t>8968</t>
  </si>
  <si>
    <t>福岡リート投資法人　投資証券</t>
  </si>
  <si>
    <t>Fukuoka REIT Corporation</t>
  </si>
  <si>
    <t>8972</t>
  </si>
  <si>
    <t>ＫＤＸ不動産投資法人　投資証券</t>
  </si>
  <si>
    <t>KDX Realty Investment Corporation</t>
  </si>
  <si>
    <t>8975</t>
  </si>
  <si>
    <t>いちごオフィスリート投資法人　投資証券</t>
  </si>
  <si>
    <t>Ichigo Office REIT Investment Corporation</t>
  </si>
  <si>
    <t>8976</t>
  </si>
  <si>
    <t>大和証券オフィス投資法人　投資証券</t>
  </si>
  <si>
    <t>Daiwa Office Investment Corporation</t>
  </si>
  <si>
    <t>8977</t>
  </si>
  <si>
    <t>阪急阪神リート投資法人　投資証券</t>
  </si>
  <si>
    <t>Hankyu Hanshin REIT,Inc.</t>
  </si>
  <si>
    <t>8979</t>
  </si>
  <si>
    <t>スターツプロシード投資法人　投資証券</t>
  </si>
  <si>
    <t>Starts Proceed Investment Corporation</t>
  </si>
  <si>
    <t>8984</t>
  </si>
  <si>
    <t>大和ハウスリート投資法人　投資証券</t>
  </si>
  <si>
    <t>Daiwa House REIT Investment Corporation</t>
  </si>
  <si>
    <t>8985</t>
  </si>
  <si>
    <t>ジャパン・ホテル・リート投資法人　投資証券</t>
  </si>
  <si>
    <t>Japan Hotel REIT Investment Corporation</t>
  </si>
  <si>
    <t>8986</t>
  </si>
  <si>
    <t>大和証券リビング投資法人　投資証券</t>
  </si>
  <si>
    <t>Daiwa Securities Living Investment Corporation</t>
  </si>
  <si>
    <t>8987</t>
  </si>
  <si>
    <t>ジャパンエクセレント投資法人　投資証券</t>
  </si>
  <si>
    <t>Japan Excellent,Inc.</t>
  </si>
  <si>
    <t>9282</t>
  </si>
  <si>
    <t>いちごグリーンインフラ投資法人　投資証券</t>
  </si>
  <si>
    <t>Ichigo Green Infrastructure Investment Corporation</t>
  </si>
  <si>
    <t>9284</t>
  </si>
  <si>
    <t>カナディアン・ソーラー・インフラ投資法人　投資証券</t>
  </si>
  <si>
    <t>Canadian Solar Infrastructure Fund,Inc.</t>
  </si>
  <si>
    <t>9285</t>
  </si>
  <si>
    <t>東京インフラ・エネルギー投資法人　投資証券</t>
  </si>
  <si>
    <t>Tokyo Infrastructure Energy Investment Corporation</t>
  </si>
  <si>
    <t>9286</t>
  </si>
  <si>
    <t>エネクス・インフラ投資法人　投資証券</t>
  </si>
  <si>
    <t>Enex Infrastructure Investment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</si>
</sst>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6" formatCode="&quot;¥&quot;#,##0;[Red]&quot;¥&quot;\-#,##0"/>
    <numFmt numFmtId="8" formatCode="&quot;¥&quot;#,##0.00;[Red]&quot;¥&quot;\-#,##0.00"/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0_);[Red]\(0\)"/>
    <numFmt numFmtId="178" formatCode="_-&quot;｣&quot;* #,##0_-;\-&quot;｣&quot;* #,##0_-;_-&quot;｣&quot;* &quot;-&quot;_-;_-@_-"/>
    <numFmt numFmtId="179" formatCode="_-&quot;｣&quot;* #,##0.00_-;\-&quot;｣&quot;* #,##0.00_-;_-&quot;｣&quot;* &quot;-&quot;??_-;_-@_-"/>
    <numFmt numFmtId="180" formatCode="&quot;$&quot;#,##0;[Red]\-&quot;$&quot;#,##0"/>
    <numFmt numFmtId="181" formatCode="&quot;$&quot;#,##0.00;[Red]\-&quot;$&quot;#,##0.00"/>
    <numFmt numFmtId="182" formatCode="0.00_)"/>
    <numFmt numFmtId="183" formatCode="0.00000"/>
    <numFmt numFmtId="184" formatCode="_(* #,##0_);_(* \(#,##0\);_(* &quot;-&quot;_);_(@_)"/>
    <numFmt numFmtId="185" formatCode="#,##0.0&quot;人月&quot;"/>
    <numFmt numFmtId="186" formatCode="_(&quot;$&quot;* #,##0.00_);_(&quot;$&quot;* \(#,##0.00\);_(&quot;$&quot;* &quot;-&quot;??_);_(@_)"/>
    <numFmt numFmtId="187" formatCode="_(&quot;$&quot;* #,##0_);_(&quot;$&quot;* \(#,##0\);_(&quot;$&quot;* &quot;-&quot;_);_(@_)"/>
    <numFmt numFmtId="188" formatCode="0_)"/>
    <numFmt numFmtId="189" formatCode="#0"/>
  </numFmts>
  <fonts count="9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40"/>
      <name val="ＭＳ ゴシック"/>
      <family val="3"/>
      <charset val="128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8"/>
      <name val="ＭＳ Ｐゴシック"/>
      <family val="3"/>
      <charset val="128"/>
    </font>
    <font>
      <sz val="10"/>
      <color indexed="9"/>
      <name val="Arial"/>
      <family val="2"/>
    </font>
    <font>
      <sz val="11"/>
      <color indexed="9"/>
      <name val="ＭＳ Ｐゴシック"/>
      <family val="3"/>
      <charset val="128"/>
    </font>
    <font>
      <sz val="8"/>
      <name val="Times New Roman"/>
      <family val="1"/>
    </font>
    <font>
      <sz val="10"/>
      <name val="中ゴシックＢＢＢ"/>
      <family val="3"/>
      <charset val="128"/>
    </font>
    <font>
      <sz val="10"/>
      <color indexed="20"/>
      <name val="Arial"/>
      <family val="2"/>
    </font>
    <font>
      <sz val="12"/>
      <name val="Tms Rm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Arial"/>
      <family val="2"/>
    </font>
    <font>
      <b/>
      <sz val="12"/>
      <color indexed="9"/>
      <name val="Tms Rmn"/>
      <family val="1"/>
    </font>
    <font>
      <b/>
      <sz val="12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Geneva"/>
      <family val="2"/>
    </font>
    <font>
      <sz val="10"/>
      <color indexed="60"/>
      <name val="Arial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b/>
      <sz val="10"/>
      <color indexed="63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9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中ゴシック体"/>
      <family val="3"/>
      <charset val="128"/>
    </font>
    <font>
      <sz val="11"/>
      <color indexed="6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・団"/>
      <family val="1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8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Meiryo UI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中ゴシック体"/>
      <family val="3"/>
      <charset val="128"/>
    </font>
    <font>
      <sz val="10"/>
      <name val="Courier"/>
      <family val="3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38">
    <xf numFmtId="0" fontId="0" fillId="0" borderId="0">
      <alignment vertical="center"/>
    </xf>
    <xf numFmtId="0" fontId="1" fillId="0" borderId="0">
      <alignment vertical="center"/>
    </xf>
    <xf numFmtId="0" fontId="8" fillId="0" borderId="0"/>
    <xf numFmtId="9" fontId="2" fillId="0" borderId="0" applyFont="0" applyFill="0" applyBorder="0" applyAlignment="0" applyProtection="0"/>
    <xf numFmtId="0" fontId="12" fillId="0" borderId="0"/>
    <xf numFmtId="0" fontId="8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7" fillId="0" borderId="0">
      <alignment horizontal="center" wrapText="1"/>
      <protection locked="0"/>
    </xf>
    <xf numFmtId="0" fontId="18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176" fontId="13" fillId="0" borderId="0" applyFill="0" applyBorder="0" applyAlignment="0"/>
    <xf numFmtId="177" fontId="7" fillId="0" borderId="0" applyFill="0" applyBorder="0" applyAlignment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1" fillId="20" borderId="27" applyNumberFormat="0" applyAlignment="0" applyProtection="0"/>
    <xf numFmtId="0" fontId="22" fillId="21" borderId="28" applyNumberFormat="0" applyAlignment="0" applyProtection="0"/>
    <xf numFmtId="0" fontId="23" fillId="0" borderId="0">
      <alignment vertical="top" wrapText="1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179" fontId="24" fillId="0" borderId="0" applyFont="0" applyFill="0" applyBorder="0" applyAlignment="0" applyProtection="0"/>
    <xf numFmtId="0" fontId="25" fillId="0" borderId="0">
      <alignment horizontal="left"/>
    </xf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38" fontId="28" fillId="22" borderId="0" applyNumberFormat="0" applyBorder="0" applyAlignment="0" applyProtection="0"/>
    <xf numFmtId="0" fontId="29" fillId="23" borderId="0"/>
    <xf numFmtId="0" fontId="30" fillId="0" borderId="29" applyNumberFormat="0" applyAlignment="0" applyProtection="0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0" fillId="0" borderId="26">
      <alignment horizontal="left" vertical="center"/>
    </xf>
    <xf numFmtId="0" fontId="31" fillId="0" borderId="30" applyNumberFormat="0" applyFill="0" applyAlignment="0" applyProtection="0"/>
    <xf numFmtId="0" fontId="32" fillId="0" borderId="31" applyNumberFormat="0" applyFill="0" applyAlignment="0" applyProtection="0"/>
    <xf numFmtId="0" fontId="33" fillId="0" borderId="32" applyNumberFormat="0" applyFill="0" applyAlignment="0" applyProtection="0"/>
    <xf numFmtId="0" fontId="33" fillId="0" borderId="0" applyNumberFormat="0" applyFill="0" applyBorder="0" applyAlignment="0" applyProtection="0"/>
    <xf numFmtId="0" fontId="7" fillId="0" borderId="0" applyBorder="0"/>
    <xf numFmtId="0" fontId="34" fillId="7" borderId="27" applyNumberFormat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10" fontId="28" fillId="24" borderId="21" applyNumberFormat="0" applyBorder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34" fillId="7" borderId="27" applyNumberFormat="0" applyAlignment="0" applyProtection="0"/>
    <xf numFmtId="0" fontId="7" fillId="0" borderId="0"/>
    <xf numFmtId="0" fontId="35" fillId="0" borderId="33" applyNumberFormat="0" applyFill="0" applyAlignment="0" applyProtection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181" fontId="36" fillId="0" borderId="0" applyFont="0" applyFill="0" applyBorder="0" applyAlignment="0" applyProtection="0"/>
    <xf numFmtId="0" fontId="37" fillId="25" borderId="0" applyNumberFormat="0" applyBorder="0" applyAlignment="0" applyProtection="0"/>
    <xf numFmtId="37" fontId="38" fillId="0" borderId="0"/>
    <xf numFmtId="182" fontId="39" fillId="0" borderId="0"/>
    <xf numFmtId="183" fontId="7" fillId="0" borderId="0"/>
    <xf numFmtId="183" fontId="7" fillId="0" borderId="0"/>
    <xf numFmtId="182" fontId="39" fillId="0" borderId="0"/>
    <xf numFmtId="0" fontId="24" fillId="0" borderId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24" fillId="26" borderId="34" applyNumberFormat="0" applyFon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0" fontId="40" fillId="20" borderId="35" applyNumberFormat="0" applyAlignment="0" applyProtection="0"/>
    <xf numFmtId="14" fontId="17" fillId="0" borderId="0">
      <alignment horizontal="center" wrapText="1"/>
      <protection locked="0"/>
    </xf>
    <xf numFmtId="10" fontId="24" fillId="0" borderId="0" applyFont="0" applyFill="0" applyBorder="0" applyAlignment="0" applyProtection="0"/>
    <xf numFmtId="4" fontId="25" fillId="0" borderId="0">
      <alignment horizontal="right"/>
    </xf>
    <xf numFmtId="0" fontId="41" fillId="0" borderId="0" applyNumberFormat="0" applyFont="0" applyFill="0" applyBorder="0" applyAlignment="0" applyProtection="0">
      <alignment horizontal="left"/>
    </xf>
    <xf numFmtId="0" fontId="42" fillId="0" borderId="36">
      <alignment horizontal="center"/>
    </xf>
    <xf numFmtId="0" fontId="43" fillId="0" borderId="0" applyNumberFormat="0" applyFont="0" applyFill="0" applyBorder="0" applyAlignment="0"/>
    <xf numFmtId="4" fontId="44" fillId="0" borderId="0">
      <alignment horizontal="right"/>
    </xf>
    <xf numFmtId="0" fontId="45" fillId="0" borderId="0">
      <alignment horizontal="left"/>
    </xf>
    <xf numFmtId="0" fontId="46" fillId="0" borderId="0"/>
    <xf numFmtId="0" fontId="47" fillId="0" borderId="0">
      <alignment horizontal="center"/>
    </xf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8" fillId="0" borderId="37" applyNumberFormat="0" applyFill="0" applyAlignment="0" applyProtection="0"/>
    <xf numFmtId="0" fontId="49" fillId="0" borderId="0" applyNumberFormat="0" applyFill="0" applyBorder="0" applyAlignment="0" applyProtection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2" fillId="21" borderId="28" applyNumberFormat="0" applyAlignment="0" applyProtection="0">
      <alignment vertical="center"/>
    </xf>
    <xf numFmtId="0" fontId="53" fillId="0" borderId="0"/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14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7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8" fillId="26" borderId="34" applyNumberFormat="0" applyFont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8" fillId="0" borderId="33" applyNumberFormat="0" applyFill="0" applyAlignment="0" applyProtection="0">
      <alignment vertical="center"/>
    </xf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1" fillId="20" borderId="27" applyNumberFormat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/>
    <xf numFmtId="38" fontId="6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64" fillId="0" borderId="0" applyFont="0" applyFill="0" applyBorder="0" applyAlignment="0" applyProtection="0">
      <alignment vertical="center"/>
    </xf>
    <xf numFmtId="38" fontId="65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65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184" fontId="24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6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66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7" fillId="0" borderId="30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8" fillId="0" borderId="31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32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0"/>
    <xf numFmtId="49" fontId="71" fillId="27" borderId="17" applyNumberFormat="0" applyFill="0" applyBorder="0" applyProtection="0"/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2" fillId="0" borderId="37" applyNumberFormat="0" applyFill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0" fontId="73" fillId="20" borderId="35" applyNumberFormat="0" applyAlignment="0" applyProtection="0">
      <alignment vertical="center"/>
    </xf>
    <xf numFmtId="185" fontId="59" fillId="0" borderId="0"/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186" fontId="24" fillId="0" borderId="0" applyFont="0" applyFill="0" applyBorder="0" applyAlignment="0" applyProtection="0"/>
    <xf numFmtId="187" fontId="24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8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66" fillId="0" borderId="0" applyFont="0" applyFill="0" applyBorder="0" applyAlignment="0" applyProtection="0">
      <alignment vertical="center"/>
    </xf>
    <xf numFmtId="6" fontId="75" fillId="0" borderId="0" applyFont="0" applyFill="0" applyBorder="0" applyAlignment="0" applyProtection="0">
      <alignment vertical="center"/>
    </xf>
    <xf numFmtId="6" fontId="66" fillId="0" borderId="0" applyFont="0" applyFill="0" applyBorder="0" applyAlignment="0" applyProtection="0">
      <alignment vertical="center"/>
    </xf>
    <xf numFmtId="6" fontId="66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/>
    <xf numFmtId="6" fontId="7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/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6" fillId="7" borderId="27" applyNumberFormat="0" applyAlignment="0" applyProtection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4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2" fillId="0" borderId="0"/>
    <xf numFmtId="0" fontId="64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6" fillId="0" borderId="0">
      <alignment vertical="center"/>
    </xf>
    <xf numFmtId="0" fontId="8" fillId="0" borderId="0"/>
    <xf numFmtId="0" fontId="79" fillId="0" borderId="0">
      <alignment vertical="center"/>
    </xf>
    <xf numFmtId="0" fontId="66" fillId="0" borderId="0">
      <alignment vertical="center"/>
    </xf>
    <xf numFmtId="0" fontId="8" fillId="0" borderId="0"/>
    <xf numFmtId="0" fontId="8" fillId="0" borderId="0"/>
    <xf numFmtId="0" fontId="8" fillId="0" borderId="0"/>
    <xf numFmtId="0" fontId="80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/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/>
    <xf numFmtId="0" fontId="66" fillId="0" borderId="0"/>
    <xf numFmtId="0" fontId="66" fillId="0" borderId="0">
      <alignment vertical="center"/>
    </xf>
    <xf numFmtId="0" fontId="81" fillId="0" borderId="0">
      <alignment vertical="center"/>
    </xf>
    <xf numFmtId="0" fontId="66" fillId="0" borderId="0"/>
    <xf numFmtId="0" fontId="81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  <xf numFmtId="0" fontId="82" fillId="0" borderId="0">
      <alignment vertical="center"/>
    </xf>
    <xf numFmtId="0" fontId="8" fillId="0" borderId="0"/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2" fillId="0" borderId="0"/>
    <xf numFmtId="0" fontId="66" fillId="0" borderId="0">
      <alignment vertical="center"/>
    </xf>
    <xf numFmtId="0" fontId="66" fillId="0" borderId="0">
      <alignment vertical="center"/>
    </xf>
    <xf numFmtId="0" fontId="2" fillId="0" borderId="0"/>
    <xf numFmtId="0" fontId="64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/>
    <xf numFmtId="0" fontId="66" fillId="0" borderId="0">
      <alignment vertical="center"/>
    </xf>
    <xf numFmtId="0" fontId="8" fillId="0" borderId="0"/>
    <xf numFmtId="0" fontId="7" fillId="0" borderId="0">
      <alignment vertical="center"/>
    </xf>
    <xf numFmtId="0" fontId="83" fillId="0" borderId="0"/>
    <xf numFmtId="0" fontId="66" fillId="0" borderId="0"/>
    <xf numFmtId="0" fontId="7" fillId="0" borderId="0">
      <alignment vertical="center"/>
    </xf>
    <xf numFmtId="0" fontId="66" fillId="0" borderId="0">
      <alignment vertical="center"/>
    </xf>
    <xf numFmtId="0" fontId="66" fillId="0" borderId="0"/>
    <xf numFmtId="0" fontId="8" fillId="0" borderId="0">
      <alignment vertical="center"/>
    </xf>
    <xf numFmtId="0" fontId="7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77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2" fillId="0" borderId="0"/>
    <xf numFmtId="0" fontId="79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7" fillId="0" borderId="0">
      <alignment vertical="center"/>
    </xf>
    <xf numFmtId="0" fontId="8" fillId="0" borderId="0"/>
    <xf numFmtId="0" fontId="8" fillId="0" borderId="0"/>
    <xf numFmtId="0" fontId="14" fillId="0" borderId="0">
      <alignment vertical="center"/>
    </xf>
    <xf numFmtId="0" fontId="8" fillId="0" borderId="0"/>
    <xf numFmtId="0" fontId="66" fillId="0" borderId="0">
      <alignment vertical="center"/>
    </xf>
    <xf numFmtId="0" fontId="8" fillId="0" borderId="0"/>
    <xf numFmtId="0" fontId="66" fillId="0" borderId="0"/>
    <xf numFmtId="0" fontId="66" fillId="0" borderId="0"/>
    <xf numFmtId="0" fontId="8" fillId="0" borderId="0"/>
    <xf numFmtId="0" fontId="8" fillId="0" borderId="0">
      <alignment vertical="center"/>
    </xf>
    <xf numFmtId="0" fontId="64" fillId="0" borderId="0">
      <alignment vertical="center"/>
    </xf>
    <xf numFmtId="0" fontId="83" fillId="0" borderId="0"/>
    <xf numFmtId="0" fontId="64" fillId="0" borderId="0">
      <alignment vertical="center"/>
    </xf>
    <xf numFmtId="0" fontId="8" fillId="0" borderId="0"/>
    <xf numFmtId="0" fontId="8" fillId="0" borderId="0">
      <alignment vertical="center"/>
    </xf>
    <xf numFmtId="0" fontId="83" fillId="0" borderId="0"/>
    <xf numFmtId="0" fontId="8" fillId="0" borderId="0"/>
    <xf numFmtId="0" fontId="8" fillId="0" borderId="0"/>
    <xf numFmtId="0" fontId="83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3" fillId="0" borderId="0"/>
    <xf numFmtId="0" fontId="83" fillId="0" borderId="0"/>
    <xf numFmtId="0" fontId="8" fillId="0" borderId="0"/>
    <xf numFmtId="0" fontId="83" fillId="0" borderId="0"/>
    <xf numFmtId="0" fontId="14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4" fillId="0" borderId="0">
      <alignment vertical="center"/>
    </xf>
    <xf numFmtId="0" fontId="8" fillId="0" borderId="0"/>
    <xf numFmtId="0" fontId="8" fillId="0" borderId="0"/>
    <xf numFmtId="0" fontId="66" fillId="0" borderId="0"/>
    <xf numFmtId="0" fontId="66" fillId="0" borderId="0"/>
    <xf numFmtId="0" fontId="8" fillId="0" borderId="0"/>
    <xf numFmtId="0" fontId="8" fillId="0" borderId="0"/>
    <xf numFmtId="0" fontId="7" fillId="0" borderId="0">
      <alignment vertical="center"/>
    </xf>
    <xf numFmtId="0" fontId="8" fillId="0" borderId="0"/>
    <xf numFmtId="0" fontId="8" fillId="0" borderId="0"/>
    <xf numFmtId="0" fontId="66" fillId="0" borderId="0">
      <alignment vertical="center"/>
    </xf>
    <xf numFmtId="0" fontId="8" fillId="0" borderId="0"/>
    <xf numFmtId="0" fontId="8" fillId="0" borderId="0"/>
    <xf numFmtId="0" fontId="66" fillId="0" borderId="0">
      <alignment vertical="center"/>
    </xf>
    <xf numFmtId="0" fontId="8" fillId="0" borderId="0"/>
    <xf numFmtId="0" fontId="8" fillId="0" borderId="0"/>
    <xf numFmtId="0" fontId="66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66" fillId="0" borderId="0">
      <alignment vertical="center"/>
    </xf>
    <xf numFmtId="0" fontId="66" fillId="0" borderId="0">
      <alignment vertical="center"/>
    </xf>
    <xf numFmtId="0" fontId="64" fillId="0" borderId="0"/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5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8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>
      <alignment vertical="center"/>
    </xf>
    <xf numFmtId="0" fontId="1" fillId="0" borderId="0">
      <alignment vertical="center"/>
    </xf>
    <xf numFmtId="0" fontId="8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7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8" fillId="0" borderId="0"/>
    <xf numFmtId="0" fontId="8" fillId="0" borderId="0"/>
    <xf numFmtId="0" fontId="6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6" fillId="0" borderId="0">
      <alignment vertical="center"/>
    </xf>
    <xf numFmtId="0" fontId="66" fillId="0" borderId="0">
      <alignment vertical="center"/>
    </xf>
    <xf numFmtId="0" fontId="8" fillId="0" borderId="0"/>
    <xf numFmtId="0" fontId="66" fillId="0" borderId="0">
      <alignment vertical="center"/>
    </xf>
    <xf numFmtId="0" fontId="8" fillId="0" borderId="0"/>
    <xf numFmtId="0" fontId="8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2" fillId="0" borderId="0">
      <alignment vertical="center"/>
    </xf>
    <xf numFmtId="0" fontId="8" fillId="0" borderId="0"/>
    <xf numFmtId="0" fontId="8" fillId="0" borderId="0">
      <alignment vertical="center"/>
    </xf>
    <xf numFmtId="0" fontId="8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87" fillId="0" borderId="0">
      <alignment vertical="center"/>
    </xf>
    <xf numFmtId="0" fontId="87" fillId="0" borderId="0">
      <alignment vertical="center"/>
    </xf>
    <xf numFmtId="0" fontId="8" fillId="0" borderId="0">
      <alignment vertical="center"/>
    </xf>
    <xf numFmtId="0" fontId="87" fillId="0" borderId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2" fillId="0" borderId="0"/>
    <xf numFmtId="0" fontId="87" fillId="0" borderId="0">
      <alignment vertical="center"/>
    </xf>
    <xf numFmtId="0" fontId="2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66" fillId="0" borderId="0">
      <alignment vertical="center"/>
    </xf>
    <xf numFmtId="0" fontId="88" fillId="0" borderId="0"/>
    <xf numFmtId="0" fontId="89" fillId="0" borderId="0"/>
    <xf numFmtId="0" fontId="53" fillId="0" borderId="0"/>
    <xf numFmtId="49" fontId="77" fillId="0" borderId="0" applyFill="0" applyBorder="0"/>
    <xf numFmtId="188" fontId="90" fillId="0" borderId="0"/>
    <xf numFmtId="0" fontId="91" fillId="0" borderId="0"/>
    <xf numFmtId="0" fontId="92" fillId="0" borderId="0"/>
    <xf numFmtId="0" fontId="91" fillId="0" borderId="0"/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93" fillId="4" borderId="0" applyNumberFormat="0" applyBorder="0" applyAlignment="0" applyProtection="0">
      <alignment vertical="center"/>
    </xf>
    <xf numFmtId="0" fontId="8" fillId="0" borderId="0"/>
  </cellStyleXfs>
  <cellXfs count="47">
    <xf numFmtId="0" fontId="0" fillId="0" borderId="0" xfId="0">
      <alignment vertical="center"/>
    </xf>
    <xf numFmtId="0" fontId="4" fillId="0" borderId="0" xfId="1" applyFont="1">
      <alignment vertical="center"/>
    </xf>
    <xf numFmtId="0" fontId="9" fillId="0" borderId="0" xfId="1" applyFont="1">
      <alignment vertical="center"/>
    </xf>
    <xf numFmtId="0" fontId="4" fillId="0" borderId="0" xfId="1" applyNumberFormat="1" applyFont="1">
      <alignment vertical="center"/>
    </xf>
    <xf numFmtId="0" fontId="2" fillId="0" borderId="1" xfId="1" applyFont="1" applyFill="1" applyBorder="1">
      <alignment vertical="center"/>
    </xf>
    <xf numFmtId="0" fontId="2" fillId="0" borderId="2" xfId="1" applyFont="1" applyFill="1" applyBorder="1">
      <alignment vertical="center"/>
    </xf>
    <xf numFmtId="0" fontId="2" fillId="0" borderId="2" xfId="1" applyNumberFormat="1" applyFont="1" applyFill="1" applyBorder="1">
      <alignment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10" xfId="1" applyNumberFormat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49" fontId="7" fillId="0" borderId="9" xfId="2" applyNumberFormat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49" fontId="2" fillId="0" borderId="15" xfId="2" applyNumberFormat="1" applyFont="1" applyFill="1" applyBorder="1" applyAlignment="1">
      <alignment horizontal="center" vertical="center"/>
    </xf>
    <xf numFmtId="49" fontId="7" fillId="0" borderId="13" xfId="2" applyNumberFormat="1" applyFont="1" applyFill="1" applyBorder="1" applyAlignment="1">
      <alignment horizontal="center" vertical="center"/>
    </xf>
    <xf numFmtId="49" fontId="2" fillId="0" borderId="16" xfId="2" applyNumberFormat="1" applyFont="1" applyFill="1" applyBorder="1" applyAlignment="1">
      <alignment horizontal="center" vertical="center"/>
    </xf>
    <xf numFmtId="49" fontId="2" fillId="0" borderId="13" xfId="2" applyNumberFormat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right" vertical="center"/>
    </xf>
    <xf numFmtId="0" fontId="2" fillId="0" borderId="6" xfId="1" applyNumberFormat="1" applyFont="1" applyFill="1" applyBorder="1" applyAlignment="1">
      <alignment horizontal="right" vertical="center"/>
    </xf>
    <xf numFmtId="0" fontId="2" fillId="0" borderId="18" xfId="1" applyNumberFormat="1" applyFont="1" applyFill="1" applyBorder="1" applyAlignment="1">
      <alignment horizontal="right" vertical="center"/>
    </xf>
    <xf numFmtId="0" fontId="2" fillId="0" borderId="19" xfId="1" applyNumberFormat="1" applyFont="1" applyFill="1" applyBorder="1" applyAlignment="1">
      <alignment horizontal="right" vertical="center"/>
    </xf>
    <xf numFmtId="49" fontId="11" fillId="0" borderId="17" xfId="2" applyNumberFormat="1" applyFont="1" applyFill="1" applyBorder="1" applyAlignment="1">
      <alignment horizontal="right"/>
    </xf>
    <xf numFmtId="49" fontId="11" fillId="0" borderId="20" xfId="2" applyNumberFormat="1" applyFont="1" applyFill="1" applyBorder="1" applyAlignment="1">
      <alignment horizontal="right"/>
    </xf>
    <xf numFmtId="49" fontId="11" fillId="0" borderId="19" xfId="2" applyNumberFormat="1" applyFont="1" applyFill="1" applyBorder="1" applyAlignment="1">
      <alignment horizontal="right"/>
    </xf>
    <xf numFmtId="49" fontId="7" fillId="0" borderId="21" xfId="1" applyNumberFormat="1" applyFont="1" applyFill="1" applyBorder="1" applyAlignment="1">
      <alignment horizontal="left" vertical="center"/>
    </xf>
    <xf numFmtId="49" fontId="7" fillId="0" borderId="22" xfId="1" applyNumberFormat="1" applyFont="1" applyFill="1" applyBorder="1" applyAlignment="1">
      <alignment horizontal="left" vertical="center"/>
    </xf>
    <xf numFmtId="49" fontId="7" fillId="0" borderId="23" xfId="1" applyNumberFormat="1" applyFont="1" applyFill="1" applyBorder="1" applyAlignment="1">
      <alignment horizontal="left" vertical="center"/>
    </xf>
    <xf numFmtId="49" fontId="7" fillId="0" borderId="24" xfId="1" applyNumberFormat="1" applyFont="1" applyFill="1" applyBorder="1" applyAlignment="1">
      <alignment horizontal="left" vertical="center"/>
    </xf>
    <xf numFmtId="49" fontId="7" fillId="0" borderId="21" xfId="2" applyNumberFormat="1" applyFont="1" applyFill="1" applyBorder="1" applyAlignment="1">
      <alignment horizontal="left"/>
    </xf>
    <xf numFmtId="3" fontId="7" fillId="0" borderId="21" xfId="2" applyNumberFormat="1" applyFont="1" applyFill="1" applyBorder="1" applyAlignment="1">
      <alignment horizontal="right"/>
    </xf>
    <xf numFmtId="4" fontId="7" fillId="0" borderId="25" xfId="2" applyNumberFormat="1" applyFont="1" applyFill="1" applyBorder="1" applyAlignment="1">
      <alignment horizontal="right"/>
    </xf>
    <xf numFmtId="49" fontId="7" fillId="0" borderId="24" xfId="2" applyNumberFormat="1" applyFont="1" applyFill="1" applyBorder="1" applyAlignment="1">
      <alignment horizontal="right"/>
    </xf>
    <xf numFmtId="4" fontId="7" fillId="0" borderId="21" xfId="2" applyNumberFormat="1" applyFont="1" applyFill="1" applyBorder="1" applyAlignment="1">
      <alignment horizontal="right"/>
    </xf>
    <xf numFmtId="189" fontId="7" fillId="0" borderId="21" xfId="2" applyNumberFormat="1" applyFont="1" applyFill="1" applyBorder="1" applyAlignment="1">
      <alignment horizontal="right"/>
    </xf>
    <xf numFmtId="0" fontId="2" fillId="0" borderId="2" xfId="1" applyFont="1" applyFill="1" applyBorder="1" applyAlignment="1">
      <alignment horizontal="left" vertical="top" wrapText="1"/>
    </xf>
    <xf numFmtId="0" fontId="2" fillId="0" borderId="3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2" fillId="0" borderId="7" xfId="1" applyFont="1" applyFill="1" applyBorder="1" applyAlignment="1">
      <alignment horizontal="left" vertical="top" wrapText="1"/>
    </xf>
    <xf numFmtId="0" fontId="2" fillId="0" borderId="8" xfId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</cellXfs>
  <cellStyles count="1938">
    <cellStyle name="_x000c_ーセン_x000c_" xfId="3"/>
    <cellStyle name="_x000d__x000a_JournalTemplate=C:\COMFO\CTALK\JOURSTD.TPL_x000d__x000a_LbStateAddress=3 3 0 251 1 89 2 311_x000d__x000a_LbStateJou" xfId="4"/>
    <cellStyle name="0,0_x000d__x000a_NA_x000d__x000a_" xf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20% - アクセント 1 2" xfId="12"/>
    <cellStyle name="20% - アクセント 1 3" xfId="13"/>
    <cellStyle name="20% - アクセント 1 4" xfId="14"/>
    <cellStyle name="20% - アクセント 1 5" xfId="15"/>
    <cellStyle name="20% - アクセント 1 6" xfId="16"/>
    <cellStyle name="20% - アクセント 1 7" xfId="17"/>
    <cellStyle name="20% - アクセント 1 8" xfId="18"/>
    <cellStyle name="20% - アクセント 1 9" xfId="19"/>
    <cellStyle name="20% - アクセント 2 2" xfId="20"/>
    <cellStyle name="20% - アクセント 2 3" xfId="21"/>
    <cellStyle name="20% - アクセント 2 4" xfId="22"/>
    <cellStyle name="20% - アクセント 2 5" xfId="23"/>
    <cellStyle name="20% - アクセント 2 6" xfId="24"/>
    <cellStyle name="20% - アクセント 2 7" xfId="25"/>
    <cellStyle name="20% - アクセント 2 8" xfId="26"/>
    <cellStyle name="20% - アクセント 2 9" xfId="27"/>
    <cellStyle name="20% - アクセント 3 2" xfId="28"/>
    <cellStyle name="20% - アクセント 3 3" xfId="29"/>
    <cellStyle name="20% - アクセント 3 4" xfId="30"/>
    <cellStyle name="20% - アクセント 3 5" xfId="31"/>
    <cellStyle name="20% - アクセント 3 6" xfId="32"/>
    <cellStyle name="20% - アクセント 3 7" xfId="33"/>
    <cellStyle name="20% - アクセント 3 8" xfId="34"/>
    <cellStyle name="20% - アクセント 3 9" xfId="35"/>
    <cellStyle name="20% - アクセント 4 2" xfId="36"/>
    <cellStyle name="20% - アクセント 4 3" xfId="37"/>
    <cellStyle name="20% - アクセント 4 4" xfId="38"/>
    <cellStyle name="20% - アクセント 4 5" xfId="39"/>
    <cellStyle name="20% - アクセント 4 6" xfId="40"/>
    <cellStyle name="20% - アクセント 4 7" xfId="41"/>
    <cellStyle name="20% - アクセント 4 8" xfId="42"/>
    <cellStyle name="20% - アクセント 4 9" xfId="43"/>
    <cellStyle name="20% - アクセント 5 2" xfId="44"/>
    <cellStyle name="20% - アクセント 5 3" xfId="45"/>
    <cellStyle name="20% - アクセント 5 4" xfId="46"/>
    <cellStyle name="20% - アクセント 5 5" xfId="47"/>
    <cellStyle name="20% - アクセント 5 6" xfId="48"/>
    <cellStyle name="20% - アクセント 5 7" xfId="49"/>
    <cellStyle name="20% - アクセント 5 8" xfId="50"/>
    <cellStyle name="20% - アクセント 5 9" xfId="51"/>
    <cellStyle name="20% - アクセント 6 2" xfId="52"/>
    <cellStyle name="20% - アクセント 6 3" xfId="53"/>
    <cellStyle name="20% - アクセント 6 4" xfId="54"/>
    <cellStyle name="20% - アクセント 6 5" xfId="55"/>
    <cellStyle name="20% - アクセント 6 6" xfId="56"/>
    <cellStyle name="20% - アクセント 6 7" xfId="57"/>
    <cellStyle name="20% - アクセント 6 8" xfId="58"/>
    <cellStyle name="20% - アクセント 6 9" xfId="59"/>
    <cellStyle name="40% - Accent1" xfId="60"/>
    <cellStyle name="40% - Accent2" xfId="61"/>
    <cellStyle name="40% - Accent3" xfId="62"/>
    <cellStyle name="40% - Accent4" xfId="63"/>
    <cellStyle name="40% - Accent5" xfId="64"/>
    <cellStyle name="40% - Accent6" xfId="65"/>
    <cellStyle name="40% - アクセント 1 2" xfId="66"/>
    <cellStyle name="40% - アクセント 1 3" xfId="67"/>
    <cellStyle name="40% - アクセント 1 4" xfId="68"/>
    <cellStyle name="40% - アクセント 1 5" xfId="69"/>
    <cellStyle name="40% - アクセント 1 6" xfId="70"/>
    <cellStyle name="40% - アクセント 1 7" xfId="71"/>
    <cellStyle name="40% - アクセント 1 8" xfId="72"/>
    <cellStyle name="40% - アクセント 1 9" xfId="73"/>
    <cellStyle name="40% - アクセント 2 2" xfId="74"/>
    <cellStyle name="40% - アクセント 2 3" xfId="75"/>
    <cellStyle name="40% - アクセント 2 4" xfId="76"/>
    <cellStyle name="40% - アクセント 2 5" xfId="77"/>
    <cellStyle name="40% - アクセント 2 6" xfId="78"/>
    <cellStyle name="40% - アクセント 2 7" xfId="79"/>
    <cellStyle name="40% - アクセント 2 8" xfId="80"/>
    <cellStyle name="40% - アクセント 2 9" xfId="81"/>
    <cellStyle name="40% - アクセント 3 2" xfId="82"/>
    <cellStyle name="40% - アクセント 3 3" xfId="83"/>
    <cellStyle name="40% - アクセント 3 4" xfId="84"/>
    <cellStyle name="40% - アクセント 3 5" xfId="85"/>
    <cellStyle name="40% - アクセント 3 6" xfId="86"/>
    <cellStyle name="40% - アクセント 3 7" xfId="87"/>
    <cellStyle name="40% - アクセント 3 8" xfId="88"/>
    <cellStyle name="40% - アクセント 3 9" xfId="89"/>
    <cellStyle name="40% - アクセント 4 2" xfId="90"/>
    <cellStyle name="40% - アクセント 4 3" xfId="91"/>
    <cellStyle name="40% - アクセント 4 4" xfId="92"/>
    <cellStyle name="40% - アクセント 4 5" xfId="93"/>
    <cellStyle name="40% - アクセント 4 6" xfId="94"/>
    <cellStyle name="40% - アクセント 4 7" xfId="95"/>
    <cellStyle name="40% - アクセント 4 8" xfId="96"/>
    <cellStyle name="40% - アクセント 4 9" xfId="97"/>
    <cellStyle name="40% - アクセント 5 2" xfId="98"/>
    <cellStyle name="40% - アクセント 5 3" xfId="99"/>
    <cellStyle name="40% - アクセント 5 4" xfId="100"/>
    <cellStyle name="40% - アクセント 5 5" xfId="101"/>
    <cellStyle name="40% - アクセント 5 6" xfId="102"/>
    <cellStyle name="40% - アクセント 5 7" xfId="103"/>
    <cellStyle name="40% - アクセント 5 8" xfId="104"/>
    <cellStyle name="40% - アクセント 5 9" xfId="105"/>
    <cellStyle name="40% - アクセント 6 2" xfId="106"/>
    <cellStyle name="40% - アクセント 6 3" xfId="107"/>
    <cellStyle name="40% - アクセント 6 4" xfId="108"/>
    <cellStyle name="40% - アクセント 6 5" xfId="109"/>
    <cellStyle name="40% - アクセント 6 6" xfId="110"/>
    <cellStyle name="40% - アクセント 6 7" xfId="111"/>
    <cellStyle name="40% - アクセント 6 8" xfId="112"/>
    <cellStyle name="40% - アクセント 6 9" xfId="113"/>
    <cellStyle name="60% - Accent1" xfId="114"/>
    <cellStyle name="60% - Accent2" xfId="115"/>
    <cellStyle name="60% - Accent3" xfId="116"/>
    <cellStyle name="60% - Accent4" xfId="117"/>
    <cellStyle name="60% - Accent5" xfId="118"/>
    <cellStyle name="60% - Accent6" xfId="119"/>
    <cellStyle name="60% - アクセント 1 2" xfId="120"/>
    <cellStyle name="60% - アクセント 1 3" xfId="121"/>
    <cellStyle name="60% - アクセント 1 4" xfId="122"/>
    <cellStyle name="60% - アクセント 1 5" xfId="123"/>
    <cellStyle name="60% - アクセント 1 6" xfId="124"/>
    <cellStyle name="60% - アクセント 1 7" xfId="125"/>
    <cellStyle name="60% - アクセント 1 8" xfId="126"/>
    <cellStyle name="60% - アクセント 1 9" xfId="127"/>
    <cellStyle name="60% - アクセント 2 2" xfId="128"/>
    <cellStyle name="60% - アクセント 2 3" xfId="129"/>
    <cellStyle name="60% - アクセント 2 4" xfId="130"/>
    <cellStyle name="60% - アクセント 2 5" xfId="131"/>
    <cellStyle name="60% - アクセント 2 6" xfId="132"/>
    <cellStyle name="60% - アクセント 2 7" xfId="133"/>
    <cellStyle name="60% - アクセント 2 8" xfId="134"/>
    <cellStyle name="60% - アクセント 2 9" xfId="135"/>
    <cellStyle name="60% - アクセント 3 2" xfId="136"/>
    <cellStyle name="60% - アクセント 3 3" xfId="137"/>
    <cellStyle name="60% - アクセント 3 4" xfId="138"/>
    <cellStyle name="60% - アクセント 3 5" xfId="139"/>
    <cellStyle name="60% - アクセント 3 6" xfId="140"/>
    <cellStyle name="60% - アクセント 3 7" xfId="141"/>
    <cellStyle name="60% - アクセント 3 8" xfId="142"/>
    <cellStyle name="60% - アクセント 3 9" xfId="143"/>
    <cellStyle name="60% - アクセント 4 2" xfId="144"/>
    <cellStyle name="60% - アクセント 4 3" xfId="145"/>
    <cellStyle name="60% - アクセント 4 4" xfId="146"/>
    <cellStyle name="60% - アクセント 4 5" xfId="147"/>
    <cellStyle name="60% - アクセント 4 6" xfId="148"/>
    <cellStyle name="60% - アクセント 4 7" xfId="149"/>
    <cellStyle name="60% - アクセント 4 8" xfId="150"/>
    <cellStyle name="60% - アクセント 4 9" xfId="151"/>
    <cellStyle name="60% - アクセント 5 2" xfId="152"/>
    <cellStyle name="60% - アクセント 5 3" xfId="153"/>
    <cellStyle name="60% - アクセント 5 4" xfId="154"/>
    <cellStyle name="60% - アクセント 5 5" xfId="155"/>
    <cellStyle name="60% - アクセント 5 6" xfId="156"/>
    <cellStyle name="60% - アクセント 5 7" xfId="157"/>
    <cellStyle name="60% - アクセント 5 8" xfId="158"/>
    <cellStyle name="60% - アクセント 5 9" xfId="159"/>
    <cellStyle name="60% - アクセント 6 2" xfId="160"/>
    <cellStyle name="60% - アクセント 6 3" xfId="161"/>
    <cellStyle name="60% - アクセント 6 4" xfId="162"/>
    <cellStyle name="60% - アクセント 6 5" xfId="163"/>
    <cellStyle name="60% - アクセント 6 6" xfId="164"/>
    <cellStyle name="60% - アクセント 6 7" xfId="165"/>
    <cellStyle name="60% - アクセント 6 8" xfId="166"/>
    <cellStyle name="60% - アクセント 6 9" xfId="167"/>
    <cellStyle name="Accent1" xfId="168"/>
    <cellStyle name="Accent2" xfId="169"/>
    <cellStyle name="Accent3" xfId="170"/>
    <cellStyle name="Accent4" xfId="171"/>
    <cellStyle name="Accent5" xfId="172"/>
    <cellStyle name="Accent6" xfId="173"/>
    <cellStyle name="args.style" xfId="174"/>
    <cellStyle name="B10" xfId="175"/>
    <cellStyle name="Bad" xfId="176"/>
    <cellStyle name="Body" xfId="177"/>
    <cellStyle name="Calc Currency (0)" xfId="178"/>
    <cellStyle name="Calc Currency (0) 2" xfId="179"/>
    <cellStyle name="Calculation" xfId="180"/>
    <cellStyle name="Calculation 2" xfId="181"/>
    <cellStyle name="Calculation 2 2" xfId="182"/>
    <cellStyle name="Calculation 2 2 2" xfId="183"/>
    <cellStyle name="Calculation 2 3" xfId="184"/>
    <cellStyle name="Calculation 2 3 2" xfId="185"/>
    <cellStyle name="Calculation 2 4" xfId="186"/>
    <cellStyle name="Calculation 2 4 2" xfId="187"/>
    <cellStyle name="Calculation 2 5" xfId="188"/>
    <cellStyle name="Calculation 2 5 2" xfId="189"/>
    <cellStyle name="Calculation 2 6" xfId="190"/>
    <cellStyle name="Calculation 2 6 2" xfId="191"/>
    <cellStyle name="Calculation 2 7" xfId="192"/>
    <cellStyle name="Calculation 3" xfId="193"/>
    <cellStyle name="Calculation 3 2" xfId="194"/>
    <cellStyle name="Calculation 4" xfId="195"/>
    <cellStyle name="Check Cell" xfId="196"/>
    <cellStyle name="Column Heading" xfId="197"/>
    <cellStyle name="Comma [0]_laroux" xfId="198"/>
    <cellStyle name="Comma_laroux" xfId="199"/>
    <cellStyle name="Currency [0]_laroux" xfId="200"/>
    <cellStyle name="Currency_laroux" xfId="201"/>
    <cellStyle name="entry" xfId="202"/>
    <cellStyle name="Explanatory Text" xfId="203"/>
    <cellStyle name="Good" xfId="204"/>
    <cellStyle name="Grey" xfId="205"/>
    <cellStyle name="Head 1" xfId="206"/>
    <cellStyle name="Header1" xfId="207"/>
    <cellStyle name="Header2" xfId="208"/>
    <cellStyle name="Header2 2" xfId="209"/>
    <cellStyle name="Header2 2 2" xfId="210"/>
    <cellStyle name="Header2 2 2 2" xfId="211"/>
    <cellStyle name="Header2 2 2 3" xfId="212"/>
    <cellStyle name="Header2 2 2 4" xfId="213"/>
    <cellStyle name="Header2 2 2 5" xfId="214"/>
    <cellStyle name="Header2 2 2 6" xfId="215"/>
    <cellStyle name="Header2 2 2 7" xfId="216"/>
    <cellStyle name="Header2 2 2 7 2" xfId="217"/>
    <cellStyle name="Header2 2 3" xfId="218"/>
    <cellStyle name="Header2 2 3 2" xfId="219"/>
    <cellStyle name="Header2 2 3 3" xfId="220"/>
    <cellStyle name="Header2 3" xfId="221"/>
    <cellStyle name="Header2 3 2" xfId="222"/>
    <cellStyle name="Header2 3 2 2" xfId="223"/>
    <cellStyle name="Header2 3 2 3" xfId="224"/>
    <cellStyle name="Header2 3 2 4" xfId="225"/>
    <cellStyle name="Header2 3 2 5" xfId="226"/>
    <cellStyle name="Header2 3 2 6" xfId="227"/>
    <cellStyle name="Header2 3 2 7" xfId="228"/>
    <cellStyle name="Header2 3 2 7 2" xfId="229"/>
    <cellStyle name="Header2 3 3" xfId="230"/>
    <cellStyle name="Header2 3 4" xfId="231"/>
    <cellStyle name="Header2 3 5" xfId="232"/>
    <cellStyle name="Header2 3 6" xfId="233"/>
    <cellStyle name="Header2 3 7" xfId="234"/>
    <cellStyle name="Header2 3 8" xfId="235"/>
    <cellStyle name="Header2 3 9" xfId="236"/>
    <cellStyle name="Header2 3 9 2" xfId="237"/>
    <cellStyle name="Header2 3 9 3" xfId="238"/>
    <cellStyle name="Header2 4" xfId="239"/>
    <cellStyle name="Header2 4 2" xfId="240"/>
    <cellStyle name="Header2 4 3" xfId="241"/>
    <cellStyle name="Header2 4 4" xfId="242"/>
    <cellStyle name="Header2 4 5" xfId="243"/>
    <cellStyle name="Header2 4 6" xfId="244"/>
    <cellStyle name="Header2 4 7" xfId="245"/>
    <cellStyle name="Header2 4 7 2" xfId="246"/>
    <cellStyle name="Header2 5" xfId="247"/>
    <cellStyle name="Header2 6" xfId="248"/>
    <cellStyle name="Header2 7" xfId="249"/>
    <cellStyle name="Header2 7 2" xfId="250"/>
    <cellStyle name="Header2 7 3" xfId="251"/>
    <cellStyle name="Heading 1" xfId="252"/>
    <cellStyle name="Heading 2" xfId="253"/>
    <cellStyle name="Heading 3" xfId="254"/>
    <cellStyle name="Heading 4" xfId="255"/>
    <cellStyle name="IBM(401K)" xfId="256"/>
    <cellStyle name="Input" xfId="257"/>
    <cellStyle name="Input [yellow]" xfId="258"/>
    <cellStyle name="Input [yellow] 2" xfId="259"/>
    <cellStyle name="Input [yellow] 2 2" xfId="260"/>
    <cellStyle name="Input [yellow] 2 2 2" xfId="261"/>
    <cellStyle name="Input [yellow] 2 2 3" xfId="262"/>
    <cellStyle name="Input [yellow] 2 2 4" xfId="263"/>
    <cellStyle name="Input [yellow] 2 2 5" xfId="264"/>
    <cellStyle name="Input [yellow] 2 2 6" xfId="265"/>
    <cellStyle name="Input [yellow] 2 2 7" xfId="266"/>
    <cellStyle name="Input [yellow] 2 2 8" xfId="267"/>
    <cellStyle name="Input [yellow] 2 2 9" xfId="268"/>
    <cellStyle name="Input [yellow] 2 3" xfId="269"/>
    <cellStyle name="Input [yellow] 2 3 2" xfId="270"/>
    <cellStyle name="Input [yellow] 2 3 3" xfId="271"/>
    <cellStyle name="Input [yellow] 3" xfId="272"/>
    <cellStyle name="Input [yellow] 3 2" xfId="273"/>
    <cellStyle name="Input [yellow] 3 2 2" xfId="274"/>
    <cellStyle name="Input [yellow] 3 2 3" xfId="275"/>
    <cellStyle name="Input [yellow] 3 2 4" xfId="276"/>
    <cellStyle name="Input [yellow] 3 2 5" xfId="277"/>
    <cellStyle name="Input [yellow] 3 2 6" xfId="278"/>
    <cellStyle name="Input [yellow] 3 2 7" xfId="279"/>
    <cellStyle name="Input [yellow] 3 2 8" xfId="280"/>
    <cellStyle name="Input [yellow] 3 2 9" xfId="281"/>
    <cellStyle name="Input [yellow] 3 3" xfId="282"/>
    <cellStyle name="Input [yellow] 3 4" xfId="283"/>
    <cellStyle name="Input [yellow] 3 5" xfId="284"/>
    <cellStyle name="Input [yellow] 3 6" xfId="285"/>
    <cellStyle name="Input [yellow] 3 7" xfId="286"/>
    <cellStyle name="Input [yellow] 3 8" xfId="287"/>
    <cellStyle name="Input [yellow] 3 9" xfId="288"/>
    <cellStyle name="Input [yellow] 3 9 2" xfId="289"/>
    <cellStyle name="Input [yellow] 3 9 3" xfId="290"/>
    <cellStyle name="Input [yellow] 4" xfId="291"/>
    <cellStyle name="Input [yellow] 4 2" xfId="292"/>
    <cellStyle name="Input [yellow] 4 3" xfId="293"/>
    <cellStyle name="Input [yellow] 4 4" xfId="294"/>
    <cellStyle name="Input [yellow] 4 5" xfId="295"/>
    <cellStyle name="Input [yellow] 4 6" xfId="296"/>
    <cellStyle name="Input [yellow] 4 7" xfId="297"/>
    <cellStyle name="Input [yellow] 4 8" xfId="298"/>
    <cellStyle name="Input [yellow] 4 8 2" xfId="299"/>
    <cellStyle name="Input [yellow] 4 8 3" xfId="300"/>
    <cellStyle name="Input [yellow] 5" xfId="301"/>
    <cellStyle name="Input [yellow] 6" xfId="302"/>
    <cellStyle name="Input [yellow] 7" xfId="303"/>
    <cellStyle name="Input [yellow] 7 2" xfId="304"/>
    <cellStyle name="Input [yellow] 7 3" xfId="305"/>
    <cellStyle name="Input 10" xfId="306"/>
    <cellStyle name="Input 10 2" xfId="307"/>
    <cellStyle name="Input 11" xfId="308"/>
    <cellStyle name="Input 11 2" xfId="309"/>
    <cellStyle name="Input 12" xfId="310"/>
    <cellStyle name="Input 12 2" xfId="311"/>
    <cellStyle name="Input 13" xfId="312"/>
    <cellStyle name="Input 13 2" xfId="313"/>
    <cellStyle name="Input 14" xfId="314"/>
    <cellStyle name="Input 14 2" xfId="315"/>
    <cellStyle name="Input 15" xfId="316"/>
    <cellStyle name="Input 15 2" xfId="317"/>
    <cellStyle name="Input 16" xfId="318"/>
    <cellStyle name="Input 16 2" xfId="319"/>
    <cellStyle name="Input 17" xfId="320"/>
    <cellStyle name="Input 17 2" xfId="321"/>
    <cellStyle name="Input 18" xfId="322"/>
    <cellStyle name="Input 19" xfId="323"/>
    <cellStyle name="Input 2" xfId="324"/>
    <cellStyle name="Input 2 2" xfId="325"/>
    <cellStyle name="Input 2 2 2" xfId="326"/>
    <cellStyle name="Input 2 3" xfId="327"/>
    <cellStyle name="Input 2 3 2" xfId="328"/>
    <cellStyle name="Input 2 4" xfId="329"/>
    <cellStyle name="Input 2 4 2" xfId="330"/>
    <cellStyle name="Input 2 5" xfId="331"/>
    <cellStyle name="Input 2 5 2" xfId="332"/>
    <cellStyle name="Input 2 6" xfId="333"/>
    <cellStyle name="Input 2 6 2" xfId="334"/>
    <cellStyle name="Input 2 7" xfId="335"/>
    <cellStyle name="Input 20" xfId="336"/>
    <cellStyle name="Input 21" xfId="337"/>
    <cellStyle name="Input 22" xfId="338"/>
    <cellStyle name="Input 23" xfId="339"/>
    <cellStyle name="Input 24" xfId="340"/>
    <cellStyle name="Input 25" xfId="341"/>
    <cellStyle name="Input 26" xfId="342"/>
    <cellStyle name="Input 3" xfId="343"/>
    <cellStyle name="Input 3 2" xfId="344"/>
    <cellStyle name="Input 4" xfId="345"/>
    <cellStyle name="Input 4 2" xfId="346"/>
    <cellStyle name="Input 5" xfId="347"/>
    <cellStyle name="Input 5 2" xfId="348"/>
    <cellStyle name="Input 6" xfId="349"/>
    <cellStyle name="Input 6 2" xfId="350"/>
    <cellStyle name="Input 7" xfId="351"/>
    <cellStyle name="Input 7 2" xfId="352"/>
    <cellStyle name="Input 8" xfId="353"/>
    <cellStyle name="Input 8 2" xfId="354"/>
    <cellStyle name="Input 9" xfId="355"/>
    <cellStyle name="Input 9 2" xfId="356"/>
    <cellStyle name="J401K" xfId="357"/>
    <cellStyle name="Linked Cell" xfId="358"/>
    <cellStyle name="Millares [0]_Compra" xfId="359"/>
    <cellStyle name="Millares_Compra" xfId="360"/>
    <cellStyle name="Moneda [0]_Compra" xfId="361"/>
    <cellStyle name="Moneda_Compra" xfId="362"/>
    <cellStyle name="Neutral" xfId="363"/>
    <cellStyle name="no dec" xfId="364"/>
    <cellStyle name="Normal - Style1" xfId="365"/>
    <cellStyle name="Normal - Style1 2" xfId="366"/>
    <cellStyle name="Normal - Style1 2 2" xfId="367"/>
    <cellStyle name="Normal - Style1 2 3" xfId="368"/>
    <cellStyle name="Normal_#18-Internet" xfId="369"/>
    <cellStyle name="Note" xfId="370"/>
    <cellStyle name="Note 2" xfId="371"/>
    <cellStyle name="Note 2 2" xfId="372"/>
    <cellStyle name="Note 2 2 2" xfId="373"/>
    <cellStyle name="Note 2 2 2 2" xfId="374"/>
    <cellStyle name="Note 2 2 3" xfId="375"/>
    <cellStyle name="Note 2 2 3 2" xfId="376"/>
    <cellStyle name="Note 2 2 4" xfId="377"/>
    <cellStyle name="Note 2 2 4 2" xfId="378"/>
    <cellStyle name="Note 2 2 5" xfId="379"/>
    <cellStyle name="Note 2 2 5 2" xfId="380"/>
    <cellStyle name="Note 2 2 6" xfId="381"/>
    <cellStyle name="Note 2 2 6 2" xfId="382"/>
    <cellStyle name="Note 2 2 7" xfId="383"/>
    <cellStyle name="Note 2 3" xfId="384"/>
    <cellStyle name="Note 2 3 2" xfId="385"/>
    <cellStyle name="Note 2 4" xfId="386"/>
    <cellStyle name="Note 3" xfId="387"/>
    <cellStyle name="Note 3 2" xfId="388"/>
    <cellStyle name="Note 3 2 2" xfId="389"/>
    <cellStyle name="Note 3 2 2 2" xfId="390"/>
    <cellStyle name="Note 3 2 3" xfId="391"/>
    <cellStyle name="Note 3 2 3 2" xfId="392"/>
    <cellStyle name="Note 3 2 4" xfId="393"/>
    <cellStyle name="Note 3 2 4 2" xfId="394"/>
    <cellStyle name="Note 3 2 5" xfId="395"/>
    <cellStyle name="Note 3 2 5 2" xfId="396"/>
    <cellStyle name="Note 3 2 6" xfId="397"/>
    <cellStyle name="Note 3 2 6 2" xfId="398"/>
    <cellStyle name="Note 3 2 7" xfId="399"/>
    <cellStyle name="Note 3 3" xfId="400"/>
    <cellStyle name="Note 3 3 2" xfId="401"/>
    <cellStyle name="Note 3 4" xfId="402"/>
    <cellStyle name="Note 3 4 2" xfId="403"/>
    <cellStyle name="Note 3 5" xfId="404"/>
    <cellStyle name="Note 3 5 2" xfId="405"/>
    <cellStyle name="Note 3 6" xfId="406"/>
    <cellStyle name="Note 3 6 2" xfId="407"/>
    <cellStyle name="Note 3 7" xfId="408"/>
    <cellStyle name="Note 3 7 2" xfId="409"/>
    <cellStyle name="Note 3 8" xfId="410"/>
    <cellStyle name="Note 4" xfId="411"/>
    <cellStyle name="Note 4 2" xfId="412"/>
    <cellStyle name="Note 4 2 2" xfId="413"/>
    <cellStyle name="Note 4 3" xfId="414"/>
    <cellStyle name="Note 4 3 2" xfId="415"/>
    <cellStyle name="Note 4 4" xfId="416"/>
    <cellStyle name="Note 4 4 2" xfId="417"/>
    <cellStyle name="Note 4 5" xfId="418"/>
    <cellStyle name="Note 4 5 2" xfId="419"/>
    <cellStyle name="Note 4 6" xfId="420"/>
    <cellStyle name="Note 4 6 2" xfId="421"/>
    <cellStyle name="Note 4 7" xfId="422"/>
    <cellStyle name="Note 5" xfId="423"/>
    <cellStyle name="Note 5 2" xfId="424"/>
    <cellStyle name="Output" xfId="425"/>
    <cellStyle name="Output 2" xfId="426"/>
    <cellStyle name="Output 2 2" xfId="427"/>
    <cellStyle name="Output 2 2 2" xfId="428"/>
    <cellStyle name="Output 2 3" xfId="429"/>
    <cellStyle name="Output 2 3 2" xfId="430"/>
    <cellStyle name="Output 2 4" xfId="431"/>
    <cellStyle name="Output 2 4 2" xfId="432"/>
    <cellStyle name="Output 2 5" xfId="433"/>
    <cellStyle name="Output 2 5 2" xfId="434"/>
    <cellStyle name="Output 2 6" xfId="435"/>
    <cellStyle name="Output 2 6 2" xfId="436"/>
    <cellStyle name="Output 2 7" xfId="437"/>
    <cellStyle name="Output 3" xfId="438"/>
    <cellStyle name="Output 3 2" xfId="439"/>
    <cellStyle name="per.style" xfId="440"/>
    <cellStyle name="Percent [2]" xfId="441"/>
    <cellStyle name="price" xfId="442"/>
    <cellStyle name="PSChar" xfId="443"/>
    <cellStyle name="PSHeading" xfId="444"/>
    <cellStyle name="QDF" xfId="445"/>
    <cellStyle name="revised" xfId="446"/>
    <cellStyle name="section" xfId="447"/>
    <cellStyle name="subhead" xfId="448"/>
    <cellStyle name="title" xfId="449"/>
    <cellStyle name="Total" xfId="450"/>
    <cellStyle name="Total 2" xfId="451"/>
    <cellStyle name="Total 2 2" xfId="452"/>
    <cellStyle name="Total 2 2 2" xfId="453"/>
    <cellStyle name="Total 2 3" xfId="454"/>
    <cellStyle name="Total 2 3 2" xfId="455"/>
    <cellStyle name="Total 2 4" xfId="456"/>
    <cellStyle name="Total 2 4 2" xfId="457"/>
    <cellStyle name="Total 2 5" xfId="458"/>
    <cellStyle name="Total 2 5 2" xfId="459"/>
    <cellStyle name="Total 2 6" xfId="460"/>
    <cellStyle name="Total 2 6 2" xfId="461"/>
    <cellStyle name="Total 2 7" xfId="462"/>
    <cellStyle name="Total 3" xfId="463"/>
    <cellStyle name="Total 3 2" xfId="464"/>
    <cellStyle name="Warning Text" xfId="465"/>
    <cellStyle name="アクセント 1 2" xfId="466"/>
    <cellStyle name="アクセント 1 3" xfId="467"/>
    <cellStyle name="アクセント 1 4" xfId="468"/>
    <cellStyle name="アクセント 1 5" xfId="469"/>
    <cellStyle name="アクセント 1 6" xfId="470"/>
    <cellStyle name="アクセント 1 7" xfId="471"/>
    <cellStyle name="アクセント 1 8" xfId="472"/>
    <cellStyle name="アクセント 1 9" xfId="473"/>
    <cellStyle name="アクセント 2 2" xfId="474"/>
    <cellStyle name="アクセント 2 3" xfId="475"/>
    <cellStyle name="アクセント 2 4" xfId="476"/>
    <cellStyle name="アクセント 2 5" xfId="477"/>
    <cellStyle name="アクセント 2 6" xfId="478"/>
    <cellStyle name="アクセント 2 7" xfId="479"/>
    <cellStyle name="アクセント 2 8" xfId="480"/>
    <cellStyle name="アクセント 2 9" xfId="481"/>
    <cellStyle name="アクセント 3 2" xfId="482"/>
    <cellStyle name="アクセント 3 3" xfId="483"/>
    <cellStyle name="アクセント 3 4" xfId="484"/>
    <cellStyle name="アクセント 3 5" xfId="485"/>
    <cellStyle name="アクセント 3 6" xfId="486"/>
    <cellStyle name="アクセント 3 7" xfId="487"/>
    <cellStyle name="アクセント 3 8" xfId="488"/>
    <cellStyle name="アクセント 3 9" xfId="489"/>
    <cellStyle name="アクセント 4 2" xfId="490"/>
    <cellStyle name="アクセント 4 3" xfId="491"/>
    <cellStyle name="アクセント 4 4" xfId="492"/>
    <cellStyle name="アクセント 4 5" xfId="493"/>
    <cellStyle name="アクセント 4 6" xfId="494"/>
    <cellStyle name="アクセント 4 7" xfId="495"/>
    <cellStyle name="アクセント 4 8" xfId="496"/>
    <cellStyle name="アクセント 4 9" xfId="497"/>
    <cellStyle name="アクセント 5 2" xfId="498"/>
    <cellStyle name="アクセント 5 3" xfId="499"/>
    <cellStyle name="アクセント 5 4" xfId="500"/>
    <cellStyle name="アクセント 5 5" xfId="501"/>
    <cellStyle name="アクセント 5 6" xfId="502"/>
    <cellStyle name="アクセント 5 7" xfId="503"/>
    <cellStyle name="アクセント 5 8" xfId="504"/>
    <cellStyle name="アクセント 5 9" xfId="505"/>
    <cellStyle name="アクセント 6 2" xfId="506"/>
    <cellStyle name="アクセント 6 3" xfId="507"/>
    <cellStyle name="アクセント 6 4" xfId="508"/>
    <cellStyle name="アクセント 6 5" xfId="509"/>
    <cellStyle name="アクセント 6 6" xfId="510"/>
    <cellStyle name="アクセント 6 7" xfId="511"/>
    <cellStyle name="アクセント 6 8" xfId="512"/>
    <cellStyle name="アクセント 6 9" xfId="513"/>
    <cellStyle name="センター" xfId="514"/>
    <cellStyle name="タイトル 2" xfId="515"/>
    <cellStyle name="タイトル 3" xfId="516"/>
    <cellStyle name="タイトル 4" xfId="517"/>
    <cellStyle name="タイトル 5" xfId="518"/>
    <cellStyle name="タイトル 6" xfId="519"/>
    <cellStyle name="タイトル 7" xfId="520"/>
    <cellStyle name="タイトル 8" xfId="521"/>
    <cellStyle name="タイトル 9" xfId="522"/>
    <cellStyle name="チェック セル 2" xfId="523"/>
    <cellStyle name="チェック セル 3" xfId="524"/>
    <cellStyle name="チェック セル 4" xfId="525"/>
    <cellStyle name="チェック セル 5" xfId="526"/>
    <cellStyle name="チェック セル 6" xfId="527"/>
    <cellStyle name="チェック セル 7" xfId="528"/>
    <cellStyle name="チェック セル 8" xfId="529"/>
    <cellStyle name="チェック セル 9" xfId="530"/>
    <cellStyle name="チャート" xfId="531"/>
    <cellStyle name="どちらでもない 2" xfId="532"/>
    <cellStyle name="どちらでもない 3" xfId="533"/>
    <cellStyle name="どちらでもない 4" xfId="534"/>
    <cellStyle name="どちらでもない 5" xfId="535"/>
    <cellStyle name="どちらでもない 6" xfId="536"/>
    <cellStyle name="どちらでもない 7" xfId="537"/>
    <cellStyle name="どちらでもない 8" xfId="538"/>
    <cellStyle name="どちらでもない 9" xfId="539"/>
    <cellStyle name="パーセント 2" xfId="540"/>
    <cellStyle name="パーセント 2 2" xfId="541"/>
    <cellStyle name="パーセント 3" xfId="542"/>
    <cellStyle name="ハイパーリンク 2" xfId="543"/>
    <cellStyle name="ハイパーリンク 2 2" xfId="544"/>
    <cellStyle name="ハイパーリンク 2 3" xfId="545"/>
    <cellStyle name="ハイパーリンク 3" xfId="546"/>
    <cellStyle name="メモ 2" xfId="547"/>
    <cellStyle name="メモ 2 2" xfId="548"/>
    <cellStyle name="メモ 2 2 2" xfId="549"/>
    <cellStyle name="メモ 2 2 2 2" xfId="550"/>
    <cellStyle name="メモ 2 2 2 2 2" xfId="551"/>
    <cellStyle name="メモ 2 2 2 3" xfId="552"/>
    <cellStyle name="メモ 2 2 2 3 2" xfId="553"/>
    <cellStyle name="メモ 2 2 2 4" xfId="554"/>
    <cellStyle name="メモ 2 2 2 4 2" xfId="555"/>
    <cellStyle name="メモ 2 2 2 5" xfId="556"/>
    <cellStyle name="メモ 2 2 2 5 2" xfId="557"/>
    <cellStyle name="メモ 2 2 2 6" xfId="558"/>
    <cellStyle name="メモ 2 2 2 6 2" xfId="559"/>
    <cellStyle name="メモ 2 2 2 7" xfId="560"/>
    <cellStyle name="メモ 2 2 3" xfId="561"/>
    <cellStyle name="メモ 2 2 3 2" xfId="562"/>
    <cellStyle name="メモ 2 2 4" xfId="563"/>
    <cellStyle name="メモ 2 3" xfId="564"/>
    <cellStyle name="メモ 2 3 2" xfId="565"/>
    <cellStyle name="メモ 2 3 2 2" xfId="566"/>
    <cellStyle name="メモ 2 3 2 2 2" xfId="567"/>
    <cellStyle name="メモ 2 3 2 3" xfId="568"/>
    <cellStyle name="メモ 2 3 2 3 2" xfId="569"/>
    <cellStyle name="メモ 2 3 2 4" xfId="570"/>
    <cellStyle name="メモ 2 3 2 4 2" xfId="571"/>
    <cellStyle name="メモ 2 3 2 5" xfId="572"/>
    <cellStyle name="メモ 2 3 2 5 2" xfId="573"/>
    <cellStyle name="メモ 2 3 2 6" xfId="574"/>
    <cellStyle name="メモ 2 3 2 6 2" xfId="575"/>
    <cellStyle name="メモ 2 3 2 7" xfId="576"/>
    <cellStyle name="メモ 2 3 3" xfId="577"/>
    <cellStyle name="メモ 2 3 3 2" xfId="578"/>
    <cellStyle name="メモ 2 4" xfId="579"/>
    <cellStyle name="メモ 2 4 2" xfId="580"/>
    <cellStyle name="メモ 2 4 2 2" xfId="581"/>
    <cellStyle name="メモ 2 4 2 2 2" xfId="582"/>
    <cellStyle name="メモ 2 4 2 3" xfId="583"/>
    <cellStyle name="メモ 2 4 2 3 2" xfId="584"/>
    <cellStyle name="メモ 2 4 2 4" xfId="585"/>
    <cellStyle name="メモ 2 4 2 4 2" xfId="586"/>
    <cellStyle name="メモ 2 4 2 5" xfId="587"/>
    <cellStyle name="メモ 2 4 2 5 2" xfId="588"/>
    <cellStyle name="メモ 2 4 2 6" xfId="589"/>
    <cellStyle name="メモ 2 4 2 6 2" xfId="590"/>
    <cellStyle name="メモ 2 4 2 7" xfId="591"/>
    <cellStyle name="メモ 2 4 3" xfId="592"/>
    <cellStyle name="メモ 2 4 3 2" xfId="593"/>
    <cellStyle name="メモ 2 4 4" xfId="594"/>
    <cellStyle name="メモ 2 4 4 2" xfId="595"/>
    <cellStyle name="メモ 2 4 5" xfId="596"/>
    <cellStyle name="メモ 2 4 5 2" xfId="597"/>
    <cellStyle name="メモ 2 4 6" xfId="598"/>
    <cellStyle name="メモ 2 4 6 2" xfId="599"/>
    <cellStyle name="メモ 2 4 7" xfId="600"/>
    <cellStyle name="メモ 2 4 7 2" xfId="601"/>
    <cellStyle name="メモ 2 4 8" xfId="602"/>
    <cellStyle name="メモ 2 5" xfId="603"/>
    <cellStyle name="メモ 2 5 2" xfId="604"/>
    <cellStyle name="メモ 2 5 2 2" xfId="605"/>
    <cellStyle name="メモ 2 5 2 2 2" xfId="606"/>
    <cellStyle name="メモ 2 5 2 3" xfId="607"/>
    <cellStyle name="メモ 2 5 2 3 2" xfId="608"/>
    <cellStyle name="メモ 2 5 2 4" xfId="609"/>
    <cellStyle name="メモ 2 5 2 4 2" xfId="610"/>
    <cellStyle name="メモ 2 5 2 5" xfId="611"/>
    <cellStyle name="メモ 2 5 2 5 2" xfId="612"/>
    <cellStyle name="メモ 2 5 2 6" xfId="613"/>
    <cellStyle name="メモ 2 5 2 6 2" xfId="614"/>
    <cellStyle name="メモ 2 5 2 7" xfId="615"/>
    <cellStyle name="メモ 2 5 3" xfId="616"/>
    <cellStyle name="メモ 2 5 3 2" xfId="617"/>
    <cellStyle name="メモ 2 5 4" xfId="618"/>
    <cellStyle name="メモ 2 5 4 2" xfId="619"/>
    <cellStyle name="メモ 2 5 5" xfId="620"/>
    <cellStyle name="メモ 2 5 5 2" xfId="621"/>
    <cellStyle name="メモ 2 5 6" xfId="622"/>
    <cellStyle name="メモ 2 5 6 2" xfId="623"/>
    <cellStyle name="メモ 2 5 7" xfId="624"/>
    <cellStyle name="メモ 2 5 7 2" xfId="625"/>
    <cellStyle name="メモ 2 5 8" xfId="626"/>
    <cellStyle name="メモ 2 6" xfId="627"/>
    <cellStyle name="メモ 2 6 2" xfId="628"/>
    <cellStyle name="メモ 2 6 2 2" xfId="629"/>
    <cellStyle name="メモ 2 6 2 2 2" xfId="630"/>
    <cellStyle name="メモ 2 6 2 3" xfId="631"/>
    <cellStyle name="メモ 2 6 2 3 2" xfId="632"/>
    <cellStyle name="メモ 2 6 2 4" xfId="633"/>
    <cellStyle name="メモ 2 6 2 4 2" xfId="634"/>
    <cellStyle name="メモ 2 6 2 5" xfId="635"/>
    <cellStyle name="メモ 2 6 2 5 2" xfId="636"/>
    <cellStyle name="メモ 2 6 2 6" xfId="637"/>
    <cellStyle name="メモ 2 6 2 6 2" xfId="638"/>
    <cellStyle name="メモ 2 6 2 7" xfId="639"/>
    <cellStyle name="メモ 2 6 3" xfId="640"/>
    <cellStyle name="メモ 2 6 3 2" xfId="641"/>
    <cellStyle name="メモ 2 6 4" xfId="642"/>
    <cellStyle name="メモ 2 6 4 2" xfId="643"/>
    <cellStyle name="メモ 2 6 5" xfId="644"/>
    <cellStyle name="メモ 2 6 5 2" xfId="645"/>
    <cellStyle name="メモ 2 6 6" xfId="646"/>
    <cellStyle name="メモ 2 6 6 2" xfId="647"/>
    <cellStyle name="メモ 2 6 7" xfId="648"/>
    <cellStyle name="メモ 2 6 7 2" xfId="649"/>
    <cellStyle name="メモ 2 6 8" xfId="650"/>
    <cellStyle name="メモ 2 7" xfId="651"/>
    <cellStyle name="メモ 2 7 2" xfId="652"/>
    <cellStyle name="メモ 2 7 2 2" xfId="653"/>
    <cellStyle name="メモ 2 7 3" xfId="654"/>
    <cellStyle name="メモ 2 7 3 2" xfId="655"/>
    <cellStyle name="メモ 2 7 4" xfId="656"/>
    <cellStyle name="メモ 2 7 4 2" xfId="657"/>
    <cellStyle name="メモ 2 7 5" xfId="658"/>
    <cellStyle name="メモ 2 7 5 2" xfId="659"/>
    <cellStyle name="メモ 2 7 6" xfId="660"/>
    <cellStyle name="メモ 2 7 6 2" xfId="661"/>
    <cellStyle name="メモ 2 7 7" xfId="662"/>
    <cellStyle name="メモ 2 8" xfId="663"/>
    <cellStyle name="メモ 2 8 2" xfId="664"/>
    <cellStyle name="メモ 3" xfId="665"/>
    <cellStyle name="メモ 3 2" xfId="666"/>
    <cellStyle name="メモ 3 2 2" xfId="667"/>
    <cellStyle name="メモ 3 2 2 2" xfId="668"/>
    <cellStyle name="メモ 3 2 3" xfId="669"/>
    <cellStyle name="メモ 3 2 3 2" xfId="670"/>
    <cellStyle name="メモ 3 2 4" xfId="671"/>
    <cellStyle name="メモ 3 2 4 2" xfId="672"/>
    <cellStyle name="メモ 3 2 5" xfId="673"/>
    <cellStyle name="メモ 3 2 5 2" xfId="674"/>
    <cellStyle name="メモ 3 2 6" xfId="675"/>
    <cellStyle name="メモ 3 2 6 2" xfId="676"/>
    <cellStyle name="メモ 3 2 7" xfId="677"/>
    <cellStyle name="メモ 3 3" xfId="678"/>
    <cellStyle name="メモ 3 3 2" xfId="679"/>
    <cellStyle name="メモ 3 4" xfId="680"/>
    <cellStyle name="メモ 3 5" xfId="681"/>
    <cellStyle name="メモ 4" xfId="682"/>
    <cellStyle name="メモ 4 2" xfId="683"/>
    <cellStyle name="メモ 4 2 2" xfId="684"/>
    <cellStyle name="メモ 4 2 2 2" xfId="685"/>
    <cellStyle name="メモ 4 2 3" xfId="686"/>
    <cellStyle name="メモ 4 2 3 2" xfId="687"/>
    <cellStyle name="メモ 4 2 4" xfId="688"/>
    <cellStyle name="メモ 4 2 4 2" xfId="689"/>
    <cellStyle name="メモ 4 2 5" xfId="690"/>
    <cellStyle name="メモ 4 2 5 2" xfId="691"/>
    <cellStyle name="メモ 4 2 6" xfId="692"/>
    <cellStyle name="メモ 4 2 6 2" xfId="693"/>
    <cellStyle name="メモ 4 2 7" xfId="694"/>
    <cellStyle name="メモ 4 3" xfId="695"/>
    <cellStyle name="メモ 4 3 2" xfId="696"/>
    <cellStyle name="メモ 4 4" xfId="697"/>
    <cellStyle name="メモ 5" xfId="698"/>
    <cellStyle name="メモ 5 2" xfId="699"/>
    <cellStyle name="メモ 5 2 2" xfId="700"/>
    <cellStyle name="メモ 5 3" xfId="701"/>
    <cellStyle name="メモ 5 3 2" xfId="702"/>
    <cellStyle name="メモ 5 4" xfId="703"/>
    <cellStyle name="メモ 5 4 2" xfId="704"/>
    <cellStyle name="メモ 5 5" xfId="705"/>
    <cellStyle name="メモ 5 5 2" xfId="706"/>
    <cellStyle name="メモ 5 6" xfId="707"/>
    <cellStyle name="メモ 5 6 2" xfId="708"/>
    <cellStyle name="メモ 5 7" xfId="709"/>
    <cellStyle name="メモ 5 7 2" xfId="710"/>
    <cellStyle name="メモ 6" xfId="711"/>
    <cellStyle name="メモ 7" xfId="712"/>
    <cellStyle name="メモ 8" xfId="713"/>
    <cellStyle name="メモ 9" xfId="714"/>
    <cellStyle name="リンク セル 2" xfId="715"/>
    <cellStyle name="リンク セル 3" xfId="716"/>
    <cellStyle name="リンク セル 4" xfId="717"/>
    <cellStyle name="リンク セル 5" xfId="718"/>
    <cellStyle name="リンク セル 6" xfId="719"/>
    <cellStyle name="リンク セル 7" xfId="720"/>
    <cellStyle name="リンク セル 8" xfId="721"/>
    <cellStyle name="リンク セル 9" xfId="722"/>
    <cellStyle name="_x001d_・_x000c_ﾏ・_x000d_ﾂ・_x0001__x0016__x0011_F5_x0007__x0001__x0001_" xfId="723"/>
    <cellStyle name="_x001d_・_x000c_ﾏ・_x000d_ﾂ・_x0001__x0016__x0011_F5_x0007__x0001__x0001_ 2" xfId="724"/>
    <cellStyle name="_x001d_・_x000c_ﾏ・_x000d_ﾂ・_x0001__x0016__x0011_F5_x0007__x0001__x0001_ 2 2" xfId="725"/>
    <cellStyle name="_x001d_・_x000c_ﾏ・_x000d_ﾂ・_x0001__x0016__x0011_F5_x0007__x0001__x0001_ 2 2 2" xfId="726"/>
    <cellStyle name="_x001d_・_x000c_ﾏ・_x000d_ﾂ・_x0001__x0016__x0011_F5_x0007__x0001__x0001_ 2 3" xfId="727"/>
    <cellStyle name="_x001d_・_x000c_ﾏ・_x000d_ﾂ・_x0001__x0016__x0011_F5_x0007__x0001__x0001_ 3" xfId="728"/>
    <cellStyle name="_x001d_・_x000c_ﾏ・_x000d_ﾂ・_x0001__x0016__x0011_F5_x0007__x0001__x0001_ 3 2" xfId="729"/>
    <cellStyle name="悪い 2" xfId="730"/>
    <cellStyle name="悪い 3" xfId="731"/>
    <cellStyle name="悪い 4" xfId="732"/>
    <cellStyle name="悪い 5" xfId="733"/>
    <cellStyle name="悪い 6" xfId="734"/>
    <cellStyle name="悪い 7" xfId="735"/>
    <cellStyle name="悪い 8" xfId="736"/>
    <cellStyle name="悪い 9" xfId="737"/>
    <cellStyle name="計算 2" xfId="738"/>
    <cellStyle name="計算 2 2" xfId="739"/>
    <cellStyle name="計算 2 2 2" xfId="740"/>
    <cellStyle name="計算 2 2 2 2" xfId="741"/>
    <cellStyle name="計算 2 2 2 2 2" xfId="742"/>
    <cellStyle name="計算 2 2 2 3" xfId="743"/>
    <cellStyle name="計算 2 2 2 3 2" xfId="744"/>
    <cellStyle name="計算 2 2 2 4" xfId="745"/>
    <cellStyle name="計算 2 2 2 4 2" xfId="746"/>
    <cellStyle name="計算 2 2 2 5" xfId="747"/>
    <cellStyle name="計算 2 2 2 5 2" xfId="748"/>
    <cellStyle name="計算 2 2 2 6" xfId="749"/>
    <cellStyle name="計算 2 2 2 6 2" xfId="750"/>
    <cellStyle name="計算 2 2 2 7" xfId="751"/>
    <cellStyle name="計算 2 2 3" xfId="752"/>
    <cellStyle name="計算 2 2 3 2" xfId="753"/>
    <cellStyle name="計算 2 2 4" xfId="754"/>
    <cellStyle name="計算 2 3" xfId="755"/>
    <cellStyle name="計算 2 3 2" xfId="756"/>
    <cellStyle name="計算 2 3 2 2" xfId="757"/>
    <cellStyle name="計算 2 3 3" xfId="758"/>
    <cellStyle name="計算 2 3 3 2" xfId="759"/>
    <cellStyle name="計算 2 3 4" xfId="760"/>
    <cellStyle name="計算 2 3 4 2" xfId="761"/>
    <cellStyle name="計算 2 3 5" xfId="762"/>
    <cellStyle name="計算 2 3 5 2" xfId="763"/>
    <cellStyle name="計算 2 3 6" xfId="764"/>
    <cellStyle name="計算 2 3 6 2" xfId="765"/>
    <cellStyle name="計算 2 3 7" xfId="766"/>
    <cellStyle name="計算 2 4" xfId="767"/>
    <cellStyle name="計算 2 4 2" xfId="768"/>
    <cellStyle name="計算 2 5" xfId="769"/>
    <cellStyle name="計算 3" xfId="770"/>
    <cellStyle name="計算 3 2" xfId="771"/>
    <cellStyle name="計算 3 2 2" xfId="772"/>
    <cellStyle name="計算 3 2 2 2" xfId="773"/>
    <cellStyle name="計算 3 2 3" xfId="774"/>
    <cellStyle name="計算 3 2 3 2" xfId="775"/>
    <cellStyle name="計算 3 2 4" xfId="776"/>
    <cellStyle name="計算 3 2 4 2" xfId="777"/>
    <cellStyle name="計算 3 2 5" xfId="778"/>
    <cellStyle name="計算 3 2 5 2" xfId="779"/>
    <cellStyle name="計算 3 2 6" xfId="780"/>
    <cellStyle name="計算 3 2 6 2" xfId="781"/>
    <cellStyle name="計算 3 2 7" xfId="782"/>
    <cellStyle name="計算 3 3" xfId="783"/>
    <cellStyle name="計算 3 3 2" xfId="784"/>
    <cellStyle name="計算 3 4" xfId="785"/>
    <cellStyle name="計算 4" xfId="786"/>
    <cellStyle name="計算 4 2" xfId="787"/>
    <cellStyle name="計算 4 2 2" xfId="788"/>
    <cellStyle name="計算 4 3" xfId="789"/>
    <cellStyle name="計算 4 3 2" xfId="790"/>
    <cellStyle name="計算 4 4" xfId="791"/>
    <cellStyle name="計算 4 4 2" xfId="792"/>
    <cellStyle name="計算 4 5" xfId="793"/>
    <cellStyle name="計算 4 5 2" xfId="794"/>
    <cellStyle name="計算 4 6" xfId="795"/>
    <cellStyle name="計算 4 6 2" xfId="796"/>
    <cellStyle name="計算 4 7" xfId="797"/>
    <cellStyle name="計算 5" xfId="798"/>
    <cellStyle name="計算 6" xfId="799"/>
    <cellStyle name="計算 7" xfId="800"/>
    <cellStyle name="計算 8" xfId="801"/>
    <cellStyle name="計算 9" xfId="802"/>
    <cellStyle name="警告文 2" xfId="803"/>
    <cellStyle name="警告文 3" xfId="804"/>
    <cellStyle name="警告文 4" xfId="805"/>
    <cellStyle name="警告文 5" xfId="806"/>
    <cellStyle name="警告文 6" xfId="807"/>
    <cellStyle name="警告文 7" xfId="808"/>
    <cellStyle name="警告文 8" xfId="809"/>
    <cellStyle name="警告文 9" xfId="810"/>
    <cellStyle name="桁蟻唇Ｆ [0.00]_laroux" xfId="811"/>
    <cellStyle name="桁蟻唇Ｆ_A°DAU±ATIsA" xfId="812"/>
    <cellStyle name="桁区切り 2" xfId="813"/>
    <cellStyle name="桁区切り 2 2" xfId="814"/>
    <cellStyle name="桁区切り 2 2 2" xfId="815"/>
    <cellStyle name="桁区切り 2 3" xfId="816"/>
    <cellStyle name="桁区切り 2 4" xfId="817"/>
    <cellStyle name="桁区切り 2 4 2" xfId="818"/>
    <cellStyle name="桁区切り 2 4 3" xfId="819"/>
    <cellStyle name="桁区切り 2 5" xfId="820"/>
    <cellStyle name="桁区切り 2 5 2" xfId="821"/>
    <cellStyle name="桁区切り 2 5 3" xfId="822"/>
    <cellStyle name="桁区切り 2 6" xfId="823"/>
    <cellStyle name="桁区切り 2_バックアップセンタ_切替テストスケジュール_20120406~10" xfId="824"/>
    <cellStyle name="桁区切り 3" xfId="825"/>
    <cellStyle name="桁区切り 3 2" xfId="826"/>
    <cellStyle name="桁区切り 3 2 2" xfId="827"/>
    <cellStyle name="桁区切り 3 2 3" xfId="828"/>
    <cellStyle name="桁区切り 3 3" xfId="829"/>
    <cellStyle name="桁区切り 4" xfId="830"/>
    <cellStyle name="桁区切り 4 2" xfId="831"/>
    <cellStyle name="桁区切り 4 2 2" xfId="832"/>
    <cellStyle name="桁区切り 4 2 3" xfId="833"/>
    <cellStyle name="桁区切り 4 3" xfId="834"/>
    <cellStyle name="桁区切り 4 4" xfId="835"/>
    <cellStyle name="桁区切り 5" xfId="836"/>
    <cellStyle name="桁区切り 5 2" xfId="837"/>
    <cellStyle name="桁区切り 5 3" xfId="838"/>
    <cellStyle name="桁区切り 6" xfId="839"/>
    <cellStyle name="見出し 1 2" xfId="840"/>
    <cellStyle name="見出し 1 3" xfId="841"/>
    <cellStyle name="見出し 1 4" xfId="842"/>
    <cellStyle name="見出し 1 5" xfId="843"/>
    <cellStyle name="見出し 1 6" xfId="844"/>
    <cellStyle name="見出し 1 7" xfId="845"/>
    <cellStyle name="見出し 1 8" xfId="846"/>
    <cellStyle name="見出し 1 9" xfId="847"/>
    <cellStyle name="見出し 2 2" xfId="848"/>
    <cellStyle name="見出し 2 3" xfId="849"/>
    <cellStyle name="見出し 2 4" xfId="850"/>
    <cellStyle name="見出し 2 5" xfId="851"/>
    <cellStyle name="見出し 2 6" xfId="852"/>
    <cellStyle name="見出し 2 7" xfId="853"/>
    <cellStyle name="見出し 2 8" xfId="854"/>
    <cellStyle name="見出し 2 9" xfId="855"/>
    <cellStyle name="見出し 3 2" xfId="856"/>
    <cellStyle name="見出し 3 3" xfId="857"/>
    <cellStyle name="見出し 3 4" xfId="858"/>
    <cellStyle name="見出し 3 5" xfId="859"/>
    <cellStyle name="見出し 3 6" xfId="860"/>
    <cellStyle name="見出し 3 7" xfId="861"/>
    <cellStyle name="見出し 3 8" xfId="862"/>
    <cellStyle name="見出し 3 9" xfId="863"/>
    <cellStyle name="見出し 4 2" xfId="864"/>
    <cellStyle name="見出し 4 3" xfId="865"/>
    <cellStyle name="見出し 4 4" xfId="866"/>
    <cellStyle name="見出し 4 5" xfId="867"/>
    <cellStyle name="見出し 4 6" xfId="868"/>
    <cellStyle name="見出し 4 7" xfId="869"/>
    <cellStyle name="見出し 4 8" xfId="870"/>
    <cellStyle name="見出し 4 9" xfId="871"/>
    <cellStyle name="構成図作成用" xfId="872"/>
    <cellStyle name="取り消し" xfId="873"/>
    <cellStyle name="集計 2" xfId="874"/>
    <cellStyle name="集計 2 2" xfId="875"/>
    <cellStyle name="集計 2 2 2" xfId="876"/>
    <cellStyle name="集計 2 2 2 2" xfId="877"/>
    <cellStyle name="集計 2 2 2 2 2" xfId="878"/>
    <cellStyle name="集計 2 2 2 3" xfId="879"/>
    <cellStyle name="集計 2 2 2 3 2" xfId="880"/>
    <cellStyle name="集計 2 2 2 4" xfId="881"/>
    <cellStyle name="集計 2 2 2 4 2" xfId="882"/>
    <cellStyle name="集計 2 2 2 5" xfId="883"/>
    <cellStyle name="集計 2 2 2 5 2" xfId="884"/>
    <cellStyle name="集計 2 2 2 6" xfId="885"/>
    <cellStyle name="集計 2 2 2 6 2" xfId="886"/>
    <cellStyle name="集計 2 2 2 7" xfId="887"/>
    <cellStyle name="集計 2 2 3" xfId="888"/>
    <cellStyle name="集計 2 2 3 2" xfId="889"/>
    <cellStyle name="集計 2 3" xfId="890"/>
    <cellStyle name="集計 2 3 2" xfId="891"/>
    <cellStyle name="集計 2 3 2 2" xfId="892"/>
    <cellStyle name="集計 2 3 3" xfId="893"/>
    <cellStyle name="集計 2 3 3 2" xfId="894"/>
    <cellStyle name="集計 2 3 4" xfId="895"/>
    <cellStyle name="集計 2 3 4 2" xfId="896"/>
    <cellStyle name="集計 2 3 5" xfId="897"/>
    <cellStyle name="集計 2 3 5 2" xfId="898"/>
    <cellStyle name="集計 2 3 6" xfId="899"/>
    <cellStyle name="集計 2 3 6 2" xfId="900"/>
    <cellStyle name="集計 2 3 7" xfId="901"/>
    <cellStyle name="集計 2 4" xfId="902"/>
    <cellStyle name="集計 2 4 2" xfId="903"/>
    <cellStyle name="集計 3" xfId="904"/>
    <cellStyle name="集計 3 2" xfId="905"/>
    <cellStyle name="集計 3 2 2" xfId="906"/>
    <cellStyle name="集計 3 2 2 2" xfId="907"/>
    <cellStyle name="集計 3 2 3" xfId="908"/>
    <cellStyle name="集計 3 2 3 2" xfId="909"/>
    <cellStyle name="集計 3 2 4" xfId="910"/>
    <cellStyle name="集計 3 2 4 2" xfId="911"/>
    <cellStyle name="集計 3 2 5" xfId="912"/>
    <cellStyle name="集計 3 2 5 2" xfId="913"/>
    <cellStyle name="集計 3 2 6" xfId="914"/>
    <cellStyle name="集計 3 2 6 2" xfId="915"/>
    <cellStyle name="集計 3 2 7" xfId="916"/>
    <cellStyle name="集計 3 3" xfId="917"/>
    <cellStyle name="集計 3 3 2" xfId="918"/>
    <cellStyle name="集計 3 4" xfId="919"/>
    <cellStyle name="集計 4" xfId="920"/>
    <cellStyle name="集計 4 2" xfId="921"/>
    <cellStyle name="集計 4 2 2" xfId="922"/>
    <cellStyle name="集計 4 3" xfId="923"/>
    <cellStyle name="集計 4 3 2" xfId="924"/>
    <cellStyle name="集計 4 4" xfId="925"/>
    <cellStyle name="集計 4 4 2" xfId="926"/>
    <cellStyle name="集計 4 5" xfId="927"/>
    <cellStyle name="集計 4 5 2" xfId="928"/>
    <cellStyle name="集計 4 6" xfId="929"/>
    <cellStyle name="集計 4 6 2" xfId="930"/>
    <cellStyle name="集計 4 7" xfId="931"/>
    <cellStyle name="集計 5" xfId="932"/>
    <cellStyle name="集計 6" xfId="933"/>
    <cellStyle name="集計 7" xfId="934"/>
    <cellStyle name="集計 8" xfId="935"/>
    <cellStyle name="集計 9" xfId="936"/>
    <cellStyle name="出力 2" xfId="937"/>
    <cellStyle name="出力 2 2" xfId="938"/>
    <cellStyle name="出力 2 2 2" xfId="939"/>
    <cellStyle name="出力 2 2 2 2" xfId="940"/>
    <cellStyle name="出力 2 2 2 2 2" xfId="941"/>
    <cellStyle name="出力 2 2 2 3" xfId="942"/>
    <cellStyle name="出力 2 2 2 3 2" xfId="943"/>
    <cellStyle name="出力 2 2 2 4" xfId="944"/>
    <cellStyle name="出力 2 2 2 4 2" xfId="945"/>
    <cellStyle name="出力 2 2 2 5" xfId="946"/>
    <cellStyle name="出力 2 2 2 5 2" xfId="947"/>
    <cellStyle name="出力 2 2 2 6" xfId="948"/>
    <cellStyle name="出力 2 2 2 6 2" xfId="949"/>
    <cellStyle name="出力 2 2 2 7" xfId="950"/>
    <cellStyle name="出力 2 2 3" xfId="951"/>
    <cellStyle name="出力 2 2 3 2" xfId="952"/>
    <cellStyle name="出力 2 3" xfId="953"/>
    <cellStyle name="出力 2 3 2" xfId="954"/>
    <cellStyle name="出力 2 3 2 2" xfId="955"/>
    <cellStyle name="出力 2 3 3" xfId="956"/>
    <cellStyle name="出力 2 3 3 2" xfId="957"/>
    <cellStyle name="出力 2 3 4" xfId="958"/>
    <cellStyle name="出力 2 3 4 2" xfId="959"/>
    <cellStyle name="出力 2 3 5" xfId="960"/>
    <cellStyle name="出力 2 3 5 2" xfId="961"/>
    <cellStyle name="出力 2 3 6" xfId="962"/>
    <cellStyle name="出力 2 3 6 2" xfId="963"/>
    <cellStyle name="出力 2 3 7" xfId="964"/>
    <cellStyle name="出力 2 4" xfId="965"/>
    <cellStyle name="出力 2 4 2" xfId="966"/>
    <cellStyle name="出力 3" xfId="967"/>
    <cellStyle name="出力 3 2" xfId="968"/>
    <cellStyle name="出力 3 2 2" xfId="969"/>
    <cellStyle name="出力 3 2 2 2" xfId="970"/>
    <cellStyle name="出力 3 2 3" xfId="971"/>
    <cellStyle name="出力 3 2 3 2" xfId="972"/>
    <cellStyle name="出力 3 2 4" xfId="973"/>
    <cellStyle name="出力 3 2 4 2" xfId="974"/>
    <cellStyle name="出力 3 2 5" xfId="975"/>
    <cellStyle name="出力 3 2 5 2" xfId="976"/>
    <cellStyle name="出力 3 2 6" xfId="977"/>
    <cellStyle name="出力 3 2 6 2" xfId="978"/>
    <cellStyle name="出力 3 2 7" xfId="979"/>
    <cellStyle name="出力 3 3" xfId="980"/>
    <cellStyle name="出力 3 3 2" xfId="981"/>
    <cellStyle name="出力 3 4" xfId="982"/>
    <cellStyle name="出力 4" xfId="983"/>
    <cellStyle name="出力 4 2" xfId="984"/>
    <cellStyle name="出力 4 2 2" xfId="985"/>
    <cellStyle name="出力 4 3" xfId="986"/>
    <cellStyle name="出力 4 3 2" xfId="987"/>
    <cellStyle name="出力 4 4" xfId="988"/>
    <cellStyle name="出力 4 4 2" xfId="989"/>
    <cellStyle name="出力 4 5" xfId="990"/>
    <cellStyle name="出力 4 5 2" xfId="991"/>
    <cellStyle name="出力 4 6" xfId="992"/>
    <cellStyle name="出力 4 6 2" xfId="993"/>
    <cellStyle name="出力 4 7" xfId="994"/>
    <cellStyle name="出力 5" xfId="995"/>
    <cellStyle name="出力 6" xfId="996"/>
    <cellStyle name="出力 7" xfId="997"/>
    <cellStyle name="出力 8" xfId="998"/>
    <cellStyle name="出力 9" xfId="999"/>
    <cellStyle name="人月" xfId="1000"/>
    <cellStyle name="説明文 2" xfId="1001"/>
    <cellStyle name="説明文 3" xfId="1002"/>
    <cellStyle name="説明文 4" xfId="1003"/>
    <cellStyle name="説明文 5" xfId="1004"/>
    <cellStyle name="説明文 6" xfId="1005"/>
    <cellStyle name="説明文 7" xfId="1006"/>
    <cellStyle name="説明文 8" xfId="1007"/>
    <cellStyle name="説明文 9" xfId="1008"/>
    <cellStyle name="脱浦 [0.00]_laroux" xfId="1009"/>
    <cellStyle name="脱浦_laroux" xfId="1010"/>
    <cellStyle name="通貨 [0.00" xfId="1011"/>
    <cellStyle name="通貨 [0.00 2" xfId="1012"/>
    <cellStyle name="通貨 [0.00 3" xfId="1013"/>
    <cellStyle name="通貨 [0.00 4" xfId="1014"/>
    <cellStyle name="通貨 [0.00 5" xfId="1015"/>
    <cellStyle name="通貨 [0.00 6" xfId="1016"/>
    <cellStyle name="通貨 2" xfId="1017"/>
    <cellStyle name="通貨 2 2" xfId="1018"/>
    <cellStyle name="通貨 2 2 2" xfId="1019"/>
    <cellStyle name="通貨 2 2 3" xfId="1020"/>
    <cellStyle name="通貨 2 3" xfId="1021"/>
    <cellStyle name="通貨 2 4" xfId="1022"/>
    <cellStyle name="通貨 2 5" xfId="1023"/>
    <cellStyle name="通貨 3" xfId="1024"/>
    <cellStyle name="入力 2" xfId="1025"/>
    <cellStyle name="入力 2 2" xfId="1026"/>
    <cellStyle name="入力 2 2 2" xfId="1027"/>
    <cellStyle name="入力 2 2 2 2" xfId="1028"/>
    <cellStyle name="入力 2 2 2 2 2" xfId="1029"/>
    <cellStyle name="入力 2 2 2 3" xfId="1030"/>
    <cellStyle name="入力 2 2 2 3 2" xfId="1031"/>
    <cellStyle name="入力 2 2 2 4" xfId="1032"/>
    <cellStyle name="入力 2 2 2 4 2" xfId="1033"/>
    <cellStyle name="入力 2 2 2 5" xfId="1034"/>
    <cellStyle name="入力 2 2 2 5 2" xfId="1035"/>
    <cellStyle name="入力 2 2 2 6" xfId="1036"/>
    <cellStyle name="入力 2 2 2 6 2" xfId="1037"/>
    <cellStyle name="入力 2 2 2 7" xfId="1038"/>
    <cellStyle name="入力 2 2 3" xfId="1039"/>
    <cellStyle name="入力 2 2 3 2" xfId="1040"/>
    <cellStyle name="入力 2 2 4" xfId="1041"/>
    <cellStyle name="入力 2 3" xfId="1042"/>
    <cellStyle name="入力 2 3 2" xfId="1043"/>
    <cellStyle name="入力 2 3 2 2" xfId="1044"/>
    <cellStyle name="入力 2 3 3" xfId="1045"/>
    <cellStyle name="入力 2 3 3 2" xfId="1046"/>
    <cellStyle name="入力 2 3 4" xfId="1047"/>
    <cellStyle name="入力 2 3 4 2" xfId="1048"/>
    <cellStyle name="入力 2 3 5" xfId="1049"/>
    <cellStyle name="入力 2 3 5 2" xfId="1050"/>
    <cellStyle name="入力 2 3 6" xfId="1051"/>
    <cellStyle name="入力 2 3 6 2" xfId="1052"/>
    <cellStyle name="入力 2 3 7" xfId="1053"/>
    <cellStyle name="入力 2 4" xfId="1054"/>
    <cellStyle name="入力 2 4 2" xfId="1055"/>
    <cellStyle name="入力 2 5" xfId="1056"/>
    <cellStyle name="入力 3" xfId="1057"/>
    <cellStyle name="入力 3 2" xfId="1058"/>
    <cellStyle name="入力 3 2 2" xfId="1059"/>
    <cellStyle name="入力 3 2 2 2" xfId="1060"/>
    <cellStyle name="入力 3 2 3" xfId="1061"/>
    <cellStyle name="入力 3 2 3 2" xfId="1062"/>
    <cellStyle name="入力 3 2 4" xfId="1063"/>
    <cellStyle name="入力 3 2 4 2" xfId="1064"/>
    <cellStyle name="入力 3 2 5" xfId="1065"/>
    <cellStyle name="入力 3 2 5 2" xfId="1066"/>
    <cellStyle name="入力 3 2 6" xfId="1067"/>
    <cellStyle name="入力 3 2 6 2" xfId="1068"/>
    <cellStyle name="入力 3 2 7" xfId="1069"/>
    <cellStyle name="入力 3 3" xfId="1070"/>
    <cellStyle name="入力 3 3 2" xfId="1071"/>
    <cellStyle name="入力 3 4" xfId="1072"/>
    <cellStyle name="入力 4" xfId="1073"/>
    <cellStyle name="入力 4 2" xfId="1074"/>
    <cellStyle name="入力 4 2 2" xfId="1075"/>
    <cellStyle name="入力 4 3" xfId="1076"/>
    <cellStyle name="入力 4 3 2" xfId="1077"/>
    <cellStyle name="入力 4 4" xfId="1078"/>
    <cellStyle name="入力 4 4 2" xfId="1079"/>
    <cellStyle name="入力 4 5" xfId="1080"/>
    <cellStyle name="入力 4 5 2" xfId="1081"/>
    <cellStyle name="入力 4 6" xfId="1082"/>
    <cellStyle name="入力 4 6 2" xfId="1083"/>
    <cellStyle name="入力 4 7" xfId="1084"/>
    <cellStyle name="入力 5" xfId="1085"/>
    <cellStyle name="入力 6" xfId="1086"/>
    <cellStyle name="入力 7" xfId="1087"/>
    <cellStyle name="入力 8" xfId="1088"/>
    <cellStyle name="入力 9" xfId="1089"/>
    <cellStyle name="標準" xfId="0" builtinId="0"/>
    <cellStyle name="標準 10" xfId="1090"/>
    <cellStyle name="標準 10 2" xfId="1091"/>
    <cellStyle name="標準 10 3" xfId="2"/>
    <cellStyle name="標準 10 4" xfId="1092"/>
    <cellStyle name="標準 10 5" xfId="1093"/>
    <cellStyle name="標準 100" xfId="1094"/>
    <cellStyle name="標準 100 2" xfId="1095"/>
    <cellStyle name="標準 100 2 2" xfId="1096"/>
    <cellStyle name="標準 100 2 2 2" xfId="1097"/>
    <cellStyle name="標準 100 2 2 3" xfId="1098"/>
    <cellStyle name="標準 100 2 2 4" xfId="1099"/>
    <cellStyle name="標準 100 2 3" xfId="1100"/>
    <cellStyle name="標準 100 2 4" xfId="1101"/>
    <cellStyle name="標準 100 2 5" xfId="1102"/>
    <cellStyle name="標準 100 3" xfId="1103"/>
    <cellStyle name="標準 100 3 2" xfId="1104"/>
    <cellStyle name="標準 100 3 3" xfId="1105"/>
    <cellStyle name="標準 100 3 4" xfId="1106"/>
    <cellStyle name="標準 100 4" xfId="1107"/>
    <cellStyle name="標準 100 5" xfId="1108"/>
    <cellStyle name="標準 100 6" xfId="1109"/>
    <cellStyle name="標準 101" xfId="1110"/>
    <cellStyle name="標準 102" xfId="1111"/>
    <cellStyle name="標準 102 2" xfId="1112"/>
    <cellStyle name="標準 102 2 2" xfId="1113"/>
    <cellStyle name="標準 102 2 3" xfId="1114"/>
    <cellStyle name="標準 102 2 4" xfId="1115"/>
    <cellStyle name="標準 102 3" xfId="1116"/>
    <cellStyle name="標準 102 4" xfId="1117"/>
    <cellStyle name="標準 102 5" xfId="1118"/>
    <cellStyle name="標準 103" xfId="1119"/>
    <cellStyle name="標準 104" xfId="1120"/>
    <cellStyle name="標準 104 2" xfId="1121"/>
    <cellStyle name="標準 104 3" xfId="1122"/>
    <cellStyle name="標準 104 4" xfId="1123"/>
    <cellStyle name="標準 105" xfId="1124"/>
    <cellStyle name="標準 106" xfId="1125"/>
    <cellStyle name="標準 107" xfId="1126"/>
    <cellStyle name="標準 108" xfId="1127"/>
    <cellStyle name="標準 109" xfId="1128"/>
    <cellStyle name="標準 11" xfId="1129"/>
    <cellStyle name="標準 11 2" xfId="1130"/>
    <cellStyle name="標準 11 3" xfId="1131"/>
    <cellStyle name="標準 110" xfId="1132"/>
    <cellStyle name="標準 111" xfId="1133"/>
    <cellStyle name="標準 112" xfId="1134"/>
    <cellStyle name="標準 113" xfId="1135"/>
    <cellStyle name="標準 114" xfId="1136"/>
    <cellStyle name="標準 115" xfId="1137"/>
    <cellStyle name="標準 116" xfId="1138"/>
    <cellStyle name="標準 117" xfId="1139"/>
    <cellStyle name="標準 118" xfId="1140"/>
    <cellStyle name="標準 119" xfId="1141"/>
    <cellStyle name="標準 12" xfId="1142"/>
    <cellStyle name="標準 12 2" xfId="1143"/>
    <cellStyle name="標準 12 2 2" xfId="1144"/>
    <cellStyle name="標準 12 2 3" xfId="1145"/>
    <cellStyle name="標準 12 3" xfId="1146"/>
    <cellStyle name="標準 12 3 2" xfId="1147"/>
    <cellStyle name="標準 12 3 3" xfId="1148"/>
    <cellStyle name="標準 120" xfId="1149"/>
    <cellStyle name="標準 121" xfId="1150"/>
    <cellStyle name="標準 122" xfId="1151"/>
    <cellStyle name="標準 123" xfId="1152"/>
    <cellStyle name="標準 124" xfId="1153"/>
    <cellStyle name="標準 125" xfId="1154"/>
    <cellStyle name="標準 126" xfId="1155"/>
    <cellStyle name="標準 127" xfId="1156"/>
    <cellStyle name="標準 128" xfId="1157"/>
    <cellStyle name="標準 129" xfId="1158"/>
    <cellStyle name="標準 13" xfId="1159"/>
    <cellStyle name="標準 13 2" xfId="1160"/>
    <cellStyle name="標準 13 3" xfId="1161"/>
    <cellStyle name="標準 13 4" xfId="1162"/>
    <cellStyle name="標準 13 5" xfId="1163"/>
    <cellStyle name="標準 130" xfId="1164"/>
    <cellStyle name="標準 131" xfId="1165"/>
    <cellStyle name="標準 132" xfId="1"/>
    <cellStyle name="標準 136" xfId="1166"/>
    <cellStyle name="標準 14" xfId="1167"/>
    <cellStyle name="標準 14 2" xfId="1168"/>
    <cellStyle name="標準 14 2 2" xfId="1169"/>
    <cellStyle name="標準 14 2 3" xfId="1170"/>
    <cellStyle name="標準 14 3" xfId="1171"/>
    <cellStyle name="標準 14 4" xfId="1172"/>
    <cellStyle name="標準 15" xfId="1173"/>
    <cellStyle name="標準 15 2" xfId="1174"/>
    <cellStyle name="標準 15 2 2" xfId="1175"/>
    <cellStyle name="標準 15 2 3" xfId="1176"/>
    <cellStyle name="標準 15 3" xfId="1177"/>
    <cellStyle name="標準 15 4" xfId="1178"/>
    <cellStyle name="標準 15 5" xfId="1179"/>
    <cellStyle name="標準 15 6" xfId="1180"/>
    <cellStyle name="標準 16" xfId="1181"/>
    <cellStyle name="標準 16 2" xfId="1182"/>
    <cellStyle name="標準 16 2 2" xfId="1183"/>
    <cellStyle name="標準 16 2 3" xfId="1184"/>
    <cellStyle name="標準 16 3" xfId="1185"/>
    <cellStyle name="標準 16 4" xfId="1186"/>
    <cellStyle name="標準 16 5" xfId="1187"/>
    <cellStyle name="標準 17" xfId="1188"/>
    <cellStyle name="標準 17 2" xfId="1189"/>
    <cellStyle name="標準 17 2 2" xfId="1190"/>
    <cellStyle name="標準 17 2 3" xfId="1191"/>
    <cellStyle name="標準 17 3" xfId="1192"/>
    <cellStyle name="標準 17 4" xfId="1193"/>
    <cellStyle name="標準 17 5" xfId="1194"/>
    <cellStyle name="標準 18" xfId="1195"/>
    <cellStyle name="標準 18 2" xfId="1196"/>
    <cellStyle name="標準 18 2 2" xfId="1197"/>
    <cellStyle name="標準 18 2 3" xfId="1198"/>
    <cellStyle name="標準 18 2 4" xfId="1199"/>
    <cellStyle name="標準 18 3" xfId="1200"/>
    <cellStyle name="標準 18 4" xfId="1201"/>
    <cellStyle name="標準 18 5" xfId="1202"/>
    <cellStyle name="標準 18 6" xfId="1203"/>
    <cellStyle name="標準 19" xfId="1204"/>
    <cellStyle name="標準 19 2" xfId="1205"/>
    <cellStyle name="標準 19 3" xfId="1206"/>
    <cellStyle name="標準 2" xfId="1207"/>
    <cellStyle name="標準 2 10" xfId="1208"/>
    <cellStyle name="標準 2 11" xfId="1209"/>
    <cellStyle name="標準 2 12" xfId="1210"/>
    <cellStyle name="標準 2 13" xfId="1211"/>
    <cellStyle name="標準 2 2" xfId="1212"/>
    <cellStyle name="標準 2 2 2" xfId="1213"/>
    <cellStyle name="標準 2 2 2 2" xfId="1214"/>
    <cellStyle name="標準 2 2 2 2 2" xfId="1215"/>
    <cellStyle name="標準 2 2 2 2 3" xfId="1216"/>
    <cellStyle name="標準 2 2 2 3" xfId="1217"/>
    <cellStyle name="標準 2 2 3" xfId="1218"/>
    <cellStyle name="標準 2 2 3 2" xfId="1219"/>
    <cellStyle name="標準 2 2 3 3" xfId="1220"/>
    <cellStyle name="標準 2 2 4" xfId="1221"/>
    <cellStyle name="標準 2 2 4 2" xfId="1222"/>
    <cellStyle name="標準 2 2 4 3" xfId="1223"/>
    <cellStyle name="標準 2 2 5" xfId="1224"/>
    <cellStyle name="標準 2 2 5 2" xfId="1225"/>
    <cellStyle name="標準 2 2 5 3" xfId="1226"/>
    <cellStyle name="標準 2 2 6" xfId="1227"/>
    <cellStyle name="標準 2 2 6 2" xfId="1228"/>
    <cellStyle name="標準 2 2 6 3" xfId="1229"/>
    <cellStyle name="標準 2 2 7" xfId="1230"/>
    <cellStyle name="標準 2 2 8" xfId="1231"/>
    <cellStyle name="標準 2 2_(別紙1)参加者テスト仕様書(JPN)_ver1.81" xfId="1232"/>
    <cellStyle name="標準 2 3" xfId="1233"/>
    <cellStyle name="標準 2 3 2" xfId="1234"/>
    <cellStyle name="標準 2 3 2 2" xfId="1235"/>
    <cellStyle name="標準 2 3 3" xfId="1236"/>
    <cellStyle name="標準 2 3 3 2" xfId="1237"/>
    <cellStyle name="標準 2 3 3 3" xfId="1238"/>
    <cellStyle name="標準 2 3 4" xfId="1239"/>
    <cellStyle name="標準 2 4" xfId="1240"/>
    <cellStyle name="標準 2 4 2" xfId="1241"/>
    <cellStyle name="標準 2 4 2 2" xfId="1242"/>
    <cellStyle name="標準 2 4 3" xfId="1243"/>
    <cellStyle name="標準 2 5" xfId="1244"/>
    <cellStyle name="標準 2 5 2" xfId="1245"/>
    <cellStyle name="標準 2 5 3" xfId="1246"/>
    <cellStyle name="標準 2 6" xfId="1247"/>
    <cellStyle name="標準 2 6 2" xfId="1248"/>
    <cellStyle name="標準 2 6 3" xfId="1249"/>
    <cellStyle name="標準 2 6 4" xfId="1250"/>
    <cellStyle name="標準 2 7" xfId="1251"/>
    <cellStyle name="標準 2 7 2" xfId="1252"/>
    <cellStyle name="標準 2 8" xfId="1253"/>
    <cellStyle name="標準 2 8 2" xfId="1254"/>
    <cellStyle name="標準 2 9" xfId="1255"/>
    <cellStyle name="標準 2_(別紙1)参加者テスト仕様書(JPN)_ver1.81" xfId="1256"/>
    <cellStyle name="標準 20" xfId="1257"/>
    <cellStyle name="標準 20 2" xfId="1258"/>
    <cellStyle name="標準 20 3" xfId="1259"/>
    <cellStyle name="標準 20 4" xfId="1260"/>
    <cellStyle name="標準 20 5" xfId="1261"/>
    <cellStyle name="標準 21" xfId="1262"/>
    <cellStyle name="標準 21 2" xfId="1263"/>
    <cellStyle name="標準 21 2 2" xfId="1264"/>
    <cellStyle name="標準 21 3" xfId="1265"/>
    <cellStyle name="標準 21 3 2" xfId="1266"/>
    <cellStyle name="標準 21 4" xfId="1267"/>
    <cellStyle name="標準 21 5" xfId="1268"/>
    <cellStyle name="標準 22" xfId="1269"/>
    <cellStyle name="標準 22 2" xfId="1270"/>
    <cellStyle name="標準 22 3" xfId="1271"/>
    <cellStyle name="標準 23" xfId="1272"/>
    <cellStyle name="標準 23 2" xfId="1273"/>
    <cellStyle name="標準 23 3" xfId="1274"/>
    <cellStyle name="標準 24" xfId="1275"/>
    <cellStyle name="標準 24 2" xfId="1276"/>
    <cellStyle name="標準 24 3" xfId="1277"/>
    <cellStyle name="標準 25" xfId="1278"/>
    <cellStyle name="標準 26" xfId="1279"/>
    <cellStyle name="標準 27" xfId="1280"/>
    <cellStyle name="標準 28" xfId="1281"/>
    <cellStyle name="標準 29" xfId="1282"/>
    <cellStyle name="標準 3" xfId="1283"/>
    <cellStyle name="標準 3 10" xfId="1284"/>
    <cellStyle name="標準 3 11" xfId="1285"/>
    <cellStyle name="標準 3 2" xfId="1286"/>
    <cellStyle name="標準 3 2 2" xfId="1287"/>
    <cellStyle name="標準 3 2 2 2" xfId="1288"/>
    <cellStyle name="標準 3 2 2 3" xfId="1289"/>
    <cellStyle name="標準 3 2 3" xfId="1290"/>
    <cellStyle name="標準 3 2 3 2" xfId="1291"/>
    <cellStyle name="標準 3 2 3 3" xfId="1292"/>
    <cellStyle name="標準 3 2 4" xfId="1293"/>
    <cellStyle name="標準 3 2 5" xfId="1294"/>
    <cellStyle name="標準 3 3" xfId="1295"/>
    <cellStyle name="標準 3 4" xfId="1296"/>
    <cellStyle name="標準 3 4 2" xfId="1297"/>
    <cellStyle name="標準 3 4 3" xfId="1298"/>
    <cellStyle name="標準 3 5" xfId="1299"/>
    <cellStyle name="標準 3 5 2" xfId="1300"/>
    <cellStyle name="標準 3 5 3" xfId="1301"/>
    <cellStyle name="標準 3 6" xfId="1302"/>
    <cellStyle name="標準 3 6 2" xfId="1303"/>
    <cellStyle name="標準 3 7" xfId="1304"/>
    <cellStyle name="標準 3 8" xfId="1305"/>
    <cellStyle name="標準 3 9" xfId="1306"/>
    <cellStyle name="標準 3_【Quick取得データ配信ツール(仮)】課題管理表（EUC）_20121210" xfId="1307"/>
    <cellStyle name="標準 30" xfId="1308"/>
    <cellStyle name="標準 31" xfId="1309"/>
    <cellStyle name="標準 31 2" xfId="1310"/>
    <cellStyle name="標準 31 3" xfId="1311"/>
    <cellStyle name="標準 32" xfId="1312"/>
    <cellStyle name="標準 32 2" xfId="1313"/>
    <cellStyle name="標準 32 3" xfId="1314"/>
    <cellStyle name="標準 33" xfId="1315"/>
    <cellStyle name="標準 33 2" xfId="1316"/>
    <cellStyle name="標準 33 3" xfId="1317"/>
    <cellStyle name="標準 34" xfId="1318"/>
    <cellStyle name="標準 34 2" xfId="1319"/>
    <cellStyle name="標準 34 3" xfId="1320"/>
    <cellStyle name="標準 35" xfId="1321"/>
    <cellStyle name="標準 35 2" xfId="1322"/>
    <cellStyle name="標準 35 3" xfId="1323"/>
    <cellStyle name="標準 36" xfId="1324"/>
    <cellStyle name="標準 36 2" xfId="1325"/>
    <cellStyle name="標準 36 3" xfId="1326"/>
    <cellStyle name="標準 37" xfId="1327"/>
    <cellStyle name="標準 37 2" xfId="1328"/>
    <cellStyle name="標準 37 3" xfId="1329"/>
    <cellStyle name="標準 38" xfId="1330"/>
    <cellStyle name="標準 39" xfId="1331"/>
    <cellStyle name="標準 39 2" xfId="1332"/>
    <cellStyle name="標準 39 3" xfId="1333"/>
    <cellStyle name="標準 4" xfId="1334"/>
    <cellStyle name="標準 4 2" xfId="1335"/>
    <cellStyle name="標準 4 2 2" xfId="1336"/>
    <cellStyle name="標準 4 2 2 2" xfId="1337"/>
    <cellStyle name="標準 4 2 2 3" xfId="1338"/>
    <cellStyle name="標準 4 2 3" xfId="1339"/>
    <cellStyle name="標準 4 3" xfId="1340"/>
    <cellStyle name="標準 4 3 2" xfId="1341"/>
    <cellStyle name="標準 4 3 3" xfId="1342"/>
    <cellStyle name="標準 4 4" xfId="1343"/>
    <cellStyle name="標準 4 4 2" xfId="1344"/>
    <cellStyle name="標準 4 4 3" xfId="1345"/>
    <cellStyle name="標準 4 5" xfId="1346"/>
    <cellStyle name="標準 4 6" xfId="1347"/>
    <cellStyle name="標準 4_20121011__1_F⇒O_【証拠金１本化】課題管理（清算）" xfId="1348"/>
    <cellStyle name="標準 40" xfId="1349"/>
    <cellStyle name="標準 41" xfId="1350"/>
    <cellStyle name="標準 42" xfId="1351"/>
    <cellStyle name="標準 43" xfId="1352"/>
    <cellStyle name="標準 44" xfId="1353"/>
    <cellStyle name="標準 45" xfId="1354"/>
    <cellStyle name="標準 46" xfId="1355"/>
    <cellStyle name="標準 47" xfId="1356"/>
    <cellStyle name="標準 48" xfId="1357"/>
    <cellStyle name="標準 49" xfId="1358"/>
    <cellStyle name="標準 5" xfId="1359"/>
    <cellStyle name="標準 5 2" xfId="1360"/>
    <cellStyle name="標準 5 2 2" xfId="1361"/>
    <cellStyle name="標準 5 2 2 2" xfId="1362"/>
    <cellStyle name="標準 5 2 2 3" xfId="1363"/>
    <cellStyle name="標準 5 2 3" xfId="1364"/>
    <cellStyle name="標準 5 2 3 2" xfId="1365"/>
    <cellStyle name="標準 5 2 3 3" xfId="1366"/>
    <cellStyle name="標準 5 3" xfId="1367"/>
    <cellStyle name="標準 5 4" xfId="1368"/>
    <cellStyle name="標準 5 4 2" xfId="1369"/>
    <cellStyle name="標準 5_バックアップセンタ_切替テストスケジュール_20120406~10" xfId="1370"/>
    <cellStyle name="標準 50" xfId="1371"/>
    <cellStyle name="標準 51" xfId="1372"/>
    <cellStyle name="標準 52" xfId="1373"/>
    <cellStyle name="標準 53" xfId="1374"/>
    <cellStyle name="標準 54" xfId="1375"/>
    <cellStyle name="標準 55" xfId="1376"/>
    <cellStyle name="標準 56" xfId="1377"/>
    <cellStyle name="標準 57" xfId="1378"/>
    <cellStyle name="標準 58" xfId="1379"/>
    <cellStyle name="標準 59" xfId="1380"/>
    <cellStyle name="標準 6" xfId="1381"/>
    <cellStyle name="標準 6 2" xfId="1382"/>
    <cellStyle name="標準 6 2 2" xfId="1383"/>
    <cellStyle name="標準 6 2 3" xfId="1384"/>
    <cellStyle name="標準 6 2 4" xfId="1385"/>
    <cellStyle name="標準 6 3" xfId="1386"/>
    <cellStyle name="標準 6_バックアップセンタ_切替テストスケジュール_20120406~10" xfId="1387"/>
    <cellStyle name="標準 60" xfId="1388"/>
    <cellStyle name="標準 61" xfId="1389"/>
    <cellStyle name="標準 62" xfId="1390"/>
    <cellStyle name="標準 63" xfId="1391"/>
    <cellStyle name="標準 64" xfId="1392"/>
    <cellStyle name="標準 65" xfId="1393"/>
    <cellStyle name="標準 66" xfId="1394"/>
    <cellStyle name="標準 67" xfId="1395"/>
    <cellStyle name="標準 68" xfId="1396"/>
    <cellStyle name="標準 69" xfId="1397"/>
    <cellStyle name="標準 69 2" xfId="1398"/>
    <cellStyle name="標準 69 2 2" xfId="1399"/>
    <cellStyle name="標準 69 2 2 2" xfId="1400"/>
    <cellStyle name="標準 69 2 2 3" xfId="1401"/>
    <cellStyle name="標準 69 2 2 4" xfId="1402"/>
    <cellStyle name="標準 69 2 3" xfId="1403"/>
    <cellStyle name="標準 69 2 4" xfId="1404"/>
    <cellStyle name="標準 69 2 5" xfId="1405"/>
    <cellStyle name="標準 69 3" xfId="1406"/>
    <cellStyle name="標準 69 3 2" xfId="1407"/>
    <cellStyle name="標準 69 3 3" xfId="1408"/>
    <cellStyle name="標準 69 3 4" xfId="1409"/>
    <cellStyle name="標準 69 4" xfId="1410"/>
    <cellStyle name="標準 69 5" xfId="1411"/>
    <cellStyle name="標準 69 6" xfId="1412"/>
    <cellStyle name="標準 69 7" xfId="1413"/>
    <cellStyle name="標準 69 8" xfId="1414"/>
    <cellStyle name="標準 7" xfId="1415"/>
    <cellStyle name="標準 7 2" xfId="1416"/>
    <cellStyle name="標準 7 2 2" xfId="1417"/>
    <cellStyle name="標準 7 2 3" xfId="1418"/>
    <cellStyle name="標準 7 3" xfId="1419"/>
    <cellStyle name="標準 7 3 2" xfId="1420"/>
    <cellStyle name="標準 7 3 3" xfId="1421"/>
    <cellStyle name="標準 7 4" xfId="1422"/>
    <cellStyle name="標準 7 4 2" xfId="1423"/>
    <cellStyle name="標準 7 4 3" xfId="1424"/>
    <cellStyle name="標準 7 5" xfId="1425"/>
    <cellStyle name="標準 70" xfId="1426"/>
    <cellStyle name="標準 70 2" xfId="1427"/>
    <cellStyle name="標準 70 2 2" xfId="1428"/>
    <cellStyle name="標準 70 2 2 2" xfId="1429"/>
    <cellStyle name="標準 70 2 2 3" xfId="1430"/>
    <cellStyle name="標準 70 2 2 4" xfId="1431"/>
    <cellStyle name="標準 70 2 3" xfId="1432"/>
    <cellStyle name="標準 70 2 4" xfId="1433"/>
    <cellStyle name="標準 70 2 5" xfId="1434"/>
    <cellStyle name="標準 70 3" xfId="1435"/>
    <cellStyle name="標準 70 3 2" xfId="1436"/>
    <cellStyle name="標準 70 3 3" xfId="1437"/>
    <cellStyle name="標準 70 3 4" xfId="1438"/>
    <cellStyle name="標準 70 4" xfId="1439"/>
    <cellStyle name="標準 70 5" xfId="1440"/>
    <cellStyle name="標準 70 6" xfId="1441"/>
    <cellStyle name="標準 70 7" xfId="1442"/>
    <cellStyle name="標準 70 8" xfId="1443"/>
    <cellStyle name="標準 71" xfId="1444"/>
    <cellStyle name="標準 71 2" xfId="1445"/>
    <cellStyle name="標準 71 2 2" xfId="1446"/>
    <cellStyle name="標準 71 2 2 2" xfId="1447"/>
    <cellStyle name="標準 71 2 2 3" xfId="1448"/>
    <cellStyle name="標準 71 2 2 4" xfId="1449"/>
    <cellStyle name="標準 71 2 3" xfId="1450"/>
    <cellStyle name="標準 71 2 4" xfId="1451"/>
    <cellStyle name="標準 71 2 5" xfId="1452"/>
    <cellStyle name="標準 71 3" xfId="1453"/>
    <cellStyle name="標準 71 3 2" xfId="1454"/>
    <cellStyle name="標準 71 3 3" xfId="1455"/>
    <cellStyle name="標準 71 3 4" xfId="1456"/>
    <cellStyle name="標準 71 4" xfId="1457"/>
    <cellStyle name="標準 71 5" xfId="1458"/>
    <cellStyle name="標準 71 6" xfId="1459"/>
    <cellStyle name="標準 71 7" xfId="1460"/>
    <cellStyle name="標準 71 8" xfId="1461"/>
    <cellStyle name="標準 72" xfId="1462"/>
    <cellStyle name="標準 72 2" xfId="1463"/>
    <cellStyle name="標準 72 2 2" xfId="1464"/>
    <cellStyle name="標準 72 2 2 2" xfId="1465"/>
    <cellStyle name="標準 72 2 2 3" xfId="1466"/>
    <cellStyle name="標準 72 2 2 4" xfId="1467"/>
    <cellStyle name="標準 72 2 3" xfId="1468"/>
    <cellStyle name="標準 72 2 4" xfId="1469"/>
    <cellStyle name="標準 72 2 5" xfId="1470"/>
    <cellStyle name="標準 72 3" xfId="1471"/>
    <cellStyle name="標準 72 3 2" xfId="1472"/>
    <cellStyle name="標準 72 3 3" xfId="1473"/>
    <cellStyle name="標準 72 3 4" xfId="1474"/>
    <cellStyle name="標準 72 4" xfId="1475"/>
    <cellStyle name="標準 72 5" xfId="1476"/>
    <cellStyle name="標準 72 6" xfId="1477"/>
    <cellStyle name="標準 72 7" xfId="1478"/>
    <cellStyle name="標準 72 8" xfId="1479"/>
    <cellStyle name="標準 73" xfId="1480"/>
    <cellStyle name="標準 73 2" xfId="1481"/>
    <cellStyle name="標準 73 2 2" xfId="1482"/>
    <cellStyle name="標準 73 2 2 2" xfId="1483"/>
    <cellStyle name="標準 73 2 2 3" xfId="1484"/>
    <cellStyle name="標準 73 2 2 4" xfId="1485"/>
    <cellStyle name="標準 73 2 3" xfId="1486"/>
    <cellStyle name="標準 73 2 4" xfId="1487"/>
    <cellStyle name="標準 73 2 5" xfId="1488"/>
    <cellStyle name="標準 73 3" xfId="1489"/>
    <cellStyle name="標準 73 3 2" xfId="1490"/>
    <cellStyle name="標準 73 3 3" xfId="1491"/>
    <cellStyle name="標準 73 3 4" xfId="1492"/>
    <cellStyle name="標準 73 4" xfId="1493"/>
    <cellStyle name="標準 73 5" xfId="1494"/>
    <cellStyle name="標準 73 6" xfId="1495"/>
    <cellStyle name="標準 74" xfId="1496"/>
    <cellStyle name="標準 74 2" xfId="1497"/>
    <cellStyle name="標準 74 2 2" xfId="1498"/>
    <cellStyle name="標準 74 2 2 2" xfId="1499"/>
    <cellStyle name="標準 74 2 2 3" xfId="1500"/>
    <cellStyle name="標準 74 2 2 4" xfId="1501"/>
    <cellStyle name="標準 74 2 3" xfId="1502"/>
    <cellStyle name="標準 74 2 4" xfId="1503"/>
    <cellStyle name="標準 74 2 5" xfId="1504"/>
    <cellStyle name="標準 74 3" xfId="1505"/>
    <cellStyle name="標準 74 3 2" xfId="1506"/>
    <cellStyle name="標準 74 3 3" xfId="1507"/>
    <cellStyle name="標準 74 3 4" xfId="1508"/>
    <cellStyle name="標準 74 4" xfId="1509"/>
    <cellStyle name="標準 74 5" xfId="1510"/>
    <cellStyle name="標準 74 6" xfId="1511"/>
    <cellStyle name="標準 75" xfId="1512"/>
    <cellStyle name="標準 75 2" xfId="1513"/>
    <cellStyle name="標準 75 2 2" xfId="1514"/>
    <cellStyle name="標準 75 2 2 2" xfId="1515"/>
    <cellStyle name="標準 75 2 2 3" xfId="1516"/>
    <cellStyle name="標準 75 2 2 4" xfId="1517"/>
    <cellStyle name="標準 75 2 3" xfId="1518"/>
    <cellStyle name="標準 75 2 4" xfId="1519"/>
    <cellStyle name="標準 75 2 5" xfId="1520"/>
    <cellStyle name="標準 75 3" xfId="1521"/>
    <cellStyle name="標準 75 3 2" xfId="1522"/>
    <cellStyle name="標準 75 3 3" xfId="1523"/>
    <cellStyle name="標準 75 3 4" xfId="1524"/>
    <cellStyle name="標準 75 4" xfId="1525"/>
    <cellStyle name="標準 75 5" xfId="1526"/>
    <cellStyle name="標準 75 6" xfId="1527"/>
    <cellStyle name="標準 76" xfId="1528"/>
    <cellStyle name="標準 76 2" xfId="1529"/>
    <cellStyle name="標準 76 2 2" xfId="1530"/>
    <cellStyle name="標準 76 2 2 2" xfId="1531"/>
    <cellStyle name="標準 76 2 2 3" xfId="1532"/>
    <cellStyle name="標準 76 2 2 4" xfId="1533"/>
    <cellStyle name="標準 76 2 3" xfId="1534"/>
    <cellStyle name="標準 76 2 4" xfId="1535"/>
    <cellStyle name="標準 76 2 5" xfId="1536"/>
    <cellStyle name="標準 76 3" xfId="1537"/>
    <cellStyle name="標準 76 3 2" xfId="1538"/>
    <cellStyle name="標準 76 3 3" xfId="1539"/>
    <cellStyle name="標準 76 3 4" xfId="1540"/>
    <cellStyle name="標準 76 4" xfId="1541"/>
    <cellStyle name="標準 76 5" xfId="1542"/>
    <cellStyle name="標準 76 6" xfId="1543"/>
    <cellStyle name="標準 77" xfId="1544"/>
    <cellStyle name="標準 77 2" xfId="1545"/>
    <cellStyle name="標準 77 2 2" xfId="1546"/>
    <cellStyle name="標準 77 2 2 2" xfId="1547"/>
    <cellStyle name="標準 77 2 2 3" xfId="1548"/>
    <cellStyle name="標準 77 2 2 4" xfId="1549"/>
    <cellStyle name="標準 77 2 3" xfId="1550"/>
    <cellStyle name="標準 77 2 4" xfId="1551"/>
    <cellStyle name="標準 77 2 5" xfId="1552"/>
    <cellStyle name="標準 77 3" xfId="1553"/>
    <cellStyle name="標準 77 3 2" xfId="1554"/>
    <cellStyle name="標準 77 3 3" xfId="1555"/>
    <cellStyle name="標準 77 3 4" xfId="1556"/>
    <cellStyle name="標準 77 4" xfId="1557"/>
    <cellStyle name="標準 77 5" xfId="1558"/>
    <cellStyle name="標準 77 6" xfId="1559"/>
    <cellStyle name="標準 78" xfId="1560"/>
    <cellStyle name="標準 78 2" xfId="1561"/>
    <cellStyle name="標準 78 2 2" xfId="1562"/>
    <cellStyle name="標準 78 2 2 2" xfId="1563"/>
    <cellStyle name="標準 78 2 2 3" xfId="1564"/>
    <cellStyle name="標準 78 2 2 4" xfId="1565"/>
    <cellStyle name="標準 78 2 3" xfId="1566"/>
    <cellStyle name="標準 78 2 4" xfId="1567"/>
    <cellStyle name="標準 78 2 5" xfId="1568"/>
    <cellStyle name="標準 78 3" xfId="1569"/>
    <cellStyle name="標準 78 3 2" xfId="1570"/>
    <cellStyle name="標準 78 3 3" xfId="1571"/>
    <cellStyle name="標準 78 3 4" xfId="1572"/>
    <cellStyle name="標準 78 4" xfId="1573"/>
    <cellStyle name="標準 78 5" xfId="1574"/>
    <cellStyle name="標準 78 6" xfId="1575"/>
    <cellStyle name="標準 79" xfId="1576"/>
    <cellStyle name="標準 79 2" xfId="1577"/>
    <cellStyle name="標準 79 2 2" xfId="1578"/>
    <cellStyle name="標準 79 2 2 2" xfId="1579"/>
    <cellStyle name="標準 79 2 2 3" xfId="1580"/>
    <cellStyle name="標準 79 2 2 4" xfId="1581"/>
    <cellStyle name="標準 79 2 3" xfId="1582"/>
    <cellStyle name="標準 79 2 4" xfId="1583"/>
    <cellStyle name="標準 79 2 5" xfId="1584"/>
    <cellStyle name="標準 79 3" xfId="1585"/>
    <cellStyle name="標準 79 3 2" xfId="1586"/>
    <cellStyle name="標準 79 3 3" xfId="1587"/>
    <cellStyle name="標準 79 3 4" xfId="1588"/>
    <cellStyle name="標準 79 4" xfId="1589"/>
    <cellStyle name="標準 79 5" xfId="1590"/>
    <cellStyle name="標準 79 6" xfId="1591"/>
    <cellStyle name="標準 8" xfId="1592"/>
    <cellStyle name="標準 8 2" xfId="1593"/>
    <cellStyle name="標準 8 3" xfId="1594"/>
    <cellStyle name="標準 8 4" xfId="1595"/>
    <cellStyle name="標準 8 5" xfId="1596"/>
    <cellStyle name="標準 8 6" xfId="1597"/>
    <cellStyle name="標準 80" xfId="1598"/>
    <cellStyle name="標準 80 2" xfId="1599"/>
    <cellStyle name="標準 80 2 2" xfId="1600"/>
    <cellStyle name="標準 80 2 2 2" xfId="1601"/>
    <cellStyle name="標準 80 2 2 3" xfId="1602"/>
    <cellStyle name="標準 80 2 2 4" xfId="1603"/>
    <cellStyle name="標準 80 2 3" xfId="1604"/>
    <cellStyle name="標準 80 2 4" xfId="1605"/>
    <cellStyle name="標準 80 2 5" xfId="1606"/>
    <cellStyle name="標準 80 3" xfId="1607"/>
    <cellStyle name="標準 80 3 2" xfId="1608"/>
    <cellStyle name="標準 80 3 3" xfId="1609"/>
    <cellStyle name="標準 80 3 4" xfId="1610"/>
    <cellStyle name="標準 80 4" xfId="1611"/>
    <cellStyle name="標準 80 5" xfId="1612"/>
    <cellStyle name="標準 80 6" xfId="1613"/>
    <cellStyle name="標準 81" xfId="1614"/>
    <cellStyle name="標準 81 2" xfId="1615"/>
    <cellStyle name="標準 81 2 2" xfId="1616"/>
    <cellStyle name="標準 81 2 2 2" xfId="1617"/>
    <cellStyle name="標準 81 2 2 3" xfId="1618"/>
    <cellStyle name="標準 81 2 2 4" xfId="1619"/>
    <cellStyle name="標準 81 2 3" xfId="1620"/>
    <cellStyle name="標準 81 2 4" xfId="1621"/>
    <cellStyle name="標準 81 2 5" xfId="1622"/>
    <cellStyle name="標準 81 3" xfId="1623"/>
    <cellStyle name="標準 81 3 2" xfId="1624"/>
    <cellStyle name="標準 81 3 3" xfId="1625"/>
    <cellStyle name="標準 81 3 4" xfId="1626"/>
    <cellStyle name="標準 81 4" xfId="1627"/>
    <cellStyle name="標準 81 5" xfId="1628"/>
    <cellStyle name="標準 81 6" xfId="1629"/>
    <cellStyle name="標準 82" xfId="1630"/>
    <cellStyle name="標準 82 2" xfId="1631"/>
    <cellStyle name="標準 82 2 2" xfId="1632"/>
    <cellStyle name="標準 82 2 2 2" xfId="1633"/>
    <cellStyle name="標準 82 2 2 3" xfId="1634"/>
    <cellStyle name="標準 82 2 2 4" xfId="1635"/>
    <cellStyle name="標準 82 2 3" xfId="1636"/>
    <cellStyle name="標準 82 2 4" xfId="1637"/>
    <cellStyle name="標準 82 2 5" xfId="1638"/>
    <cellStyle name="標準 82 3" xfId="1639"/>
    <cellStyle name="標準 82 3 2" xfId="1640"/>
    <cellStyle name="標準 82 3 3" xfId="1641"/>
    <cellStyle name="標準 82 3 4" xfId="1642"/>
    <cellStyle name="標準 82 4" xfId="1643"/>
    <cellStyle name="標準 82 5" xfId="1644"/>
    <cellStyle name="標準 82 6" xfId="1645"/>
    <cellStyle name="標準 83" xfId="1646"/>
    <cellStyle name="標準 83 2" xfId="1647"/>
    <cellStyle name="標準 83 2 2" xfId="1648"/>
    <cellStyle name="標準 83 2 2 2" xfId="1649"/>
    <cellStyle name="標準 83 2 2 3" xfId="1650"/>
    <cellStyle name="標準 83 2 2 4" xfId="1651"/>
    <cellStyle name="標準 83 2 3" xfId="1652"/>
    <cellStyle name="標準 83 2 4" xfId="1653"/>
    <cellStyle name="標準 83 2 5" xfId="1654"/>
    <cellStyle name="標準 83 3" xfId="1655"/>
    <cellStyle name="標準 83 3 2" xfId="1656"/>
    <cellStyle name="標準 83 3 3" xfId="1657"/>
    <cellStyle name="標準 83 3 4" xfId="1658"/>
    <cellStyle name="標準 83 4" xfId="1659"/>
    <cellStyle name="標準 83 5" xfId="1660"/>
    <cellStyle name="標準 83 6" xfId="1661"/>
    <cellStyle name="標準 84" xfId="1662"/>
    <cellStyle name="標準 84 2" xfId="1663"/>
    <cellStyle name="標準 84 2 2" xfId="1664"/>
    <cellStyle name="標準 84 2 2 2" xfId="1665"/>
    <cellStyle name="標準 84 2 2 3" xfId="1666"/>
    <cellStyle name="標準 84 2 2 4" xfId="1667"/>
    <cellStyle name="標準 84 2 3" xfId="1668"/>
    <cellStyle name="標準 84 2 4" xfId="1669"/>
    <cellStyle name="標準 84 2 5" xfId="1670"/>
    <cellStyle name="標準 84 3" xfId="1671"/>
    <cellStyle name="標準 84 3 2" xfId="1672"/>
    <cellStyle name="標準 84 3 3" xfId="1673"/>
    <cellStyle name="標準 84 3 4" xfId="1674"/>
    <cellStyle name="標準 84 4" xfId="1675"/>
    <cellStyle name="標準 84 5" xfId="1676"/>
    <cellStyle name="標準 84 6" xfId="1677"/>
    <cellStyle name="標準 85" xfId="1678"/>
    <cellStyle name="標準 85 2" xfId="1679"/>
    <cellStyle name="標準 85 2 2" xfId="1680"/>
    <cellStyle name="標準 85 2 2 2" xfId="1681"/>
    <cellStyle name="標準 85 2 2 3" xfId="1682"/>
    <cellStyle name="標準 85 2 2 4" xfId="1683"/>
    <cellStyle name="標準 85 2 3" xfId="1684"/>
    <cellStyle name="標準 85 2 4" xfId="1685"/>
    <cellStyle name="標準 85 2 5" xfId="1686"/>
    <cellStyle name="標準 85 3" xfId="1687"/>
    <cellStyle name="標準 85 3 2" xfId="1688"/>
    <cellStyle name="標準 85 3 3" xfId="1689"/>
    <cellStyle name="標準 85 3 4" xfId="1690"/>
    <cellStyle name="標準 85 4" xfId="1691"/>
    <cellStyle name="標準 85 5" xfId="1692"/>
    <cellStyle name="標準 85 6" xfId="1693"/>
    <cellStyle name="標準 86" xfId="1694"/>
    <cellStyle name="標準 86 2" xfId="1695"/>
    <cellStyle name="標準 86 2 2" xfId="1696"/>
    <cellStyle name="標準 86 2 2 2" xfId="1697"/>
    <cellStyle name="標準 86 2 2 3" xfId="1698"/>
    <cellStyle name="標準 86 2 2 4" xfId="1699"/>
    <cellStyle name="標準 86 2 3" xfId="1700"/>
    <cellStyle name="標準 86 2 4" xfId="1701"/>
    <cellStyle name="標準 86 2 5" xfId="1702"/>
    <cellStyle name="標準 86 3" xfId="1703"/>
    <cellStyle name="標準 86 3 2" xfId="1704"/>
    <cellStyle name="標準 86 3 3" xfId="1705"/>
    <cellStyle name="標準 86 3 4" xfId="1706"/>
    <cellStyle name="標準 86 4" xfId="1707"/>
    <cellStyle name="標準 86 5" xfId="1708"/>
    <cellStyle name="標準 86 6" xfId="1709"/>
    <cellStyle name="標準 87" xfId="1710"/>
    <cellStyle name="標準 87 2" xfId="1711"/>
    <cellStyle name="標準 87 2 2" xfId="1712"/>
    <cellStyle name="標準 87 2 2 2" xfId="1713"/>
    <cellStyle name="標準 87 2 2 3" xfId="1714"/>
    <cellStyle name="標準 87 2 2 4" xfId="1715"/>
    <cellStyle name="標準 87 2 3" xfId="1716"/>
    <cellStyle name="標準 87 2 4" xfId="1717"/>
    <cellStyle name="標準 87 2 5" xfId="1718"/>
    <cellStyle name="標準 87 3" xfId="1719"/>
    <cellStyle name="標準 87 3 2" xfId="1720"/>
    <cellStyle name="標準 87 3 3" xfId="1721"/>
    <cellStyle name="標準 87 3 4" xfId="1722"/>
    <cellStyle name="標準 87 4" xfId="1723"/>
    <cellStyle name="標準 87 5" xfId="1724"/>
    <cellStyle name="標準 87 6" xfId="1725"/>
    <cellStyle name="標準 88" xfId="1726"/>
    <cellStyle name="標準 88 2" xfId="1727"/>
    <cellStyle name="標準 88 2 2" xfId="1728"/>
    <cellStyle name="標準 88 2 2 2" xfId="1729"/>
    <cellStyle name="標準 88 2 2 3" xfId="1730"/>
    <cellStyle name="標準 88 2 2 4" xfId="1731"/>
    <cellStyle name="標準 88 2 3" xfId="1732"/>
    <cellStyle name="標準 88 2 4" xfId="1733"/>
    <cellStyle name="標準 88 2 5" xfId="1734"/>
    <cellStyle name="標準 88 3" xfId="1735"/>
    <cellStyle name="標準 88 3 2" xfId="1736"/>
    <cellStyle name="標準 88 3 3" xfId="1737"/>
    <cellStyle name="標準 88 3 4" xfId="1738"/>
    <cellStyle name="標準 88 4" xfId="1739"/>
    <cellStyle name="標準 88 5" xfId="1740"/>
    <cellStyle name="標準 88 6" xfId="1741"/>
    <cellStyle name="標準 89" xfId="1742"/>
    <cellStyle name="標準 89 2" xfId="1743"/>
    <cellStyle name="標準 89 2 2" xfId="1744"/>
    <cellStyle name="標準 89 2 2 2" xfId="1745"/>
    <cellStyle name="標準 89 2 2 3" xfId="1746"/>
    <cellStyle name="標準 89 2 2 4" xfId="1747"/>
    <cellStyle name="標準 89 2 3" xfId="1748"/>
    <cellStyle name="標準 89 2 4" xfId="1749"/>
    <cellStyle name="標準 89 2 5" xfId="1750"/>
    <cellStyle name="標準 89 3" xfId="1751"/>
    <cellStyle name="標準 89 3 2" xfId="1752"/>
    <cellStyle name="標準 89 3 3" xfId="1753"/>
    <cellStyle name="標準 89 3 4" xfId="1754"/>
    <cellStyle name="標準 89 4" xfId="1755"/>
    <cellStyle name="標準 89 5" xfId="1756"/>
    <cellStyle name="標準 89 6" xfId="1757"/>
    <cellStyle name="標準 9" xfId="1758"/>
    <cellStyle name="標準 9 2" xfId="1759"/>
    <cellStyle name="標準 9 3" xfId="1760"/>
    <cellStyle name="標準 90" xfId="1761"/>
    <cellStyle name="標準 90 2" xfId="1762"/>
    <cellStyle name="標準 90 2 2" xfId="1763"/>
    <cellStyle name="標準 90 2 2 2" xfId="1764"/>
    <cellStyle name="標準 90 2 2 3" xfId="1765"/>
    <cellStyle name="標準 90 2 2 4" xfId="1766"/>
    <cellStyle name="標準 90 2 3" xfId="1767"/>
    <cellStyle name="標準 90 2 4" xfId="1768"/>
    <cellStyle name="標準 90 2 5" xfId="1769"/>
    <cellStyle name="標準 90 3" xfId="1770"/>
    <cellStyle name="標準 90 3 2" xfId="1771"/>
    <cellStyle name="標準 90 3 3" xfId="1772"/>
    <cellStyle name="標準 90 3 4" xfId="1773"/>
    <cellStyle name="標準 90 4" xfId="1774"/>
    <cellStyle name="標準 90 5" xfId="1775"/>
    <cellStyle name="標準 90 6" xfId="1776"/>
    <cellStyle name="標準 91" xfId="1777"/>
    <cellStyle name="標準 91 2" xfId="1778"/>
    <cellStyle name="標準 91 2 2" xfId="1779"/>
    <cellStyle name="標準 91 2 2 2" xfId="1780"/>
    <cellStyle name="標準 91 2 2 3" xfId="1781"/>
    <cellStyle name="標準 91 2 2 4" xfId="1782"/>
    <cellStyle name="標準 91 2 3" xfId="1783"/>
    <cellStyle name="標準 91 2 4" xfId="1784"/>
    <cellStyle name="標準 91 2 5" xfId="1785"/>
    <cellStyle name="標準 91 3" xfId="1786"/>
    <cellStyle name="標準 91 3 2" xfId="1787"/>
    <cellStyle name="標準 91 3 3" xfId="1788"/>
    <cellStyle name="標準 91 3 4" xfId="1789"/>
    <cellStyle name="標準 91 4" xfId="1790"/>
    <cellStyle name="標準 91 5" xfId="1791"/>
    <cellStyle name="標準 91 6" xfId="1792"/>
    <cellStyle name="標準 92" xfId="1793"/>
    <cellStyle name="標準 92 2" xfId="1794"/>
    <cellStyle name="標準 92 2 2" xfId="1795"/>
    <cellStyle name="標準 92 2 2 2" xfId="1796"/>
    <cellStyle name="標準 92 2 2 3" xfId="1797"/>
    <cellStyle name="標準 92 2 2 4" xfId="1798"/>
    <cellStyle name="標準 92 2 3" xfId="1799"/>
    <cellStyle name="標準 92 2 4" xfId="1800"/>
    <cellStyle name="標準 92 2 5" xfId="1801"/>
    <cellStyle name="標準 92 3" xfId="1802"/>
    <cellStyle name="標準 92 3 2" xfId="1803"/>
    <cellStyle name="標準 92 3 3" xfId="1804"/>
    <cellStyle name="標準 92 3 4" xfId="1805"/>
    <cellStyle name="標準 92 4" xfId="1806"/>
    <cellStyle name="標準 92 5" xfId="1807"/>
    <cellStyle name="標準 92 6" xfId="1808"/>
    <cellStyle name="標準 93" xfId="1809"/>
    <cellStyle name="標準 93 2" xfId="1810"/>
    <cellStyle name="標準 93 2 2" xfId="1811"/>
    <cellStyle name="標準 93 2 2 2" xfId="1812"/>
    <cellStyle name="標準 93 2 2 3" xfId="1813"/>
    <cellStyle name="標準 93 2 2 4" xfId="1814"/>
    <cellStyle name="標準 93 2 3" xfId="1815"/>
    <cellStyle name="標準 93 2 4" xfId="1816"/>
    <cellStyle name="標準 93 2 5" xfId="1817"/>
    <cellStyle name="標準 93 3" xfId="1818"/>
    <cellStyle name="標準 93 3 2" xfId="1819"/>
    <cellStyle name="標準 93 3 3" xfId="1820"/>
    <cellStyle name="標準 93 3 4" xfId="1821"/>
    <cellStyle name="標準 93 4" xfId="1822"/>
    <cellStyle name="標準 93 5" xfId="1823"/>
    <cellStyle name="標準 93 6" xfId="1824"/>
    <cellStyle name="標準 94" xfId="1825"/>
    <cellStyle name="標準 94 2" xfId="1826"/>
    <cellStyle name="標準 94 2 2" xfId="1827"/>
    <cellStyle name="標準 94 2 2 2" xfId="1828"/>
    <cellStyle name="標準 94 2 2 3" xfId="1829"/>
    <cellStyle name="標準 94 2 2 4" xfId="1830"/>
    <cellStyle name="標準 94 2 3" xfId="1831"/>
    <cellStyle name="標準 94 2 4" xfId="1832"/>
    <cellStyle name="標準 94 2 5" xfId="1833"/>
    <cellStyle name="標準 94 3" xfId="1834"/>
    <cellStyle name="標準 94 3 2" xfId="1835"/>
    <cellStyle name="標準 94 3 3" xfId="1836"/>
    <cellStyle name="標準 94 3 4" xfId="1837"/>
    <cellStyle name="標準 94 4" xfId="1838"/>
    <cellStyle name="標準 94 5" xfId="1839"/>
    <cellStyle name="標準 94 6" xfId="1840"/>
    <cellStyle name="標準 95" xfId="1841"/>
    <cellStyle name="標準 95 2" xfId="1842"/>
    <cellStyle name="標準 95 2 2" xfId="1843"/>
    <cellStyle name="標準 95 2 2 2" xfId="1844"/>
    <cellStyle name="標準 95 2 2 3" xfId="1845"/>
    <cellStyle name="標準 95 2 2 4" xfId="1846"/>
    <cellStyle name="標準 95 2 3" xfId="1847"/>
    <cellStyle name="標準 95 2 4" xfId="1848"/>
    <cellStyle name="標準 95 2 5" xfId="1849"/>
    <cellStyle name="標準 95 3" xfId="1850"/>
    <cellStyle name="標準 95 3 2" xfId="1851"/>
    <cellStyle name="標準 95 3 3" xfId="1852"/>
    <cellStyle name="標準 95 3 4" xfId="1853"/>
    <cellStyle name="標準 95 4" xfId="1854"/>
    <cellStyle name="標準 95 5" xfId="1855"/>
    <cellStyle name="標準 95 6" xfId="1856"/>
    <cellStyle name="標準 96" xfId="1857"/>
    <cellStyle name="標準 96 2" xfId="1858"/>
    <cellStyle name="標準 96 2 2" xfId="1859"/>
    <cellStyle name="標準 96 2 2 2" xfId="1860"/>
    <cellStyle name="標準 96 2 2 3" xfId="1861"/>
    <cellStyle name="標準 96 2 2 4" xfId="1862"/>
    <cellStyle name="標準 96 2 3" xfId="1863"/>
    <cellStyle name="標準 96 2 4" xfId="1864"/>
    <cellStyle name="標準 96 2 5" xfId="1865"/>
    <cellStyle name="標準 96 3" xfId="1866"/>
    <cellStyle name="標準 96 3 2" xfId="1867"/>
    <cellStyle name="標準 96 3 3" xfId="1868"/>
    <cellStyle name="標準 96 3 4" xfId="1869"/>
    <cellStyle name="標準 96 4" xfId="1870"/>
    <cellStyle name="標準 96 5" xfId="1871"/>
    <cellStyle name="標準 96 6" xfId="1872"/>
    <cellStyle name="標準 97" xfId="1873"/>
    <cellStyle name="標準 97 2" xfId="1874"/>
    <cellStyle name="標準 97 2 2" xfId="1875"/>
    <cellStyle name="標準 97 2 2 2" xfId="1876"/>
    <cellStyle name="標準 97 2 2 3" xfId="1877"/>
    <cellStyle name="標準 97 2 2 4" xfId="1878"/>
    <cellStyle name="標準 97 2 3" xfId="1879"/>
    <cellStyle name="標準 97 2 4" xfId="1880"/>
    <cellStyle name="標準 97 2 5" xfId="1881"/>
    <cellStyle name="標準 97 3" xfId="1882"/>
    <cellStyle name="標準 97 3 2" xfId="1883"/>
    <cellStyle name="標準 97 3 3" xfId="1884"/>
    <cellStyle name="標準 97 3 4" xfId="1885"/>
    <cellStyle name="標準 97 4" xfId="1886"/>
    <cellStyle name="標準 97 5" xfId="1887"/>
    <cellStyle name="標準 97 6" xfId="1888"/>
    <cellStyle name="標準 98" xfId="1889"/>
    <cellStyle name="標準 98 2" xfId="1890"/>
    <cellStyle name="標準 98 2 2" xfId="1891"/>
    <cellStyle name="標準 98 2 2 2" xfId="1892"/>
    <cellStyle name="標準 98 2 2 3" xfId="1893"/>
    <cellStyle name="標準 98 2 2 4" xfId="1894"/>
    <cellStyle name="標準 98 2 3" xfId="1895"/>
    <cellStyle name="標準 98 2 4" xfId="1896"/>
    <cellStyle name="標準 98 2 5" xfId="1897"/>
    <cellStyle name="標準 98 3" xfId="1898"/>
    <cellStyle name="標準 98 3 2" xfId="1899"/>
    <cellStyle name="標準 98 3 3" xfId="1900"/>
    <cellStyle name="標準 98 3 4" xfId="1901"/>
    <cellStyle name="標準 98 4" xfId="1902"/>
    <cellStyle name="標準 98 5" xfId="1903"/>
    <cellStyle name="標準 98 6" xfId="1904"/>
    <cellStyle name="標準 99" xfId="1905"/>
    <cellStyle name="標準 99 2" xfId="1906"/>
    <cellStyle name="標準 99 2 2" xfId="1907"/>
    <cellStyle name="標準 99 2 2 2" xfId="1908"/>
    <cellStyle name="標準 99 2 2 3" xfId="1909"/>
    <cellStyle name="標準 99 2 2 4" xfId="1910"/>
    <cellStyle name="標準 99 2 3" xfId="1911"/>
    <cellStyle name="標準 99 2 4" xfId="1912"/>
    <cellStyle name="標準 99 2 5" xfId="1913"/>
    <cellStyle name="標準 99 3" xfId="1914"/>
    <cellStyle name="標準 99 3 2" xfId="1915"/>
    <cellStyle name="標準 99 3 3" xfId="1916"/>
    <cellStyle name="標準 99 3 4" xfId="1917"/>
    <cellStyle name="標準 99 4" xfId="1918"/>
    <cellStyle name="標準 99 5" xfId="1919"/>
    <cellStyle name="標準 99 6" xfId="1920"/>
    <cellStyle name="標準１" xfId="1921"/>
    <cellStyle name="標準10" xfId="1922"/>
    <cellStyle name="標準12" xfId="1923"/>
    <cellStyle name="文字列" xfId="1924"/>
    <cellStyle name="未定義" xfId="1925"/>
    <cellStyle name="未定義 2" xfId="1926"/>
    <cellStyle name="未定義 3" xfId="1927"/>
    <cellStyle name="未定義_030_上場有価証券総括表_詳細設計書_府令改正対応" xfId="1928"/>
    <cellStyle name="良い 2" xfId="1929"/>
    <cellStyle name="良い 3" xfId="1930"/>
    <cellStyle name="良い 4" xfId="1931"/>
    <cellStyle name="良い 5" xfId="1932"/>
    <cellStyle name="良い 6" xfId="1933"/>
    <cellStyle name="良い 7" xfId="1934"/>
    <cellStyle name="良い 8" xfId="1935"/>
    <cellStyle name="良い 9" xfId="1936"/>
    <cellStyle name="표준_4.3.1_取引処理（取引処理制御１－１）" xfId="1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55"/>
  <sheetViews>
    <sheetView showGridLines="0" tabSelected="1" view="pageBreakPreview" zoomScaleNormal="70" zoomScaleSheetLayoutView="100" workbookViewId="0">
      <pane ySplit="6" topLeftCell="A7" activePane="bottomLeft" state="frozen"/>
      <selection pane="bottomLeft" activeCell="A7" sqref="A7"/>
    </sheetView>
  </sheetViews>
  <sheetFormatPr defaultRowHeight="13.5"/>
  <cols>
    <col min="1" max="1" bestFit="true" customWidth="true" style="1" width="13.125" collapsed="false"/>
    <col min="2" max="2" bestFit="true" customWidth="true" style="1" width="10.75" collapsed="false"/>
    <col min="3" max="4" bestFit="true" customWidth="true" style="1" width="59.625" collapsed="false"/>
    <col min="5" max="5" bestFit="true" customWidth="true" style="3" width="13.75" collapsed="false"/>
    <col min="6" max="6" bestFit="true" customWidth="true" style="3" width="20.75" collapsed="false"/>
    <col min="7" max="7" customWidth="true" style="3" width="11.25" collapsed="false"/>
    <col min="8" max="8" bestFit="true" customWidth="true" style="1" width="8.75" collapsed="false"/>
    <col min="9" max="9" bestFit="true" customWidth="true" style="1" width="11.75" collapsed="false"/>
    <col min="10" max="10" bestFit="true" customWidth="true" style="1" width="12.625" collapsed="false"/>
    <col min="11" max="11" customWidth="true" style="1" width="16.25" collapsed="false"/>
    <col min="12" max="12" bestFit="true" customWidth="true" style="1" width="5.625" collapsed="false"/>
    <col min="13" max="13" customWidth="true" style="1" width="16.25" collapsed="false"/>
    <col min="14" max="14" bestFit="true" customWidth="true" style="1" width="5.625" collapsed="false"/>
    <col min="15" max="15" customWidth="true" style="1" width="16.25" collapsed="false"/>
    <col min="16" max="16" bestFit="true" customWidth="true" style="1" width="5.625" collapsed="false"/>
    <col min="17" max="17" customWidth="true" style="1" width="16.25" collapsed="false"/>
    <col min="18" max="18" bestFit="true" customWidth="true" style="1" width="5.625" collapsed="false"/>
    <col min="19" max="19" bestFit="true" customWidth="true" style="1" width="23.875" collapsed="false"/>
    <col min="20" max="20" customWidth="true" style="1" width="16.25" collapsed="false"/>
    <col min="21" max="21" bestFit="true" customWidth="true" style="1" width="26.125" collapsed="false"/>
    <col min="22" max="22" bestFit="true" customWidth="true" style="1" width="19.875" collapsed="false"/>
    <col min="23" max="23" bestFit="true" customWidth="true" style="1" width="25.0" collapsed="false"/>
    <col min="24" max="24" bestFit="true" customWidth="true" style="1" width="13.125" collapsed="false"/>
    <col min="25" max="16384" style="1" width="9.0" collapsed="false"/>
  </cols>
  <sheetData>
    <row r="1" spans="1:24" ht="13.5" customHeight="1">
      <c r="A1" s="4"/>
      <c r="B1" s="5"/>
      <c r="C1" s="5"/>
      <c r="D1" s="5"/>
      <c r="E1" s="6"/>
      <c r="F1" s="6"/>
      <c r="G1" s="6"/>
      <c r="H1" s="5"/>
      <c r="I1" s="5"/>
      <c r="J1" s="5"/>
      <c r="K1" s="5"/>
      <c r="L1" s="5"/>
      <c r="M1" s="5"/>
      <c r="N1" s="37" t="s">
        <v>0</v>
      </c>
      <c r="O1" s="37"/>
      <c r="P1" s="37"/>
      <c r="Q1" s="37"/>
      <c r="R1" s="37"/>
      <c r="S1" s="37"/>
      <c r="T1" s="37"/>
      <c r="U1" s="37"/>
      <c r="V1" s="37"/>
      <c r="W1" s="37"/>
      <c r="X1" s="38"/>
    </row>
    <row r="2" spans="1:24" ht="99" customHeight="1">
      <c r="A2" s="43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39"/>
      <c r="O2" s="39"/>
      <c r="P2" s="39"/>
      <c r="Q2" s="39"/>
      <c r="R2" s="39"/>
      <c r="S2" s="39"/>
      <c r="T2" s="39"/>
      <c r="U2" s="39"/>
      <c r="V2" s="39"/>
      <c r="W2" s="39"/>
      <c r="X2" s="40"/>
    </row>
    <row r="3" spans="1:24" ht="39" customHeight="1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1"/>
      <c r="O3" s="41"/>
      <c r="P3" s="41"/>
      <c r="Q3" s="41"/>
      <c r="R3" s="41"/>
      <c r="S3" s="41"/>
      <c r="T3" s="41"/>
      <c r="U3" s="41"/>
      <c r="V3" s="41"/>
      <c r="W3" s="41"/>
      <c r="X3" s="42"/>
    </row>
    <row r="4" spans="1:24" s="2" customFormat="1" ht="13.5" customHeight="1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7" t="s">
        <v>10</v>
      </c>
      <c r="I4" s="7" t="s">
        <v>11</v>
      </c>
      <c r="J4" s="7" t="s">
        <v>12</v>
      </c>
      <c r="K4" s="11" t="s">
        <v>13</v>
      </c>
      <c r="L4" s="10" t="s">
        <v>9</v>
      </c>
      <c r="M4" s="11" t="s">
        <v>14</v>
      </c>
      <c r="N4" s="10" t="s">
        <v>9</v>
      </c>
      <c r="O4" s="11" t="s">
        <v>15</v>
      </c>
      <c r="P4" s="10" t="s">
        <v>9</v>
      </c>
      <c r="Q4" s="11" t="s">
        <v>16</v>
      </c>
      <c r="R4" s="10" t="s">
        <v>9</v>
      </c>
      <c r="S4" s="7" t="s">
        <v>17</v>
      </c>
      <c r="T4" s="7" t="s">
        <v>18</v>
      </c>
      <c r="U4" s="12" t="s">
        <v>19</v>
      </c>
      <c r="V4" s="7" t="s">
        <v>20</v>
      </c>
      <c r="W4" s="7" t="s">
        <v>21</v>
      </c>
      <c r="X4" s="7" t="s">
        <v>22</v>
      </c>
    </row>
    <row r="5" spans="1:24">
      <c r="A5" s="13" t="s">
        <v>23</v>
      </c>
      <c r="B5" s="13" t="s">
        <v>24</v>
      </c>
      <c r="C5" s="13"/>
      <c r="D5" s="13"/>
      <c r="E5" s="14"/>
      <c r="F5" s="15"/>
      <c r="G5" s="16" t="s">
        <v>25</v>
      </c>
      <c r="H5" s="17" t="s">
        <v>26</v>
      </c>
      <c r="I5" s="17" t="s">
        <v>27</v>
      </c>
      <c r="J5" s="17" t="s">
        <v>28</v>
      </c>
      <c r="K5" s="18" t="s">
        <v>29</v>
      </c>
      <c r="L5" s="16" t="s">
        <v>25</v>
      </c>
      <c r="M5" s="18" t="s">
        <v>30</v>
      </c>
      <c r="N5" s="16" t="s">
        <v>25</v>
      </c>
      <c r="O5" s="18" t="s">
        <v>31</v>
      </c>
      <c r="P5" s="16" t="s">
        <v>25</v>
      </c>
      <c r="Q5" s="18" t="s">
        <v>32</v>
      </c>
      <c r="R5" s="16" t="s">
        <v>25</v>
      </c>
      <c r="S5" s="19" t="s">
        <v>33</v>
      </c>
      <c r="T5" s="19" t="s">
        <v>34</v>
      </c>
      <c r="U5" s="19" t="s">
        <v>35</v>
      </c>
      <c r="V5" s="19" t="s">
        <v>36</v>
      </c>
      <c r="W5" s="19" t="s">
        <v>37</v>
      </c>
      <c r="X5" s="19" t="s">
        <v>38</v>
      </c>
    </row>
    <row r="6" spans="1:24">
      <c r="A6" s="20"/>
      <c r="B6" s="20"/>
      <c r="C6" s="20"/>
      <c r="D6" s="20"/>
      <c r="E6" s="21"/>
      <c r="F6" s="22"/>
      <c r="G6" s="23"/>
      <c r="H6" s="24"/>
      <c r="I6" s="24"/>
      <c r="J6" s="24" t="s">
        <v>39</v>
      </c>
      <c r="K6" s="25" t="s">
        <v>40</v>
      </c>
      <c r="L6" s="26"/>
      <c r="M6" s="25" t="s">
        <v>40</v>
      </c>
      <c r="N6" s="26"/>
      <c r="O6" s="25" t="s">
        <v>40</v>
      </c>
      <c r="P6" s="26"/>
      <c r="Q6" s="25" t="s">
        <v>40</v>
      </c>
      <c r="R6" s="26"/>
      <c r="S6" s="25" t="s">
        <v>40</v>
      </c>
      <c r="T6" s="24" t="s">
        <v>41</v>
      </c>
      <c r="U6" s="24" t="s">
        <v>41</v>
      </c>
      <c r="V6" s="25" t="s">
        <v>40</v>
      </c>
      <c r="W6" s="25" t="s">
        <v>40</v>
      </c>
      <c r="X6" s="24"/>
    </row>
    <row r="7" spans="1:24" s="2" customFormat="1" ht="13.5" customHeight="1">
      <c r="A7" s="27" t="s">
        <v>42</v>
      </c>
      <c r="B7" s="27" t="s">
        <v>43</v>
      </c>
      <c r="C7" s="27" t="s">
        <v>44</v>
      </c>
      <c r="D7" s="27" t="s">
        <v>45</v>
      </c>
      <c r="E7" s="28" t="s">
        <v>46</v>
      </c>
      <c r="F7" s="29" t="s">
        <v>46</v>
      </c>
      <c r="G7" s="30" t="s">
        <v>46</v>
      </c>
      <c r="H7" s="31"/>
      <c r="I7" s="31" t="s">
        <v>47</v>
      </c>
      <c r="J7" s="32" t="n">
        <v>10.0</v>
      </c>
      <c r="K7" s="33" t="n">
        <f>4355</f>
        <v>4355.0</v>
      </c>
      <c r="L7" s="34" t="s">
        <v>48</v>
      </c>
      <c r="M7" s="33" t="n">
        <f>4420</f>
        <v>4420.0</v>
      </c>
      <c r="N7" s="34" t="s">
        <v>48</v>
      </c>
      <c r="O7" s="33" t="n">
        <f>4171</f>
        <v>4171.0</v>
      </c>
      <c r="P7" s="34" t="s">
        <v>49</v>
      </c>
      <c r="Q7" s="33" t="n">
        <f>4359</f>
        <v>4359.0</v>
      </c>
      <c r="R7" s="34" t="s">
        <v>50</v>
      </c>
      <c r="S7" s="35" t="n">
        <f>4305.16</f>
        <v>4305.16</v>
      </c>
      <c r="T7" s="32" t="n">
        <f>13401810</f>
        <v>1.340181E7</v>
      </c>
      <c r="U7" s="32" t="n">
        <f>11411610</f>
        <v>1.141161E7</v>
      </c>
      <c r="V7" s="32" t="n">
        <f>57287535287</f>
        <v>5.7287535287E10</v>
      </c>
      <c r="W7" s="32" t="n">
        <f>48743018817</f>
        <v>4.8743018817E10</v>
      </c>
      <c r="X7" s="36" t="n">
        <f>19</f>
        <v>19.0</v>
      </c>
    </row>
    <row r="8">
      <c r="A8" s="27" t="s">
        <v>42</v>
      </c>
      <c r="B8" s="27" t="s">
        <v>51</v>
      </c>
      <c r="C8" s="27" t="s">
        <v>52</v>
      </c>
      <c r="D8" s="27" t="s">
        <v>53</v>
      </c>
      <c r="E8" s="28" t="s">
        <v>46</v>
      </c>
      <c r="F8" s="29" t="s">
        <v>46</v>
      </c>
      <c r="G8" s="30" t="s">
        <v>46</v>
      </c>
      <c r="H8" s="31"/>
      <c r="I8" s="31" t="s">
        <v>47</v>
      </c>
      <c r="J8" s="32" t="n">
        <v>10.0</v>
      </c>
      <c r="K8" s="33" t="n">
        <f>430.8</f>
        <v>430.8</v>
      </c>
      <c r="L8" s="34" t="s">
        <v>48</v>
      </c>
      <c r="M8" s="33" t="n">
        <f>437.5</f>
        <v>437.5</v>
      </c>
      <c r="N8" s="34" t="s">
        <v>48</v>
      </c>
      <c r="O8" s="33" t="n">
        <f>412.6</f>
        <v>412.6</v>
      </c>
      <c r="P8" s="34" t="s">
        <v>49</v>
      </c>
      <c r="Q8" s="33" t="n">
        <f>431.5</f>
        <v>431.5</v>
      </c>
      <c r="R8" s="34" t="s">
        <v>50</v>
      </c>
      <c r="S8" s="35" t="n">
        <f>425.97</f>
        <v>425.97</v>
      </c>
      <c r="T8" s="32" t="n">
        <f>404970970</f>
        <v>4.0497097E8</v>
      </c>
      <c r="U8" s="32" t="n">
        <f>129552020</f>
        <v>1.2955202E8</v>
      </c>
      <c r="V8" s="32" t="n">
        <f>172218840363</f>
        <v>1.72218840363E11</v>
      </c>
      <c r="W8" s="32" t="n">
        <f>54814911022</f>
        <v>5.4814911022E10</v>
      </c>
      <c r="X8" s="36" t="n">
        <f>19</f>
        <v>19.0</v>
      </c>
    </row>
    <row r="9">
      <c r="A9" s="27" t="s">
        <v>42</v>
      </c>
      <c r="B9" s="27" t="s">
        <v>54</v>
      </c>
      <c r="C9" s="27" t="s">
        <v>55</v>
      </c>
      <c r="D9" s="27" t="s">
        <v>56</v>
      </c>
      <c r="E9" s="28" t="s">
        <v>46</v>
      </c>
      <c r="F9" s="29" t="s">
        <v>46</v>
      </c>
      <c r="G9" s="30" t="s">
        <v>46</v>
      </c>
      <c r="H9" s="31"/>
      <c r="I9" s="31" t="s">
        <v>47</v>
      </c>
      <c r="J9" s="32" t="n">
        <v>1.0</v>
      </c>
      <c r="K9" s="33" t="n">
        <f>4256</f>
        <v>4256.0</v>
      </c>
      <c r="L9" s="34" t="s">
        <v>48</v>
      </c>
      <c r="M9" s="33" t="n">
        <f>4320</f>
        <v>4320.0</v>
      </c>
      <c r="N9" s="34" t="s">
        <v>48</v>
      </c>
      <c r="O9" s="33" t="n">
        <f>4074</f>
        <v>4074.0</v>
      </c>
      <c r="P9" s="34" t="s">
        <v>49</v>
      </c>
      <c r="Q9" s="33" t="n">
        <f>4265</f>
        <v>4265.0</v>
      </c>
      <c r="R9" s="34" t="s">
        <v>50</v>
      </c>
      <c r="S9" s="35" t="n">
        <f>4207.58</f>
        <v>4207.58</v>
      </c>
      <c r="T9" s="32" t="n">
        <f>8859358</f>
        <v>8859358.0</v>
      </c>
      <c r="U9" s="32" t="n">
        <f>3954789</f>
        <v>3954789.0</v>
      </c>
      <c r="V9" s="32" t="n">
        <f>36985347430</f>
        <v>3.698534743E10</v>
      </c>
      <c r="W9" s="32" t="n">
        <f>16465924056</f>
        <v>1.6465924056E10</v>
      </c>
      <c r="X9" s="36" t="n">
        <f>19</f>
        <v>19.0</v>
      </c>
    </row>
    <row r="10">
      <c r="A10" s="27" t="s">
        <v>42</v>
      </c>
      <c r="B10" s="27" t="s">
        <v>57</v>
      </c>
      <c r="C10" s="27" t="s">
        <v>58</v>
      </c>
      <c r="D10" s="27" t="s">
        <v>59</v>
      </c>
      <c r="E10" s="28" t="s">
        <v>46</v>
      </c>
      <c r="F10" s="29" t="s">
        <v>46</v>
      </c>
      <c r="G10" s="30" t="s">
        <v>46</v>
      </c>
      <c r="H10" s="31"/>
      <c r="I10" s="31" t="s">
        <v>47</v>
      </c>
      <c r="J10" s="32" t="n">
        <v>1.0</v>
      </c>
      <c r="K10" s="33" t="n">
        <f>55890</f>
        <v>55890.0</v>
      </c>
      <c r="L10" s="34" t="s">
        <v>48</v>
      </c>
      <c r="M10" s="33" t="n">
        <f>56000</f>
        <v>56000.0</v>
      </c>
      <c r="N10" s="34" t="s">
        <v>48</v>
      </c>
      <c r="O10" s="33" t="n">
        <f>53020</f>
        <v>53020.0</v>
      </c>
      <c r="P10" s="34" t="s">
        <v>49</v>
      </c>
      <c r="Q10" s="33" t="n">
        <f>54200</f>
        <v>54200.0</v>
      </c>
      <c r="R10" s="34" t="s">
        <v>50</v>
      </c>
      <c r="S10" s="35" t="n">
        <f>54412.63</f>
        <v>54412.63</v>
      </c>
      <c r="T10" s="32" t="n">
        <f>928</f>
        <v>928.0</v>
      </c>
      <c r="U10" s="32" t="str">
        <f>"－"</f>
        <v>－</v>
      </c>
      <c r="V10" s="32" t="n">
        <f>50528460</f>
        <v>5.052846E7</v>
      </c>
      <c r="W10" s="32" t="str">
        <f>"－"</f>
        <v>－</v>
      </c>
      <c r="X10" s="36" t="n">
        <f>19</f>
        <v>19.0</v>
      </c>
    </row>
    <row r="11">
      <c r="A11" s="27" t="s">
        <v>42</v>
      </c>
      <c r="B11" s="27" t="s">
        <v>60</v>
      </c>
      <c r="C11" s="27" t="s">
        <v>61</v>
      </c>
      <c r="D11" s="27" t="s">
        <v>62</v>
      </c>
      <c r="E11" s="28" t="s">
        <v>46</v>
      </c>
      <c r="F11" s="29" t="s">
        <v>46</v>
      </c>
      <c r="G11" s="30" t="s">
        <v>46</v>
      </c>
      <c r="H11" s="31"/>
      <c r="I11" s="31" t="s">
        <v>47</v>
      </c>
      <c r="J11" s="32" t="n">
        <v>1.0</v>
      </c>
      <c r="K11" s="33" t="n">
        <f>2150</f>
        <v>2150.0</v>
      </c>
      <c r="L11" s="34" t="s">
        <v>48</v>
      </c>
      <c r="M11" s="33" t="n">
        <f>2182</f>
        <v>2182.0</v>
      </c>
      <c r="N11" s="34" t="s">
        <v>48</v>
      </c>
      <c r="O11" s="33" t="n">
        <f>2078</f>
        <v>2078.0</v>
      </c>
      <c r="P11" s="34" t="s">
        <v>49</v>
      </c>
      <c r="Q11" s="33" t="n">
        <f>2176</f>
        <v>2176.0</v>
      </c>
      <c r="R11" s="34" t="s">
        <v>50</v>
      </c>
      <c r="S11" s="35" t="n">
        <f>2137.68</f>
        <v>2137.68</v>
      </c>
      <c r="T11" s="32" t="n">
        <f>376321</f>
        <v>376321.0</v>
      </c>
      <c r="U11" s="32" t="n">
        <f>97403</f>
        <v>97403.0</v>
      </c>
      <c r="V11" s="32" t="n">
        <f>803570499</f>
        <v>8.03570499E8</v>
      </c>
      <c r="W11" s="32" t="n">
        <f>209820503</f>
        <v>2.09820503E8</v>
      </c>
      <c r="X11" s="36" t="n">
        <f>19</f>
        <v>19.0</v>
      </c>
    </row>
    <row r="12">
      <c r="A12" s="27" t="s">
        <v>42</v>
      </c>
      <c r="B12" s="27" t="s">
        <v>63</v>
      </c>
      <c r="C12" s="27" t="s">
        <v>64</v>
      </c>
      <c r="D12" s="27" t="s">
        <v>65</v>
      </c>
      <c r="E12" s="28" t="s">
        <v>46</v>
      </c>
      <c r="F12" s="29" t="s">
        <v>46</v>
      </c>
      <c r="G12" s="30" t="s">
        <v>46</v>
      </c>
      <c r="H12" s="31"/>
      <c r="I12" s="31" t="s">
        <v>47</v>
      </c>
      <c r="J12" s="32" t="n">
        <v>1000.0</v>
      </c>
      <c r="K12" s="33" t="n">
        <f>779</f>
        <v>779.0</v>
      </c>
      <c r="L12" s="34" t="s">
        <v>48</v>
      </c>
      <c r="M12" s="33" t="n">
        <f>794</f>
        <v>794.0</v>
      </c>
      <c r="N12" s="34" t="s">
        <v>66</v>
      </c>
      <c r="O12" s="33" t="n">
        <f>733</f>
        <v>733.0</v>
      </c>
      <c r="P12" s="34" t="s">
        <v>67</v>
      </c>
      <c r="Q12" s="33" t="n">
        <f>746.4</f>
        <v>746.4</v>
      </c>
      <c r="R12" s="34" t="s">
        <v>50</v>
      </c>
      <c r="S12" s="35" t="n">
        <f>750.93</f>
        <v>750.93</v>
      </c>
      <c r="T12" s="32" t="n">
        <f>25000</f>
        <v>25000.0</v>
      </c>
      <c r="U12" s="32" t="str">
        <f>"－"</f>
        <v>－</v>
      </c>
      <c r="V12" s="32" t="n">
        <f>18931400</f>
        <v>1.89314E7</v>
      </c>
      <c r="W12" s="32" t="str">
        <f>"－"</f>
        <v>－</v>
      </c>
      <c r="X12" s="36" t="n">
        <f>10</f>
        <v>10.0</v>
      </c>
    </row>
    <row r="13">
      <c r="A13" s="27" t="s">
        <v>42</v>
      </c>
      <c r="B13" s="27" t="s">
        <v>68</v>
      </c>
      <c r="C13" s="27" t="s">
        <v>69</v>
      </c>
      <c r="D13" s="27" t="s">
        <v>70</v>
      </c>
      <c r="E13" s="28" t="s">
        <v>46</v>
      </c>
      <c r="F13" s="29" t="s">
        <v>46</v>
      </c>
      <c r="G13" s="30" t="s">
        <v>46</v>
      </c>
      <c r="H13" s="31"/>
      <c r="I13" s="31" t="s">
        <v>47</v>
      </c>
      <c r="J13" s="32" t="n">
        <v>1.0</v>
      </c>
      <c r="K13" s="33" t="n">
        <f>67930</f>
        <v>67930.0</v>
      </c>
      <c r="L13" s="34" t="s">
        <v>48</v>
      </c>
      <c r="M13" s="33" t="n">
        <f>69450</f>
        <v>69450.0</v>
      </c>
      <c r="N13" s="34" t="s">
        <v>50</v>
      </c>
      <c r="O13" s="33" t="n">
        <f>64720</f>
        <v>64720.0</v>
      </c>
      <c r="P13" s="34" t="s">
        <v>71</v>
      </c>
      <c r="Q13" s="33" t="n">
        <f>69250</f>
        <v>69250.0</v>
      </c>
      <c r="R13" s="34" t="s">
        <v>50</v>
      </c>
      <c r="S13" s="35" t="n">
        <f>67170.53</f>
        <v>67170.53</v>
      </c>
      <c r="T13" s="32" t="n">
        <f>812848</f>
        <v>812848.0</v>
      </c>
      <c r="U13" s="32" t="n">
        <f>358449</f>
        <v>358449.0</v>
      </c>
      <c r="V13" s="32" t="n">
        <f>54530728859</f>
        <v>5.4530728859E10</v>
      </c>
      <c r="W13" s="32" t="n">
        <f>24011190009</f>
        <v>2.4011190009E10</v>
      </c>
      <c r="X13" s="36" t="n">
        <f>19</f>
        <v>19.0</v>
      </c>
    </row>
    <row r="14">
      <c r="A14" s="27" t="s">
        <v>42</v>
      </c>
      <c r="B14" s="27" t="s">
        <v>72</v>
      </c>
      <c r="C14" s="27" t="s">
        <v>73</v>
      </c>
      <c r="D14" s="27" t="s">
        <v>74</v>
      </c>
      <c r="E14" s="28" t="s">
        <v>46</v>
      </c>
      <c r="F14" s="29" t="s">
        <v>46</v>
      </c>
      <c r="G14" s="30" t="s">
        <v>46</v>
      </c>
      <c r="H14" s="31"/>
      <c r="I14" s="31" t="s">
        <v>47</v>
      </c>
      <c r="J14" s="32" t="n">
        <v>1.0</v>
      </c>
      <c r="K14" s="33" t="n">
        <f>68110</f>
        <v>68110.0</v>
      </c>
      <c r="L14" s="34" t="s">
        <v>48</v>
      </c>
      <c r="M14" s="33" t="n">
        <f>69700</f>
        <v>69700.0</v>
      </c>
      <c r="N14" s="34" t="s">
        <v>50</v>
      </c>
      <c r="O14" s="33" t="n">
        <f>64900</f>
        <v>64900.0</v>
      </c>
      <c r="P14" s="34" t="s">
        <v>71</v>
      </c>
      <c r="Q14" s="33" t="n">
        <f>69620</f>
        <v>69620.0</v>
      </c>
      <c r="R14" s="34" t="s">
        <v>50</v>
      </c>
      <c r="S14" s="35" t="n">
        <f>67387.37</f>
        <v>67387.37</v>
      </c>
      <c r="T14" s="32" t="n">
        <f>4909660</f>
        <v>4909660.0</v>
      </c>
      <c r="U14" s="32" t="n">
        <f>164815</f>
        <v>164815.0</v>
      </c>
      <c r="V14" s="32" t="n">
        <f>330199447668</f>
        <v>3.30199447668E11</v>
      </c>
      <c r="W14" s="32" t="n">
        <f>11019203578</f>
        <v>1.1019203578E10</v>
      </c>
      <c r="X14" s="36" t="n">
        <f>19</f>
        <v>19.0</v>
      </c>
    </row>
    <row r="15">
      <c r="A15" s="27" t="s">
        <v>42</v>
      </c>
      <c r="B15" s="27" t="s">
        <v>75</v>
      </c>
      <c r="C15" s="27" t="s">
        <v>76</v>
      </c>
      <c r="D15" s="27" t="s">
        <v>77</v>
      </c>
      <c r="E15" s="28" t="s">
        <v>46</v>
      </c>
      <c r="F15" s="29" t="s">
        <v>46</v>
      </c>
      <c r="G15" s="30" t="s">
        <v>46</v>
      </c>
      <c r="H15" s="31"/>
      <c r="I15" s="31" t="s">
        <v>47</v>
      </c>
      <c r="J15" s="32" t="n">
        <v>1.0</v>
      </c>
      <c r="K15" s="33" t="n">
        <f>11795</f>
        <v>11795.0</v>
      </c>
      <c r="L15" s="34" t="s">
        <v>48</v>
      </c>
      <c r="M15" s="33" t="n">
        <f>11910</f>
        <v>11910.0</v>
      </c>
      <c r="N15" s="34" t="s">
        <v>66</v>
      </c>
      <c r="O15" s="33" t="n">
        <f>11000</f>
        <v>11000.0</v>
      </c>
      <c r="P15" s="34" t="s">
        <v>78</v>
      </c>
      <c r="Q15" s="33" t="n">
        <f>11120</f>
        <v>11120.0</v>
      </c>
      <c r="R15" s="34" t="s">
        <v>50</v>
      </c>
      <c r="S15" s="35" t="n">
        <f>11360.26</f>
        <v>11360.26</v>
      </c>
      <c r="T15" s="32" t="n">
        <f>13699</f>
        <v>13699.0</v>
      </c>
      <c r="U15" s="32" t="str">
        <f>"－"</f>
        <v>－</v>
      </c>
      <c r="V15" s="32" t="n">
        <f>154461590</f>
        <v>1.5446159E8</v>
      </c>
      <c r="W15" s="32" t="str">
        <f>"－"</f>
        <v>－</v>
      </c>
      <c r="X15" s="36" t="n">
        <f>19</f>
        <v>19.0</v>
      </c>
    </row>
    <row r="16">
      <c r="A16" s="27" t="s">
        <v>42</v>
      </c>
      <c r="B16" s="27" t="s">
        <v>79</v>
      </c>
      <c r="C16" s="27" t="s">
        <v>80</v>
      </c>
      <c r="D16" s="27" t="s">
        <v>81</v>
      </c>
      <c r="E16" s="28" t="s">
        <v>46</v>
      </c>
      <c r="F16" s="29" t="s">
        <v>46</v>
      </c>
      <c r="G16" s="30" t="s">
        <v>46</v>
      </c>
      <c r="H16" s="31"/>
      <c r="I16" s="31" t="s">
        <v>47</v>
      </c>
      <c r="J16" s="32" t="n">
        <v>10.0</v>
      </c>
      <c r="K16" s="33" t="n">
        <f>285</f>
        <v>285.0</v>
      </c>
      <c r="L16" s="34" t="s">
        <v>48</v>
      </c>
      <c r="M16" s="33" t="n">
        <f>302</f>
        <v>302.0</v>
      </c>
      <c r="N16" s="34" t="s">
        <v>82</v>
      </c>
      <c r="O16" s="33" t="n">
        <f>285</f>
        <v>285.0</v>
      </c>
      <c r="P16" s="34" t="s">
        <v>48</v>
      </c>
      <c r="Q16" s="33" t="n">
        <f>290.9</f>
        <v>290.9</v>
      </c>
      <c r="R16" s="34" t="s">
        <v>50</v>
      </c>
      <c r="S16" s="35" t="n">
        <f>292.98</f>
        <v>292.98</v>
      </c>
      <c r="T16" s="32" t="n">
        <f>408610</f>
        <v>408610.0</v>
      </c>
      <c r="U16" s="32" t="n">
        <f>9820</f>
        <v>9820.0</v>
      </c>
      <c r="V16" s="32" t="n">
        <f>119728651</f>
        <v>1.19728651E8</v>
      </c>
      <c r="W16" s="32" t="n">
        <f>2879492</f>
        <v>2879492.0</v>
      </c>
      <c r="X16" s="36" t="n">
        <f>19</f>
        <v>19.0</v>
      </c>
    </row>
    <row r="17">
      <c r="A17" s="27" t="s">
        <v>42</v>
      </c>
      <c r="B17" s="27" t="s">
        <v>83</v>
      </c>
      <c r="C17" s="27" t="s">
        <v>84</v>
      </c>
      <c r="D17" s="27" t="s">
        <v>85</v>
      </c>
      <c r="E17" s="28" t="s">
        <v>46</v>
      </c>
      <c r="F17" s="29" t="s">
        <v>46</v>
      </c>
      <c r="G17" s="30" t="s">
        <v>46</v>
      </c>
      <c r="H17" s="31"/>
      <c r="I17" s="31" t="s">
        <v>47</v>
      </c>
      <c r="J17" s="32" t="n">
        <v>1.0</v>
      </c>
      <c r="K17" s="33" t="n">
        <f>65200</f>
        <v>65200.0</v>
      </c>
      <c r="L17" s="34" t="s">
        <v>48</v>
      </c>
      <c r="M17" s="33" t="n">
        <f>65330</f>
        <v>65330.0</v>
      </c>
      <c r="N17" s="34" t="s">
        <v>48</v>
      </c>
      <c r="O17" s="33" t="n">
        <f>59350</f>
        <v>59350.0</v>
      </c>
      <c r="P17" s="34" t="s">
        <v>78</v>
      </c>
      <c r="Q17" s="33" t="n">
        <f>60060</f>
        <v>60060.0</v>
      </c>
      <c r="R17" s="34" t="s">
        <v>50</v>
      </c>
      <c r="S17" s="35" t="n">
        <f>62033.68</f>
        <v>62033.68</v>
      </c>
      <c r="T17" s="32" t="n">
        <f>145589</f>
        <v>145589.0</v>
      </c>
      <c r="U17" s="32" t="n">
        <f>52</f>
        <v>52.0</v>
      </c>
      <c r="V17" s="32" t="n">
        <f>9039042025</f>
        <v>9.039042025E9</v>
      </c>
      <c r="W17" s="32" t="n">
        <f>2953835</f>
        <v>2953835.0</v>
      </c>
      <c r="X17" s="36" t="n">
        <f>19</f>
        <v>19.0</v>
      </c>
    </row>
    <row r="18">
      <c r="A18" s="27" t="s">
        <v>42</v>
      </c>
      <c r="B18" s="27" t="s">
        <v>86</v>
      </c>
      <c r="C18" s="27" t="s">
        <v>87</v>
      </c>
      <c r="D18" s="27" t="s">
        <v>88</v>
      </c>
      <c r="E18" s="28" t="s">
        <v>46</v>
      </c>
      <c r="F18" s="29" t="s">
        <v>46</v>
      </c>
      <c r="G18" s="30" t="s">
        <v>46</v>
      </c>
      <c r="H18" s="31"/>
      <c r="I18" s="31" t="s">
        <v>47</v>
      </c>
      <c r="J18" s="32" t="n">
        <v>1.0</v>
      </c>
      <c r="K18" s="33" t="n">
        <f>16790</f>
        <v>16790.0</v>
      </c>
      <c r="L18" s="34" t="s">
        <v>48</v>
      </c>
      <c r="M18" s="33" t="n">
        <f>16825</f>
        <v>16825.0</v>
      </c>
      <c r="N18" s="34" t="s">
        <v>48</v>
      </c>
      <c r="O18" s="33" t="n">
        <f>15280</f>
        <v>15280.0</v>
      </c>
      <c r="P18" s="34" t="s">
        <v>78</v>
      </c>
      <c r="Q18" s="33" t="n">
        <f>15485</f>
        <v>15485.0</v>
      </c>
      <c r="R18" s="34" t="s">
        <v>50</v>
      </c>
      <c r="S18" s="35" t="n">
        <f>15990.26</f>
        <v>15990.26</v>
      </c>
      <c r="T18" s="32" t="n">
        <f>658894</f>
        <v>658894.0</v>
      </c>
      <c r="U18" s="32" t="n">
        <f>40581</f>
        <v>40581.0</v>
      </c>
      <c r="V18" s="32" t="n">
        <f>10537315936</f>
        <v>1.0537315936E10</v>
      </c>
      <c r="W18" s="32" t="n">
        <f>642501096</f>
        <v>6.42501096E8</v>
      </c>
      <c r="X18" s="36" t="n">
        <f>19</f>
        <v>19.0</v>
      </c>
    </row>
    <row r="19">
      <c r="A19" s="27" t="s">
        <v>42</v>
      </c>
      <c r="B19" s="27" t="s">
        <v>89</v>
      </c>
      <c r="C19" s="27" t="s">
        <v>90</v>
      </c>
      <c r="D19" s="27" t="s">
        <v>91</v>
      </c>
      <c r="E19" s="28" t="s">
        <v>46</v>
      </c>
      <c r="F19" s="29" t="s">
        <v>46</v>
      </c>
      <c r="G19" s="30" t="s">
        <v>46</v>
      </c>
      <c r="H19" s="31"/>
      <c r="I19" s="31" t="s">
        <v>47</v>
      </c>
      <c r="J19" s="32" t="n">
        <v>1.0</v>
      </c>
      <c r="K19" s="33" t="n">
        <f>6817</f>
        <v>6817.0</v>
      </c>
      <c r="L19" s="34" t="s">
        <v>48</v>
      </c>
      <c r="M19" s="33" t="n">
        <f>6978</f>
        <v>6978.0</v>
      </c>
      <c r="N19" s="34" t="s">
        <v>50</v>
      </c>
      <c r="O19" s="33" t="n">
        <f>6495</f>
        <v>6495.0</v>
      </c>
      <c r="P19" s="34" t="s">
        <v>71</v>
      </c>
      <c r="Q19" s="33" t="n">
        <f>6961</f>
        <v>6961.0</v>
      </c>
      <c r="R19" s="34" t="s">
        <v>50</v>
      </c>
      <c r="S19" s="35" t="n">
        <f>6742.58</f>
        <v>6742.58</v>
      </c>
      <c r="T19" s="32" t="n">
        <f>15443230</f>
        <v>1.544323E7</v>
      </c>
      <c r="U19" s="32" t="n">
        <f>4918245</f>
        <v>4918245.0</v>
      </c>
      <c r="V19" s="32" t="n">
        <f>104042978290</f>
        <v>1.0404297829E11</v>
      </c>
      <c r="W19" s="32" t="n">
        <f>32769120046</f>
        <v>3.2769120046E10</v>
      </c>
      <c r="X19" s="36" t="n">
        <f>19</f>
        <v>19.0</v>
      </c>
    </row>
    <row r="20">
      <c r="A20" s="27" t="s">
        <v>42</v>
      </c>
      <c r="B20" s="27" t="s">
        <v>92</v>
      </c>
      <c r="C20" s="27" t="s">
        <v>93</v>
      </c>
      <c r="D20" s="27" t="s">
        <v>94</v>
      </c>
      <c r="E20" s="28" t="s">
        <v>46</v>
      </c>
      <c r="F20" s="29" t="s">
        <v>46</v>
      </c>
      <c r="G20" s="30" t="s">
        <v>46</v>
      </c>
      <c r="H20" s="31"/>
      <c r="I20" s="31" t="s">
        <v>47</v>
      </c>
      <c r="J20" s="32" t="n">
        <v>1.0</v>
      </c>
      <c r="K20" s="33" t="n">
        <f>68220</f>
        <v>68220.0</v>
      </c>
      <c r="L20" s="34" t="s">
        <v>48</v>
      </c>
      <c r="M20" s="33" t="n">
        <f>69750</f>
        <v>69750.0</v>
      </c>
      <c r="N20" s="34" t="s">
        <v>50</v>
      </c>
      <c r="O20" s="33" t="n">
        <f>65000</f>
        <v>65000.0</v>
      </c>
      <c r="P20" s="34" t="s">
        <v>71</v>
      </c>
      <c r="Q20" s="33" t="n">
        <f>69740</f>
        <v>69740.0</v>
      </c>
      <c r="R20" s="34" t="s">
        <v>50</v>
      </c>
      <c r="S20" s="35" t="n">
        <f>67488.42</f>
        <v>67488.42</v>
      </c>
      <c r="T20" s="32" t="n">
        <f>1244553</f>
        <v>1244553.0</v>
      </c>
      <c r="U20" s="32" t="n">
        <f>588734</f>
        <v>588734.0</v>
      </c>
      <c r="V20" s="32" t="n">
        <f>84088734295</f>
        <v>8.4088734295E10</v>
      </c>
      <c r="W20" s="32" t="n">
        <f>39824938725</f>
        <v>3.9824938725E10</v>
      </c>
      <c r="X20" s="36" t="n">
        <f>19</f>
        <v>19.0</v>
      </c>
    </row>
    <row r="21">
      <c r="A21" s="27" t="s">
        <v>42</v>
      </c>
      <c r="B21" s="27" t="s">
        <v>95</v>
      </c>
      <c r="C21" s="27" t="s">
        <v>96</v>
      </c>
      <c r="D21" s="27" t="s">
        <v>97</v>
      </c>
      <c r="E21" s="28" t="s">
        <v>46</v>
      </c>
      <c r="F21" s="29" t="s">
        <v>46</v>
      </c>
      <c r="G21" s="30" t="s">
        <v>46</v>
      </c>
      <c r="H21" s="31"/>
      <c r="I21" s="31" t="s">
        <v>47</v>
      </c>
      <c r="J21" s="32" t="n">
        <v>1.0</v>
      </c>
      <c r="K21" s="33" t="n">
        <f>1084</f>
        <v>1084.0</v>
      </c>
      <c r="L21" s="34" t="s">
        <v>48</v>
      </c>
      <c r="M21" s="33" t="n">
        <f>1088</f>
        <v>1088.0</v>
      </c>
      <c r="N21" s="34" t="s">
        <v>66</v>
      </c>
      <c r="O21" s="33" t="n">
        <f>1038</f>
        <v>1038.0</v>
      </c>
      <c r="P21" s="34" t="s">
        <v>98</v>
      </c>
      <c r="Q21" s="33" t="n">
        <f>1055</f>
        <v>1055.0</v>
      </c>
      <c r="R21" s="34" t="s">
        <v>50</v>
      </c>
      <c r="S21" s="35" t="n">
        <f>1058.26</f>
        <v>1058.26</v>
      </c>
      <c r="T21" s="32" t="n">
        <f>2879163</f>
        <v>2879163.0</v>
      </c>
      <c r="U21" s="32" t="n">
        <f>66635</f>
        <v>66635.0</v>
      </c>
      <c r="V21" s="32" t="n">
        <f>3046494371</f>
        <v>3.046494371E9</v>
      </c>
      <c r="W21" s="32" t="n">
        <f>70293439</f>
        <v>7.0293439E7</v>
      </c>
      <c r="X21" s="36" t="n">
        <f>19</f>
        <v>19.0</v>
      </c>
    </row>
    <row r="22">
      <c r="A22" s="27" t="s">
        <v>42</v>
      </c>
      <c r="B22" s="27" t="s">
        <v>99</v>
      </c>
      <c r="C22" s="27" t="s">
        <v>100</v>
      </c>
      <c r="D22" s="27" t="s">
        <v>101</v>
      </c>
      <c r="E22" s="28" t="s">
        <v>46</v>
      </c>
      <c r="F22" s="29" t="s">
        <v>46</v>
      </c>
      <c r="G22" s="30" t="s">
        <v>46</v>
      </c>
      <c r="H22" s="31"/>
      <c r="I22" s="31" t="s">
        <v>47</v>
      </c>
      <c r="J22" s="32" t="n">
        <v>10.0</v>
      </c>
      <c r="K22" s="33" t="n">
        <f>1932.5</f>
        <v>1932.5</v>
      </c>
      <c r="L22" s="34" t="s">
        <v>48</v>
      </c>
      <c r="M22" s="33" t="n">
        <f>1942</f>
        <v>1942.0</v>
      </c>
      <c r="N22" s="34" t="s">
        <v>48</v>
      </c>
      <c r="O22" s="33" t="n">
        <f>1847</f>
        <v>1847.0</v>
      </c>
      <c r="P22" s="34" t="s">
        <v>50</v>
      </c>
      <c r="Q22" s="33" t="n">
        <f>1856</f>
        <v>1856.0</v>
      </c>
      <c r="R22" s="34" t="s">
        <v>50</v>
      </c>
      <c r="S22" s="35" t="n">
        <f>1896.97</f>
        <v>1896.97</v>
      </c>
      <c r="T22" s="32" t="n">
        <f>22529020</f>
        <v>2.252902E7</v>
      </c>
      <c r="U22" s="32" t="n">
        <f>3922410</f>
        <v>3922410.0</v>
      </c>
      <c r="V22" s="32" t="n">
        <f>42673789544</f>
        <v>4.2673789544E10</v>
      </c>
      <c r="W22" s="32" t="n">
        <f>7442644889</f>
        <v>7.442644889E9</v>
      </c>
      <c r="X22" s="36" t="n">
        <f>19</f>
        <v>19.0</v>
      </c>
    </row>
    <row r="23">
      <c r="A23" s="27" t="s">
        <v>42</v>
      </c>
      <c r="B23" s="27" t="s">
        <v>102</v>
      </c>
      <c r="C23" s="27" t="s">
        <v>103</v>
      </c>
      <c r="D23" s="27" t="s">
        <v>104</v>
      </c>
      <c r="E23" s="28" t="s">
        <v>46</v>
      </c>
      <c r="F23" s="29" t="s">
        <v>46</v>
      </c>
      <c r="G23" s="30" t="s">
        <v>46</v>
      </c>
      <c r="H23" s="31"/>
      <c r="I23" s="31" t="s">
        <v>47</v>
      </c>
      <c r="J23" s="32" t="n">
        <v>1.0</v>
      </c>
      <c r="K23" s="33" t="n">
        <f>1835</f>
        <v>1835.0</v>
      </c>
      <c r="L23" s="34" t="s">
        <v>48</v>
      </c>
      <c r="M23" s="33" t="n">
        <f>1838</f>
        <v>1838.0</v>
      </c>
      <c r="N23" s="34" t="s">
        <v>82</v>
      </c>
      <c r="O23" s="33" t="n">
        <f>1727</f>
        <v>1727.0</v>
      </c>
      <c r="P23" s="34" t="s">
        <v>50</v>
      </c>
      <c r="Q23" s="33" t="n">
        <f>1737</f>
        <v>1737.0</v>
      </c>
      <c r="R23" s="34" t="s">
        <v>50</v>
      </c>
      <c r="S23" s="35" t="n">
        <f>1778.74</f>
        <v>1778.74</v>
      </c>
      <c r="T23" s="32" t="n">
        <f>1688919</f>
        <v>1688919.0</v>
      </c>
      <c r="U23" s="32" t="n">
        <f>832863</f>
        <v>832863.0</v>
      </c>
      <c r="V23" s="32" t="n">
        <f>3013975561</f>
        <v>3.013975561E9</v>
      </c>
      <c r="W23" s="32" t="n">
        <f>1487726208</f>
        <v>1.487726208E9</v>
      </c>
      <c r="X23" s="36" t="n">
        <f>19</f>
        <v>19.0</v>
      </c>
    </row>
    <row r="24">
      <c r="A24" s="27" t="s">
        <v>42</v>
      </c>
      <c r="B24" s="27" t="s">
        <v>105</v>
      </c>
      <c r="C24" s="27" t="s">
        <v>106</v>
      </c>
      <c r="D24" s="27" t="s">
        <v>107</v>
      </c>
      <c r="E24" s="28" t="s">
        <v>46</v>
      </c>
      <c r="F24" s="29" t="s">
        <v>46</v>
      </c>
      <c r="G24" s="30" t="s">
        <v>46</v>
      </c>
      <c r="H24" s="31"/>
      <c r="I24" s="31" t="s">
        <v>47</v>
      </c>
      <c r="J24" s="32" t="n">
        <v>1.0</v>
      </c>
      <c r="K24" s="33" t="n">
        <f>68110</f>
        <v>68110.0</v>
      </c>
      <c r="L24" s="34" t="s">
        <v>48</v>
      </c>
      <c r="M24" s="33" t="n">
        <f>69680</f>
        <v>69680.0</v>
      </c>
      <c r="N24" s="34" t="s">
        <v>50</v>
      </c>
      <c r="O24" s="33" t="n">
        <f>64910</f>
        <v>64910.0</v>
      </c>
      <c r="P24" s="34" t="s">
        <v>71</v>
      </c>
      <c r="Q24" s="33" t="n">
        <f>69460</f>
        <v>69460.0</v>
      </c>
      <c r="R24" s="34" t="s">
        <v>50</v>
      </c>
      <c r="S24" s="35" t="n">
        <f>67397.37</f>
        <v>67397.37</v>
      </c>
      <c r="T24" s="32" t="n">
        <f>454069</f>
        <v>454069.0</v>
      </c>
      <c r="U24" s="32" t="n">
        <f>97345</f>
        <v>97345.0</v>
      </c>
      <c r="V24" s="32" t="n">
        <f>30527790856</f>
        <v>3.0527790856E10</v>
      </c>
      <c r="W24" s="32" t="n">
        <f>6540280976</f>
        <v>6.540280976E9</v>
      </c>
      <c r="X24" s="36" t="n">
        <f>19</f>
        <v>19.0</v>
      </c>
    </row>
    <row r="25">
      <c r="A25" s="27" t="s">
        <v>42</v>
      </c>
      <c r="B25" s="27" t="s">
        <v>108</v>
      </c>
      <c r="C25" s="27" t="s">
        <v>109</v>
      </c>
      <c r="D25" s="27" t="s">
        <v>110</v>
      </c>
      <c r="E25" s="28" t="s">
        <v>46</v>
      </c>
      <c r="F25" s="29" t="s">
        <v>46</v>
      </c>
      <c r="G25" s="30" t="s">
        <v>46</v>
      </c>
      <c r="H25" s="31"/>
      <c r="I25" s="31" t="s">
        <v>47</v>
      </c>
      <c r="J25" s="32" t="n">
        <v>1.0</v>
      </c>
      <c r="K25" s="33" t="n">
        <f>4291</f>
        <v>4291.0</v>
      </c>
      <c r="L25" s="34" t="s">
        <v>48</v>
      </c>
      <c r="M25" s="33" t="n">
        <f>4355</f>
        <v>4355.0</v>
      </c>
      <c r="N25" s="34" t="s">
        <v>48</v>
      </c>
      <c r="O25" s="33" t="n">
        <f>4111</f>
        <v>4111.0</v>
      </c>
      <c r="P25" s="34" t="s">
        <v>49</v>
      </c>
      <c r="Q25" s="33" t="n">
        <f>4302</f>
        <v>4302.0</v>
      </c>
      <c r="R25" s="34" t="s">
        <v>50</v>
      </c>
      <c r="S25" s="35" t="n">
        <f>4244.11</f>
        <v>4244.11</v>
      </c>
      <c r="T25" s="32" t="n">
        <f>2115571</f>
        <v>2115571.0</v>
      </c>
      <c r="U25" s="32" t="n">
        <f>431555</f>
        <v>431555.0</v>
      </c>
      <c r="V25" s="32" t="n">
        <f>8962696739</f>
        <v>8.962696739E9</v>
      </c>
      <c r="W25" s="32" t="n">
        <f>1829989732</f>
        <v>1.829989732E9</v>
      </c>
      <c r="X25" s="36" t="n">
        <f>19</f>
        <v>19.0</v>
      </c>
    </row>
    <row r="26">
      <c r="A26" s="27" t="s">
        <v>42</v>
      </c>
      <c r="B26" s="27" t="s">
        <v>111</v>
      </c>
      <c r="C26" s="27" t="s">
        <v>112</v>
      </c>
      <c r="D26" s="27" t="s">
        <v>113</v>
      </c>
      <c r="E26" s="28" t="s">
        <v>46</v>
      </c>
      <c r="F26" s="29" t="s">
        <v>46</v>
      </c>
      <c r="G26" s="30" t="s">
        <v>46</v>
      </c>
      <c r="H26" s="31"/>
      <c r="I26" s="31" t="s">
        <v>47</v>
      </c>
      <c r="J26" s="32" t="n">
        <v>1.0</v>
      </c>
      <c r="K26" s="33" t="n">
        <f>17640</f>
        <v>17640.0</v>
      </c>
      <c r="L26" s="34" t="s">
        <v>66</v>
      </c>
      <c r="M26" s="33" t="n">
        <f>17785</f>
        <v>17785.0</v>
      </c>
      <c r="N26" s="34" t="s">
        <v>66</v>
      </c>
      <c r="O26" s="33" t="n">
        <f>16750</f>
        <v>16750.0</v>
      </c>
      <c r="P26" s="34" t="s">
        <v>114</v>
      </c>
      <c r="Q26" s="33" t="n">
        <f>17135</f>
        <v>17135.0</v>
      </c>
      <c r="R26" s="34" t="s">
        <v>50</v>
      </c>
      <c r="S26" s="35" t="n">
        <f>17303.53</f>
        <v>17303.53</v>
      </c>
      <c r="T26" s="32" t="n">
        <f>969</f>
        <v>969.0</v>
      </c>
      <c r="U26" s="32" t="str">
        <f>"－"</f>
        <v>－</v>
      </c>
      <c r="V26" s="32" t="n">
        <f>16749220</f>
        <v>1.674922E7</v>
      </c>
      <c r="W26" s="32" t="str">
        <f>"－"</f>
        <v>－</v>
      </c>
      <c r="X26" s="36" t="n">
        <f>17</f>
        <v>17.0</v>
      </c>
    </row>
    <row r="27">
      <c r="A27" s="27" t="s">
        <v>42</v>
      </c>
      <c r="B27" s="27" t="s">
        <v>115</v>
      </c>
      <c r="C27" s="27" t="s">
        <v>116</v>
      </c>
      <c r="D27" s="27" t="s">
        <v>117</v>
      </c>
      <c r="E27" s="28" t="s">
        <v>46</v>
      </c>
      <c r="F27" s="29" t="s">
        <v>46</v>
      </c>
      <c r="G27" s="30" t="s">
        <v>46</v>
      </c>
      <c r="H27" s="31"/>
      <c r="I27" s="31" t="s">
        <v>47</v>
      </c>
      <c r="J27" s="32" t="n">
        <v>10.0</v>
      </c>
      <c r="K27" s="33" t="n">
        <f>103.5</f>
        <v>103.5</v>
      </c>
      <c r="L27" s="34" t="s">
        <v>48</v>
      </c>
      <c r="M27" s="33" t="n">
        <f>112.6</f>
        <v>112.6</v>
      </c>
      <c r="N27" s="34" t="s">
        <v>49</v>
      </c>
      <c r="O27" s="33" t="n">
        <f>100.4</f>
        <v>100.4</v>
      </c>
      <c r="P27" s="34" t="s">
        <v>48</v>
      </c>
      <c r="Q27" s="33" t="n">
        <f>102.8</f>
        <v>102.8</v>
      </c>
      <c r="R27" s="34" t="s">
        <v>50</v>
      </c>
      <c r="S27" s="35" t="n">
        <f>105.61</f>
        <v>105.61</v>
      </c>
      <c r="T27" s="32" t="n">
        <f>66641250</f>
        <v>6.664125E7</v>
      </c>
      <c r="U27" s="32" t="n">
        <f>1173890</f>
        <v>1173890.0</v>
      </c>
      <c r="V27" s="32" t="n">
        <f>7033897587</f>
        <v>7.033897587E9</v>
      </c>
      <c r="W27" s="32" t="n">
        <f>124121816</f>
        <v>1.24121816E8</v>
      </c>
      <c r="X27" s="36" t="n">
        <f>19</f>
        <v>19.0</v>
      </c>
    </row>
    <row r="28">
      <c r="A28" s="27" t="s">
        <v>42</v>
      </c>
      <c r="B28" s="27" t="s">
        <v>118</v>
      </c>
      <c r="C28" s="27" t="s">
        <v>119</v>
      </c>
      <c r="D28" s="27" t="s">
        <v>120</v>
      </c>
      <c r="E28" s="28" t="s">
        <v>46</v>
      </c>
      <c r="F28" s="29" t="s">
        <v>46</v>
      </c>
      <c r="G28" s="30" t="s">
        <v>46</v>
      </c>
      <c r="H28" s="31"/>
      <c r="I28" s="31" t="s">
        <v>47</v>
      </c>
      <c r="J28" s="32" t="n">
        <v>1.0</v>
      </c>
      <c r="K28" s="33" t="n">
        <f>2776</f>
        <v>2776.0</v>
      </c>
      <c r="L28" s="34" t="s">
        <v>48</v>
      </c>
      <c r="M28" s="33" t="n">
        <f>3036</f>
        <v>3036.0</v>
      </c>
      <c r="N28" s="34" t="s">
        <v>71</v>
      </c>
      <c r="O28" s="33" t="n">
        <f>2629</f>
        <v>2629.0</v>
      </c>
      <c r="P28" s="34" t="s">
        <v>50</v>
      </c>
      <c r="Q28" s="33" t="n">
        <f>2635</f>
        <v>2635.0</v>
      </c>
      <c r="R28" s="34" t="s">
        <v>50</v>
      </c>
      <c r="S28" s="35" t="n">
        <f>2823.16</f>
        <v>2823.16</v>
      </c>
      <c r="T28" s="32" t="n">
        <f>142327541</f>
        <v>1.42327541E8</v>
      </c>
      <c r="U28" s="32" t="n">
        <f>766633</f>
        <v>766633.0</v>
      </c>
      <c r="V28" s="32" t="n">
        <f>400630876892</f>
        <v>4.00630876892E11</v>
      </c>
      <c r="W28" s="32" t="n">
        <f>2149409216</f>
        <v>2.149409216E9</v>
      </c>
      <c r="X28" s="36" t="n">
        <f>19</f>
        <v>19.0</v>
      </c>
    </row>
    <row r="29">
      <c r="A29" s="27" t="s">
        <v>42</v>
      </c>
      <c r="B29" s="27" t="s">
        <v>121</v>
      </c>
      <c r="C29" s="27" t="s">
        <v>122</v>
      </c>
      <c r="D29" s="27" t="s">
        <v>123</v>
      </c>
      <c r="E29" s="28" t="s">
        <v>46</v>
      </c>
      <c r="F29" s="29" t="s">
        <v>46</v>
      </c>
      <c r="G29" s="30" t="s">
        <v>46</v>
      </c>
      <c r="H29" s="31"/>
      <c r="I29" s="31" t="s">
        <v>47</v>
      </c>
      <c r="J29" s="32" t="n">
        <v>1.0</v>
      </c>
      <c r="K29" s="33" t="n">
        <f>130700</f>
        <v>130700.0</v>
      </c>
      <c r="L29" s="34" t="s">
        <v>48</v>
      </c>
      <c r="M29" s="33" t="n">
        <f>136150</f>
        <v>136150.0</v>
      </c>
      <c r="N29" s="34" t="s">
        <v>50</v>
      </c>
      <c r="O29" s="33" t="n">
        <f>118250</f>
        <v>118250.0</v>
      </c>
      <c r="P29" s="34" t="s">
        <v>71</v>
      </c>
      <c r="Q29" s="33" t="n">
        <f>135400</f>
        <v>135400.0</v>
      </c>
      <c r="R29" s="34" t="s">
        <v>50</v>
      </c>
      <c r="S29" s="35" t="n">
        <f>127660.53</f>
        <v>127660.53</v>
      </c>
      <c r="T29" s="32" t="n">
        <f>139594</f>
        <v>139594.0</v>
      </c>
      <c r="U29" s="32" t="n">
        <f>3448</f>
        <v>3448.0</v>
      </c>
      <c r="V29" s="32" t="n">
        <f>17787492645</f>
        <v>1.7787492645E10</v>
      </c>
      <c r="W29" s="32" t="n">
        <f>439092695</f>
        <v>4.39092695E8</v>
      </c>
      <c r="X29" s="36" t="n">
        <f>19</f>
        <v>19.0</v>
      </c>
    </row>
    <row r="30">
      <c r="A30" s="27" t="s">
        <v>42</v>
      </c>
      <c r="B30" s="27" t="s">
        <v>124</v>
      </c>
      <c r="C30" s="27" t="s">
        <v>125</v>
      </c>
      <c r="D30" s="27" t="s">
        <v>126</v>
      </c>
      <c r="E30" s="28" t="s">
        <v>46</v>
      </c>
      <c r="F30" s="29" t="s">
        <v>46</v>
      </c>
      <c r="G30" s="30" t="s">
        <v>46</v>
      </c>
      <c r="H30" s="31"/>
      <c r="I30" s="31" t="s">
        <v>47</v>
      </c>
      <c r="J30" s="32" t="n">
        <v>10.0</v>
      </c>
      <c r="K30" s="33" t="n">
        <f>68</f>
        <v>68.0</v>
      </c>
      <c r="L30" s="34" t="s">
        <v>48</v>
      </c>
      <c r="M30" s="33" t="n">
        <f>74.5</f>
        <v>74.5</v>
      </c>
      <c r="N30" s="34" t="s">
        <v>71</v>
      </c>
      <c r="O30" s="33" t="n">
        <f>64.4</f>
        <v>64.4</v>
      </c>
      <c r="P30" s="34" t="s">
        <v>50</v>
      </c>
      <c r="Q30" s="33" t="n">
        <f>64.5</f>
        <v>64.5</v>
      </c>
      <c r="R30" s="34" t="s">
        <v>50</v>
      </c>
      <c r="S30" s="35" t="n">
        <f>69.23</f>
        <v>69.23</v>
      </c>
      <c r="T30" s="32" t="n">
        <f>2391849690</f>
        <v>2.39184969E9</v>
      </c>
      <c r="U30" s="32" t="n">
        <f>33598080</f>
        <v>3.359808E7</v>
      </c>
      <c r="V30" s="32" t="n">
        <f>166571336369</f>
        <v>1.66571336369E11</v>
      </c>
      <c r="W30" s="32" t="n">
        <f>2306983506</f>
        <v>2.306983506E9</v>
      </c>
      <c r="X30" s="36" t="n">
        <f>19</f>
        <v>19.0</v>
      </c>
    </row>
    <row r="31">
      <c r="A31" s="27" t="s">
        <v>42</v>
      </c>
      <c r="B31" s="27" t="s">
        <v>127</v>
      </c>
      <c r="C31" s="27" t="s">
        <v>128</v>
      </c>
      <c r="D31" s="27" t="s">
        <v>129</v>
      </c>
      <c r="E31" s="28" t="s">
        <v>46</v>
      </c>
      <c r="F31" s="29" t="s">
        <v>46</v>
      </c>
      <c r="G31" s="30" t="s">
        <v>46</v>
      </c>
      <c r="H31" s="31"/>
      <c r="I31" s="31" t="s">
        <v>47</v>
      </c>
      <c r="J31" s="32" t="n">
        <v>1.0</v>
      </c>
      <c r="K31" s="33" t="n">
        <f>3805</f>
        <v>3805.0</v>
      </c>
      <c r="L31" s="34" t="s">
        <v>48</v>
      </c>
      <c r="M31" s="33" t="n">
        <f>3865</f>
        <v>3865.0</v>
      </c>
      <c r="N31" s="34" t="s">
        <v>48</v>
      </c>
      <c r="O31" s="33" t="n">
        <f>3638</f>
        <v>3638.0</v>
      </c>
      <c r="P31" s="34" t="s">
        <v>49</v>
      </c>
      <c r="Q31" s="33" t="n">
        <f>3802</f>
        <v>3802.0</v>
      </c>
      <c r="R31" s="34" t="s">
        <v>50</v>
      </c>
      <c r="S31" s="35" t="n">
        <f>3757.16</f>
        <v>3757.16</v>
      </c>
      <c r="T31" s="32" t="n">
        <f>3480950</f>
        <v>3480950.0</v>
      </c>
      <c r="U31" s="32" t="n">
        <f>3353230</f>
        <v>3353230.0</v>
      </c>
      <c r="V31" s="32" t="n">
        <f>13055226699</f>
        <v>1.3055226699E10</v>
      </c>
      <c r="W31" s="32" t="n">
        <f>12575423947</f>
        <v>1.2575423947E10</v>
      </c>
      <c r="X31" s="36" t="n">
        <f>19</f>
        <v>19.0</v>
      </c>
    </row>
    <row r="32">
      <c r="A32" s="27" t="s">
        <v>42</v>
      </c>
      <c r="B32" s="27" t="s">
        <v>130</v>
      </c>
      <c r="C32" s="27" t="s">
        <v>131</v>
      </c>
      <c r="D32" s="27" t="s">
        <v>132</v>
      </c>
      <c r="E32" s="28" t="s">
        <v>46</v>
      </c>
      <c r="F32" s="29" t="s">
        <v>46</v>
      </c>
      <c r="G32" s="30" t="s">
        <v>46</v>
      </c>
      <c r="H32" s="31"/>
      <c r="I32" s="31" t="s">
        <v>47</v>
      </c>
      <c r="J32" s="32" t="n">
        <v>1.0</v>
      </c>
      <c r="K32" s="33" t="n">
        <f>4237</f>
        <v>4237.0</v>
      </c>
      <c r="L32" s="34" t="s">
        <v>48</v>
      </c>
      <c r="M32" s="33" t="n">
        <f>4408</f>
        <v>4408.0</v>
      </c>
      <c r="N32" s="34" t="s">
        <v>50</v>
      </c>
      <c r="O32" s="33" t="n">
        <f>3828</f>
        <v>3828.0</v>
      </c>
      <c r="P32" s="34" t="s">
        <v>71</v>
      </c>
      <c r="Q32" s="33" t="n">
        <f>4401</f>
        <v>4401.0</v>
      </c>
      <c r="R32" s="34" t="s">
        <v>50</v>
      </c>
      <c r="S32" s="35" t="n">
        <f>4129.42</f>
        <v>4129.42</v>
      </c>
      <c r="T32" s="32" t="n">
        <f>5319763</f>
        <v>5319763.0</v>
      </c>
      <c r="U32" s="32" t="n">
        <f>83158</f>
        <v>83158.0</v>
      </c>
      <c r="V32" s="32" t="n">
        <f>21949336702</f>
        <v>2.1949336702E10</v>
      </c>
      <c r="W32" s="32" t="n">
        <f>344574165</f>
        <v>3.44574165E8</v>
      </c>
      <c r="X32" s="36" t="n">
        <f>19</f>
        <v>19.0</v>
      </c>
    </row>
    <row r="33">
      <c r="A33" s="27" t="s">
        <v>42</v>
      </c>
      <c r="B33" s="27" t="s">
        <v>133</v>
      </c>
      <c r="C33" s="27" t="s">
        <v>134</v>
      </c>
      <c r="D33" s="27" t="s">
        <v>135</v>
      </c>
      <c r="E33" s="28" t="s">
        <v>46</v>
      </c>
      <c r="F33" s="29" t="s">
        <v>46</v>
      </c>
      <c r="G33" s="30" t="s">
        <v>46</v>
      </c>
      <c r="H33" s="31"/>
      <c r="I33" s="31" t="s">
        <v>47</v>
      </c>
      <c r="J33" s="32" t="n">
        <v>1.0</v>
      </c>
      <c r="K33" s="33" t="n">
        <f>70</f>
        <v>70.0</v>
      </c>
      <c r="L33" s="34" t="s">
        <v>48</v>
      </c>
      <c r="M33" s="33" t="n">
        <f>77</f>
        <v>77.0</v>
      </c>
      <c r="N33" s="34" t="s">
        <v>71</v>
      </c>
      <c r="O33" s="33" t="n">
        <f>66</f>
        <v>66.0</v>
      </c>
      <c r="P33" s="34" t="s">
        <v>50</v>
      </c>
      <c r="Q33" s="33" t="n">
        <f>67</f>
        <v>67.0</v>
      </c>
      <c r="R33" s="34" t="s">
        <v>50</v>
      </c>
      <c r="S33" s="35" t="n">
        <f>71.26</f>
        <v>71.26</v>
      </c>
      <c r="T33" s="32" t="n">
        <f>28543500</f>
        <v>2.85435E7</v>
      </c>
      <c r="U33" s="32" t="n">
        <f>160962</f>
        <v>160962.0</v>
      </c>
      <c r="V33" s="32" t="n">
        <f>2047379190</f>
        <v>2.04737919E9</v>
      </c>
      <c r="W33" s="32" t="n">
        <f>11501628</f>
        <v>1.1501628E7</v>
      </c>
      <c r="X33" s="36" t="n">
        <f>19</f>
        <v>19.0</v>
      </c>
    </row>
    <row r="34">
      <c r="A34" s="27" t="s">
        <v>42</v>
      </c>
      <c r="B34" s="27" t="s">
        <v>136</v>
      </c>
      <c r="C34" s="27" t="s">
        <v>137</v>
      </c>
      <c r="D34" s="27" t="s">
        <v>138</v>
      </c>
      <c r="E34" s="28" t="s">
        <v>46</v>
      </c>
      <c r="F34" s="29" t="s">
        <v>46</v>
      </c>
      <c r="G34" s="30" t="s">
        <v>46</v>
      </c>
      <c r="H34" s="31"/>
      <c r="I34" s="31" t="s">
        <v>47</v>
      </c>
      <c r="J34" s="32" t="n">
        <v>1.0</v>
      </c>
      <c r="K34" s="33" t="n">
        <f>3144</f>
        <v>3144.0</v>
      </c>
      <c r="L34" s="34" t="s">
        <v>48</v>
      </c>
      <c r="M34" s="33" t="n">
        <f>3242</f>
        <v>3242.0</v>
      </c>
      <c r="N34" s="34" t="s">
        <v>48</v>
      </c>
      <c r="O34" s="33" t="n">
        <f>2867</f>
        <v>2867.0</v>
      </c>
      <c r="P34" s="34" t="s">
        <v>49</v>
      </c>
      <c r="Q34" s="33" t="n">
        <f>3138</f>
        <v>3138.0</v>
      </c>
      <c r="R34" s="34" t="s">
        <v>50</v>
      </c>
      <c r="S34" s="35" t="n">
        <f>3074.16</f>
        <v>3074.16</v>
      </c>
      <c r="T34" s="32" t="n">
        <f>1448172</f>
        <v>1448172.0</v>
      </c>
      <c r="U34" s="32" t="n">
        <f>31538</f>
        <v>31538.0</v>
      </c>
      <c r="V34" s="32" t="n">
        <f>4469777138</f>
        <v>4.469777138E9</v>
      </c>
      <c r="W34" s="32" t="n">
        <f>96781916</f>
        <v>9.6781916E7</v>
      </c>
      <c r="X34" s="36" t="n">
        <f>19</f>
        <v>19.0</v>
      </c>
    </row>
    <row r="35">
      <c r="A35" s="27" t="s">
        <v>42</v>
      </c>
      <c r="B35" s="27" t="s">
        <v>139</v>
      </c>
      <c r="C35" s="27" t="s">
        <v>140</v>
      </c>
      <c r="D35" s="27" t="s">
        <v>141</v>
      </c>
      <c r="E35" s="28" t="s">
        <v>46</v>
      </c>
      <c r="F35" s="29" t="s">
        <v>46</v>
      </c>
      <c r="G35" s="30" t="s">
        <v>46</v>
      </c>
      <c r="H35" s="31"/>
      <c r="I35" s="31" t="s">
        <v>47</v>
      </c>
      <c r="J35" s="32" t="n">
        <v>1.0</v>
      </c>
      <c r="K35" s="33" t="n">
        <f>150</f>
        <v>150.0</v>
      </c>
      <c r="L35" s="34" t="s">
        <v>48</v>
      </c>
      <c r="M35" s="33" t="n">
        <f>164</f>
        <v>164.0</v>
      </c>
      <c r="N35" s="34" t="s">
        <v>49</v>
      </c>
      <c r="O35" s="33" t="n">
        <f>146</f>
        <v>146.0</v>
      </c>
      <c r="P35" s="34" t="s">
        <v>48</v>
      </c>
      <c r="Q35" s="33" t="n">
        <f>150</f>
        <v>150.0</v>
      </c>
      <c r="R35" s="34" t="s">
        <v>50</v>
      </c>
      <c r="S35" s="35" t="n">
        <f>153.68</f>
        <v>153.68</v>
      </c>
      <c r="T35" s="32" t="n">
        <f>2369453</f>
        <v>2369453.0</v>
      </c>
      <c r="U35" s="32" t="str">
        <f>"－"</f>
        <v>－</v>
      </c>
      <c r="V35" s="32" t="n">
        <f>361106506</f>
        <v>3.61106506E8</v>
      </c>
      <c r="W35" s="32" t="str">
        <f>"－"</f>
        <v>－</v>
      </c>
      <c r="X35" s="36" t="n">
        <f>19</f>
        <v>19.0</v>
      </c>
    </row>
    <row r="36">
      <c r="A36" s="27" t="s">
        <v>42</v>
      </c>
      <c r="B36" s="27" t="s">
        <v>142</v>
      </c>
      <c r="C36" s="27" t="s">
        <v>143</v>
      </c>
      <c r="D36" s="27" t="s">
        <v>144</v>
      </c>
      <c r="E36" s="28" t="s">
        <v>46</v>
      </c>
      <c r="F36" s="29" t="s">
        <v>46</v>
      </c>
      <c r="G36" s="30" t="s">
        <v>46</v>
      </c>
      <c r="H36" s="31"/>
      <c r="I36" s="31" t="s">
        <v>47</v>
      </c>
      <c r="J36" s="32" t="n">
        <v>1.0</v>
      </c>
      <c r="K36" s="33" t="n">
        <f>66090</f>
        <v>66090.0</v>
      </c>
      <c r="L36" s="34" t="s">
        <v>48</v>
      </c>
      <c r="M36" s="33" t="n">
        <f>67680</f>
        <v>67680.0</v>
      </c>
      <c r="N36" s="34" t="s">
        <v>50</v>
      </c>
      <c r="O36" s="33" t="n">
        <f>63090</f>
        <v>63090.0</v>
      </c>
      <c r="P36" s="34" t="s">
        <v>71</v>
      </c>
      <c r="Q36" s="33" t="n">
        <f>67490</f>
        <v>67490.0</v>
      </c>
      <c r="R36" s="34" t="s">
        <v>50</v>
      </c>
      <c r="S36" s="35" t="n">
        <f>65524.21</f>
        <v>65524.21</v>
      </c>
      <c r="T36" s="32" t="n">
        <f>186264</f>
        <v>186264.0</v>
      </c>
      <c r="U36" s="32" t="n">
        <f>89726</f>
        <v>89726.0</v>
      </c>
      <c r="V36" s="32" t="n">
        <f>12202369255</f>
        <v>1.2202369255E10</v>
      </c>
      <c r="W36" s="32" t="n">
        <f>5869281795</f>
        <v>5.869281795E9</v>
      </c>
      <c r="X36" s="36" t="n">
        <f>19</f>
        <v>19.0</v>
      </c>
    </row>
    <row r="37">
      <c r="A37" s="27" t="s">
        <v>42</v>
      </c>
      <c r="B37" s="27" t="s">
        <v>145</v>
      </c>
      <c r="C37" s="27" t="s">
        <v>146</v>
      </c>
      <c r="D37" s="27" t="s">
        <v>147</v>
      </c>
      <c r="E37" s="28" t="s">
        <v>46</v>
      </c>
      <c r="F37" s="29" t="s">
        <v>46</v>
      </c>
      <c r="G37" s="30" t="s">
        <v>46</v>
      </c>
      <c r="H37" s="31"/>
      <c r="I37" s="31" t="s">
        <v>47</v>
      </c>
      <c r="J37" s="32" t="n">
        <v>1.0</v>
      </c>
      <c r="K37" s="33" t="n">
        <f>67010</f>
        <v>67010.0</v>
      </c>
      <c r="L37" s="34" t="s">
        <v>48</v>
      </c>
      <c r="M37" s="33" t="n">
        <f>68120</f>
        <v>68120.0</v>
      </c>
      <c r="N37" s="34" t="s">
        <v>50</v>
      </c>
      <c r="O37" s="33" t="n">
        <f>63490</f>
        <v>63490.0</v>
      </c>
      <c r="P37" s="34" t="s">
        <v>71</v>
      </c>
      <c r="Q37" s="33" t="n">
        <f>68120</f>
        <v>68120.0</v>
      </c>
      <c r="R37" s="34" t="s">
        <v>50</v>
      </c>
      <c r="S37" s="35" t="n">
        <f>65902.11</f>
        <v>65902.11</v>
      </c>
      <c r="T37" s="32" t="n">
        <f>200499</f>
        <v>200499.0</v>
      </c>
      <c r="U37" s="32" t="n">
        <f>71085</f>
        <v>71085.0</v>
      </c>
      <c r="V37" s="32" t="n">
        <f>13141882777</f>
        <v>1.3141882777E10</v>
      </c>
      <c r="W37" s="32" t="n">
        <f>4598608007</f>
        <v>4.598608007E9</v>
      </c>
      <c r="X37" s="36" t="n">
        <f>19</f>
        <v>19.0</v>
      </c>
    </row>
    <row r="38">
      <c r="A38" s="27" t="s">
        <v>42</v>
      </c>
      <c r="B38" s="27" t="s">
        <v>148</v>
      </c>
      <c r="C38" s="27" t="s">
        <v>149</v>
      </c>
      <c r="D38" s="27" t="s">
        <v>150</v>
      </c>
      <c r="E38" s="28" t="s">
        <v>46</v>
      </c>
      <c r="F38" s="29" t="s">
        <v>46</v>
      </c>
      <c r="G38" s="30" t="s">
        <v>46</v>
      </c>
      <c r="H38" s="31"/>
      <c r="I38" s="31" t="s">
        <v>47</v>
      </c>
      <c r="J38" s="32" t="n">
        <v>10.0</v>
      </c>
      <c r="K38" s="33" t="n">
        <f>1857</f>
        <v>1857.0</v>
      </c>
      <c r="L38" s="34" t="s">
        <v>48</v>
      </c>
      <c r="M38" s="33" t="n">
        <f>1866.5</f>
        <v>1866.5</v>
      </c>
      <c r="N38" s="34" t="s">
        <v>48</v>
      </c>
      <c r="O38" s="33" t="n">
        <f>1747</f>
        <v>1747.0</v>
      </c>
      <c r="P38" s="34" t="s">
        <v>50</v>
      </c>
      <c r="Q38" s="33" t="n">
        <f>1837.5</f>
        <v>1837.5</v>
      </c>
      <c r="R38" s="34" t="s">
        <v>50</v>
      </c>
      <c r="S38" s="35" t="n">
        <f>1804.92</f>
        <v>1804.92</v>
      </c>
      <c r="T38" s="32" t="n">
        <f>3196020</f>
        <v>3196020.0</v>
      </c>
      <c r="U38" s="32" t="n">
        <f>374410</f>
        <v>374410.0</v>
      </c>
      <c r="V38" s="32" t="n">
        <f>5733443716</f>
        <v>5.733443716E9</v>
      </c>
      <c r="W38" s="32" t="n">
        <f>669453446</f>
        <v>6.69453446E8</v>
      </c>
      <c r="X38" s="36" t="n">
        <f>19</f>
        <v>19.0</v>
      </c>
    </row>
    <row r="39">
      <c r="A39" s="27" t="s">
        <v>42</v>
      </c>
      <c r="B39" s="27" t="s">
        <v>151</v>
      </c>
      <c r="C39" s="27" t="s">
        <v>152</v>
      </c>
      <c r="D39" s="27" t="s">
        <v>153</v>
      </c>
      <c r="E39" s="28" t="s">
        <v>46</v>
      </c>
      <c r="F39" s="29" t="s">
        <v>46</v>
      </c>
      <c r="G39" s="30" t="s">
        <v>46</v>
      </c>
      <c r="H39" s="31"/>
      <c r="I39" s="31" t="s">
        <v>47</v>
      </c>
      <c r="J39" s="32" t="n">
        <v>1.0</v>
      </c>
      <c r="K39" s="33" t="n">
        <f>3248</f>
        <v>3248.0</v>
      </c>
      <c r="L39" s="34" t="s">
        <v>48</v>
      </c>
      <c r="M39" s="33" t="n">
        <f>3388</f>
        <v>3388.0</v>
      </c>
      <c r="N39" s="34" t="s">
        <v>48</v>
      </c>
      <c r="O39" s="33" t="n">
        <f>3149</f>
        <v>3149.0</v>
      </c>
      <c r="P39" s="34" t="s">
        <v>49</v>
      </c>
      <c r="Q39" s="33" t="n">
        <f>3210</f>
        <v>3210.0</v>
      </c>
      <c r="R39" s="34" t="s">
        <v>50</v>
      </c>
      <c r="S39" s="35" t="n">
        <f>3226</f>
        <v>3226.0</v>
      </c>
      <c r="T39" s="32" t="n">
        <f>125365</f>
        <v>125365.0</v>
      </c>
      <c r="U39" s="32" t="n">
        <f>1840</f>
        <v>1840.0</v>
      </c>
      <c r="V39" s="32" t="n">
        <f>404129847</f>
        <v>4.04129847E8</v>
      </c>
      <c r="W39" s="32" t="n">
        <f>5928633</f>
        <v>5928633.0</v>
      </c>
      <c r="X39" s="36" t="n">
        <f>19</f>
        <v>19.0</v>
      </c>
    </row>
    <row r="40">
      <c r="A40" s="27" t="s">
        <v>42</v>
      </c>
      <c r="B40" s="27" t="s">
        <v>154</v>
      </c>
      <c r="C40" s="27" t="s">
        <v>155</v>
      </c>
      <c r="D40" s="27" t="s">
        <v>156</v>
      </c>
      <c r="E40" s="28" t="s">
        <v>46</v>
      </c>
      <c r="F40" s="29" t="s">
        <v>46</v>
      </c>
      <c r="G40" s="30" t="s">
        <v>46</v>
      </c>
      <c r="H40" s="31"/>
      <c r="I40" s="31" t="s">
        <v>47</v>
      </c>
      <c r="J40" s="32" t="n">
        <v>1.0</v>
      </c>
      <c r="K40" s="33" t="n">
        <f>2122</f>
        <v>2122.0</v>
      </c>
      <c r="L40" s="34" t="s">
        <v>48</v>
      </c>
      <c r="M40" s="33" t="n">
        <f>2154</f>
        <v>2154.0</v>
      </c>
      <c r="N40" s="34" t="s">
        <v>71</v>
      </c>
      <c r="O40" s="33" t="n">
        <f>2021</f>
        <v>2021.0</v>
      </c>
      <c r="P40" s="34" t="s">
        <v>157</v>
      </c>
      <c r="Q40" s="33" t="n">
        <f>2085</f>
        <v>2085.0</v>
      </c>
      <c r="R40" s="34" t="s">
        <v>50</v>
      </c>
      <c r="S40" s="35" t="n">
        <f>2053.37</f>
        <v>2053.37</v>
      </c>
      <c r="T40" s="32" t="n">
        <f>3156</f>
        <v>3156.0</v>
      </c>
      <c r="U40" s="32" t="str">
        <f>"－"</f>
        <v>－</v>
      </c>
      <c r="V40" s="32" t="n">
        <f>6495678</f>
        <v>6495678.0</v>
      </c>
      <c r="W40" s="32" t="str">
        <f>"－"</f>
        <v>－</v>
      </c>
      <c r="X40" s="36" t="n">
        <f>19</f>
        <v>19.0</v>
      </c>
    </row>
    <row r="41">
      <c r="A41" s="27" t="s">
        <v>42</v>
      </c>
      <c r="B41" s="27" t="s">
        <v>158</v>
      </c>
      <c r="C41" s="27" t="s">
        <v>159</v>
      </c>
      <c r="D41" s="27" t="s">
        <v>160</v>
      </c>
      <c r="E41" s="28" t="s">
        <v>46</v>
      </c>
      <c r="F41" s="29" t="s">
        <v>46</v>
      </c>
      <c r="G41" s="30" t="s">
        <v>46</v>
      </c>
      <c r="H41" s="31"/>
      <c r="I41" s="31" t="s">
        <v>47</v>
      </c>
      <c r="J41" s="32" t="n">
        <v>1.0</v>
      </c>
      <c r="K41" s="33" t="n">
        <f>1267</f>
        <v>1267.0</v>
      </c>
      <c r="L41" s="34" t="s">
        <v>48</v>
      </c>
      <c r="M41" s="33" t="n">
        <f>1325</f>
        <v>1325.0</v>
      </c>
      <c r="N41" s="34" t="s">
        <v>71</v>
      </c>
      <c r="O41" s="33" t="n">
        <f>1234</f>
        <v>1234.0</v>
      </c>
      <c r="P41" s="34" t="s">
        <v>50</v>
      </c>
      <c r="Q41" s="33" t="n">
        <f>1236</f>
        <v>1236.0</v>
      </c>
      <c r="R41" s="34" t="s">
        <v>50</v>
      </c>
      <c r="S41" s="35" t="n">
        <f>1277.53</f>
        <v>1277.53</v>
      </c>
      <c r="T41" s="32" t="n">
        <f>764526</f>
        <v>764526.0</v>
      </c>
      <c r="U41" s="32" t="str">
        <f>"－"</f>
        <v>－</v>
      </c>
      <c r="V41" s="32" t="n">
        <f>978510696</f>
        <v>9.78510696E8</v>
      </c>
      <c r="W41" s="32" t="str">
        <f>"－"</f>
        <v>－</v>
      </c>
      <c r="X41" s="36" t="n">
        <f>19</f>
        <v>19.0</v>
      </c>
    </row>
    <row r="42">
      <c r="A42" s="27" t="s">
        <v>42</v>
      </c>
      <c r="B42" s="27" t="s">
        <v>161</v>
      </c>
      <c r="C42" s="27" t="s">
        <v>162</v>
      </c>
      <c r="D42" s="27" t="s">
        <v>163</v>
      </c>
      <c r="E42" s="28" t="s">
        <v>46</v>
      </c>
      <c r="F42" s="29" t="s">
        <v>46</v>
      </c>
      <c r="G42" s="30" t="s">
        <v>46</v>
      </c>
      <c r="H42" s="31"/>
      <c r="I42" s="31" t="s">
        <v>47</v>
      </c>
      <c r="J42" s="32" t="n">
        <v>1.0</v>
      </c>
      <c r="K42" s="33" t="n">
        <f>1747</f>
        <v>1747.0</v>
      </c>
      <c r="L42" s="34" t="s">
        <v>48</v>
      </c>
      <c r="M42" s="33" t="n">
        <f>1824</f>
        <v>1824.0</v>
      </c>
      <c r="N42" s="34" t="s">
        <v>49</v>
      </c>
      <c r="O42" s="33" t="n">
        <f>1720</f>
        <v>1720.0</v>
      </c>
      <c r="P42" s="34" t="s">
        <v>48</v>
      </c>
      <c r="Q42" s="33" t="n">
        <f>1739</f>
        <v>1739.0</v>
      </c>
      <c r="R42" s="34" t="s">
        <v>50</v>
      </c>
      <c r="S42" s="35" t="n">
        <f>1765.16</f>
        <v>1765.16</v>
      </c>
      <c r="T42" s="32" t="n">
        <f>295936</f>
        <v>295936.0</v>
      </c>
      <c r="U42" s="32" t="n">
        <f>200</f>
        <v>200.0</v>
      </c>
      <c r="V42" s="32" t="n">
        <f>520949600</f>
        <v>5.209496E8</v>
      </c>
      <c r="W42" s="32" t="n">
        <f>351200</f>
        <v>351200.0</v>
      </c>
      <c r="X42" s="36" t="n">
        <f>19</f>
        <v>19.0</v>
      </c>
    </row>
    <row r="43">
      <c r="A43" s="27" t="s">
        <v>42</v>
      </c>
      <c r="B43" s="27" t="s">
        <v>164</v>
      </c>
      <c r="C43" s="27" t="s">
        <v>165</v>
      </c>
      <c r="D43" s="27" t="s">
        <v>166</v>
      </c>
      <c r="E43" s="28" t="s">
        <v>46</v>
      </c>
      <c r="F43" s="29" t="s">
        <v>46</v>
      </c>
      <c r="G43" s="30" t="s">
        <v>46</v>
      </c>
      <c r="H43" s="31"/>
      <c r="I43" s="31" t="s">
        <v>47</v>
      </c>
      <c r="J43" s="32" t="n">
        <v>1.0</v>
      </c>
      <c r="K43" s="33" t="n">
        <f>81940</f>
        <v>81940.0</v>
      </c>
      <c r="L43" s="34" t="s">
        <v>48</v>
      </c>
      <c r="M43" s="33" t="n">
        <f>85340</f>
        <v>85340.0</v>
      </c>
      <c r="N43" s="34" t="s">
        <v>50</v>
      </c>
      <c r="O43" s="33" t="n">
        <f>74050</f>
        <v>74050.0</v>
      </c>
      <c r="P43" s="34" t="s">
        <v>71</v>
      </c>
      <c r="Q43" s="33" t="n">
        <f>85190</f>
        <v>85190.0</v>
      </c>
      <c r="R43" s="34" t="s">
        <v>50</v>
      </c>
      <c r="S43" s="35" t="n">
        <f>79938.95</f>
        <v>79938.95</v>
      </c>
      <c r="T43" s="32" t="n">
        <f>2064897</f>
        <v>2064897.0</v>
      </c>
      <c r="U43" s="32" t="n">
        <f>28431</f>
        <v>28431.0</v>
      </c>
      <c r="V43" s="32" t="n">
        <f>164726750538</f>
        <v>1.64726750538E11</v>
      </c>
      <c r="W43" s="32" t="n">
        <f>2269256078</f>
        <v>2.269256078E9</v>
      </c>
      <c r="X43" s="36" t="n">
        <f>19</f>
        <v>19.0</v>
      </c>
    </row>
    <row r="44">
      <c r="A44" s="27" t="s">
        <v>42</v>
      </c>
      <c r="B44" s="27" t="s">
        <v>167</v>
      </c>
      <c r="C44" s="27" t="s">
        <v>168</v>
      </c>
      <c r="D44" s="27" t="s">
        <v>169</v>
      </c>
      <c r="E44" s="28" t="s">
        <v>46</v>
      </c>
      <c r="F44" s="29" t="s">
        <v>46</v>
      </c>
      <c r="G44" s="30" t="s">
        <v>46</v>
      </c>
      <c r="H44" s="31"/>
      <c r="I44" s="31" t="s">
        <v>47</v>
      </c>
      <c r="J44" s="32" t="n">
        <v>1.0</v>
      </c>
      <c r="K44" s="33" t="n">
        <f>111</f>
        <v>111.0</v>
      </c>
      <c r="L44" s="34" t="s">
        <v>48</v>
      </c>
      <c r="M44" s="33" t="n">
        <f>123</f>
        <v>123.0</v>
      </c>
      <c r="N44" s="34" t="s">
        <v>71</v>
      </c>
      <c r="O44" s="33" t="n">
        <f>106</f>
        <v>106.0</v>
      </c>
      <c r="P44" s="34" t="s">
        <v>50</v>
      </c>
      <c r="Q44" s="33" t="n">
        <f>106</f>
        <v>106.0</v>
      </c>
      <c r="R44" s="34" t="s">
        <v>50</v>
      </c>
      <c r="S44" s="35" t="n">
        <f>114.05</f>
        <v>114.05</v>
      </c>
      <c r="T44" s="32" t="n">
        <f>98846983</f>
        <v>9.8846983E7</v>
      </c>
      <c r="U44" s="32" t="n">
        <f>3508846</f>
        <v>3508846.0</v>
      </c>
      <c r="V44" s="32" t="n">
        <f>11249400436</f>
        <v>1.1249400436E10</v>
      </c>
      <c r="W44" s="32" t="n">
        <f>397768280</f>
        <v>3.9776828E8</v>
      </c>
      <c r="X44" s="36" t="n">
        <f>19</f>
        <v>19.0</v>
      </c>
    </row>
    <row r="45">
      <c r="A45" s="27" t="s">
        <v>42</v>
      </c>
      <c r="B45" s="27" t="s">
        <v>170</v>
      </c>
      <c r="C45" s="27" t="s">
        <v>171</v>
      </c>
      <c r="D45" s="27" t="s">
        <v>172</v>
      </c>
      <c r="E45" s="28" t="s">
        <v>46</v>
      </c>
      <c r="F45" s="29" t="s">
        <v>46</v>
      </c>
      <c r="G45" s="30" t="s">
        <v>46</v>
      </c>
      <c r="H45" s="31"/>
      <c r="I45" s="31" t="s">
        <v>47</v>
      </c>
      <c r="J45" s="32" t="n">
        <v>1.0</v>
      </c>
      <c r="K45" s="33" t="n">
        <f>191</f>
        <v>191.0</v>
      </c>
      <c r="L45" s="34" t="s">
        <v>48</v>
      </c>
      <c r="M45" s="33" t="n">
        <f>209</f>
        <v>209.0</v>
      </c>
      <c r="N45" s="34" t="s">
        <v>49</v>
      </c>
      <c r="O45" s="33" t="n">
        <f>189</f>
        <v>189.0</v>
      </c>
      <c r="P45" s="34" t="s">
        <v>48</v>
      </c>
      <c r="Q45" s="33" t="n">
        <f>195</f>
        <v>195.0</v>
      </c>
      <c r="R45" s="34" t="s">
        <v>50</v>
      </c>
      <c r="S45" s="35" t="n">
        <f>198.32</f>
        <v>198.32</v>
      </c>
      <c r="T45" s="32" t="n">
        <f>23687</f>
        <v>23687.0</v>
      </c>
      <c r="U45" s="32" t="str">
        <f>"－"</f>
        <v>－</v>
      </c>
      <c r="V45" s="32" t="n">
        <f>4680502</f>
        <v>4680502.0</v>
      </c>
      <c r="W45" s="32" t="str">
        <f>"－"</f>
        <v>－</v>
      </c>
      <c r="X45" s="36" t="n">
        <f>19</f>
        <v>19.0</v>
      </c>
    </row>
    <row r="46">
      <c r="A46" s="27" t="s">
        <v>42</v>
      </c>
      <c r="B46" s="27" t="s">
        <v>173</v>
      </c>
      <c r="C46" s="27" t="s">
        <v>174</v>
      </c>
      <c r="D46" s="27" t="s">
        <v>175</v>
      </c>
      <c r="E46" s="28" t="s">
        <v>46</v>
      </c>
      <c r="F46" s="29" t="s">
        <v>46</v>
      </c>
      <c r="G46" s="30" t="s">
        <v>46</v>
      </c>
      <c r="H46" s="31"/>
      <c r="I46" s="31" t="s">
        <v>47</v>
      </c>
      <c r="J46" s="32" t="n">
        <v>10.0</v>
      </c>
      <c r="K46" s="33" t="n">
        <f>179.4</f>
        <v>179.4</v>
      </c>
      <c r="L46" s="34" t="s">
        <v>48</v>
      </c>
      <c r="M46" s="33" t="n">
        <f>198</f>
        <v>198.0</v>
      </c>
      <c r="N46" s="34" t="s">
        <v>49</v>
      </c>
      <c r="O46" s="33" t="n">
        <f>176.2</f>
        <v>176.2</v>
      </c>
      <c r="P46" s="34" t="s">
        <v>48</v>
      </c>
      <c r="Q46" s="33" t="n">
        <f>182.2</f>
        <v>182.2</v>
      </c>
      <c r="R46" s="34" t="s">
        <v>50</v>
      </c>
      <c r="S46" s="35" t="n">
        <f>185.41</f>
        <v>185.41</v>
      </c>
      <c r="T46" s="32" t="n">
        <f>423630</f>
        <v>423630.0</v>
      </c>
      <c r="U46" s="32" t="n">
        <f>18660</f>
        <v>18660.0</v>
      </c>
      <c r="V46" s="32" t="n">
        <f>79905737</f>
        <v>7.9905737E7</v>
      </c>
      <c r="W46" s="32" t="n">
        <f>3476632</f>
        <v>3476632.0</v>
      </c>
      <c r="X46" s="36" t="n">
        <f>19</f>
        <v>19.0</v>
      </c>
    </row>
    <row r="47">
      <c r="A47" s="27" t="s">
        <v>42</v>
      </c>
      <c r="B47" s="27" t="s">
        <v>176</v>
      </c>
      <c r="C47" s="27" t="s">
        <v>177</v>
      </c>
      <c r="D47" s="27" t="s">
        <v>178</v>
      </c>
      <c r="E47" s="28" t="s">
        <v>46</v>
      </c>
      <c r="F47" s="29" t="s">
        <v>46</v>
      </c>
      <c r="G47" s="30" t="s">
        <v>46</v>
      </c>
      <c r="H47" s="31"/>
      <c r="I47" s="31" t="s">
        <v>47</v>
      </c>
      <c r="J47" s="32" t="n">
        <v>1.0</v>
      </c>
      <c r="K47" s="33" t="n">
        <f>74</f>
        <v>74.0</v>
      </c>
      <c r="L47" s="34" t="s">
        <v>48</v>
      </c>
      <c r="M47" s="33" t="n">
        <f>80</f>
        <v>80.0</v>
      </c>
      <c r="N47" s="34" t="s">
        <v>49</v>
      </c>
      <c r="O47" s="33" t="n">
        <f>73</f>
        <v>73.0</v>
      </c>
      <c r="P47" s="34" t="s">
        <v>48</v>
      </c>
      <c r="Q47" s="33" t="n">
        <f>74</f>
        <v>74.0</v>
      </c>
      <c r="R47" s="34" t="s">
        <v>50</v>
      </c>
      <c r="S47" s="35" t="n">
        <f>76.32</f>
        <v>76.32</v>
      </c>
      <c r="T47" s="32" t="n">
        <f>120301</f>
        <v>120301.0</v>
      </c>
      <c r="U47" s="32" t="str">
        <f>"－"</f>
        <v>－</v>
      </c>
      <c r="V47" s="32" t="n">
        <f>9158014</f>
        <v>9158014.0</v>
      </c>
      <c r="W47" s="32" t="str">
        <f>"－"</f>
        <v>－</v>
      </c>
      <c r="X47" s="36" t="n">
        <f>19</f>
        <v>19.0</v>
      </c>
    </row>
    <row r="48">
      <c r="A48" s="27" t="s">
        <v>42</v>
      </c>
      <c r="B48" s="27" t="s">
        <v>179</v>
      </c>
      <c r="C48" s="27" t="s">
        <v>180</v>
      </c>
      <c r="D48" s="27" t="s">
        <v>181</v>
      </c>
      <c r="E48" s="28" t="s">
        <v>46</v>
      </c>
      <c r="F48" s="29" t="s">
        <v>46</v>
      </c>
      <c r="G48" s="30" t="s">
        <v>46</v>
      </c>
      <c r="H48" s="31"/>
      <c r="I48" s="31" t="s">
        <v>47</v>
      </c>
      <c r="J48" s="32" t="n">
        <v>10.0</v>
      </c>
      <c r="K48" s="33" t="n">
        <f>4218</f>
        <v>4218.0</v>
      </c>
      <c r="L48" s="34" t="s">
        <v>48</v>
      </c>
      <c r="M48" s="33" t="n">
        <f>4274</f>
        <v>4274.0</v>
      </c>
      <c r="N48" s="34" t="s">
        <v>48</v>
      </c>
      <c r="O48" s="33" t="n">
        <f>4041</f>
        <v>4041.0</v>
      </c>
      <c r="P48" s="34" t="s">
        <v>49</v>
      </c>
      <c r="Q48" s="33" t="n">
        <f>4234</f>
        <v>4234.0</v>
      </c>
      <c r="R48" s="34" t="s">
        <v>50</v>
      </c>
      <c r="S48" s="35" t="n">
        <f>4163.21</f>
        <v>4163.21</v>
      </c>
      <c r="T48" s="32" t="n">
        <f>2044690</f>
        <v>2044690.0</v>
      </c>
      <c r="U48" s="32" t="n">
        <f>1250510</f>
        <v>1250510.0</v>
      </c>
      <c r="V48" s="32" t="n">
        <f>8545868675</f>
        <v>8.545868675E9</v>
      </c>
      <c r="W48" s="32" t="n">
        <f>5235005395</f>
        <v>5.235005395E9</v>
      </c>
      <c r="X48" s="36" t="n">
        <f>19</f>
        <v>19.0</v>
      </c>
    </row>
    <row r="49">
      <c r="A49" s="27" t="s">
        <v>42</v>
      </c>
      <c r="B49" s="27" t="s">
        <v>182</v>
      </c>
      <c r="C49" s="27" t="s">
        <v>183</v>
      </c>
      <c r="D49" s="27" t="s">
        <v>184</v>
      </c>
      <c r="E49" s="28" t="s">
        <v>46</v>
      </c>
      <c r="F49" s="29" t="s">
        <v>46</v>
      </c>
      <c r="G49" s="30" t="s">
        <v>46</v>
      </c>
      <c r="H49" s="31"/>
      <c r="I49" s="31" t="s">
        <v>47</v>
      </c>
      <c r="J49" s="32" t="n">
        <v>1.0</v>
      </c>
      <c r="K49" s="33" t="n">
        <f>38210</f>
        <v>38210.0</v>
      </c>
      <c r="L49" s="34" t="s">
        <v>48</v>
      </c>
      <c r="M49" s="33" t="n">
        <f>38240</f>
        <v>38240.0</v>
      </c>
      <c r="N49" s="34" t="s">
        <v>48</v>
      </c>
      <c r="O49" s="33" t="n">
        <f>36350</f>
        <v>36350.0</v>
      </c>
      <c r="P49" s="34" t="s">
        <v>49</v>
      </c>
      <c r="Q49" s="33" t="n">
        <f>37620</f>
        <v>37620.0</v>
      </c>
      <c r="R49" s="34" t="s">
        <v>50</v>
      </c>
      <c r="S49" s="35" t="n">
        <f>37113.16</f>
        <v>37113.16</v>
      </c>
      <c r="T49" s="32" t="n">
        <f>7795</f>
        <v>7795.0</v>
      </c>
      <c r="U49" s="32" t="n">
        <f>2503</f>
        <v>2503.0</v>
      </c>
      <c r="V49" s="32" t="n">
        <f>291151523</f>
        <v>2.91151523E8</v>
      </c>
      <c r="W49" s="32" t="n">
        <f>94003123</f>
        <v>9.4003123E7</v>
      </c>
      <c r="X49" s="36" t="n">
        <f>19</f>
        <v>19.0</v>
      </c>
    </row>
    <row r="50">
      <c r="A50" s="27" t="s">
        <v>42</v>
      </c>
      <c r="B50" s="27" t="s">
        <v>185</v>
      </c>
      <c r="C50" s="27" t="s">
        <v>186</v>
      </c>
      <c r="D50" s="27" t="s">
        <v>187</v>
      </c>
      <c r="E50" s="28" t="s">
        <v>46</v>
      </c>
      <c r="F50" s="29" t="s">
        <v>46</v>
      </c>
      <c r="G50" s="30" t="s">
        <v>46</v>
      </c>
      <c r="H50" s="31"/>
      <c r="I50" s="31" t="s">
        <v>47</v>
      </c>
      <c r="J50" s="32" t="n">
        <v>10.0</v>
      </c>
      <c r="K50" s="33" t="n">
        <f>424.4</f>
        <v>424.4</v>
      </c>
      <c r="L50" s="34" t="s">
        <v>48</v>
      </c>
      <c r="M50" s="33" t="n">
        <f>430.8</f>
        <v>430.8</v>
      </c>
      <c r="N50" s="34" t="s">
        <v>48</v>
      </c>
      <c r="O50" s="33" t="n">
        <f>406.3</f>
        <v>406.3</v>
      </c>
      <c r="P50" s="34" t="s">
        <v>49</v>
      </c>
      <c r="Q50" s="33" t="n">
        <f>425.2</f>
        <v>425.2</v>
      </c>
      <c r="R50" s="34" t="s">
        <v>50</v>
      </c>
      <c r="S50" s="35" t="n">
        <f>419.53</f>
        <v>419.53</v>
      </c>
      <c r="T50" s="32" t="n">
        <f>144782880</f>
        <v>1.4478288E8</v>
      </c>
      <c r="U50" s="32" t="n">
        <f>77679720</f>
        <v>7.767972E7</v>
      </c>
      <c r="V50" s="32" t="n">
        <f>60556312795</f>
        <v>6.0556312795E10</v>
      </c>
      <c r="W50" s="32" t="n">
        <f>32507181172</f>
        <v>3.2507181172E10</v>
      </c>
      <c r="X50" s="36" t="n">
        <f>19</f>
        <v>19.0</v>
      </c>
    </row>
    <row r="51">
      <c r="A51" s="27" t="s">
        <v>42</v>
      </c>
      <c r="B51" s="27" t="s">
        <v>188</v>
      </c>
      <c r="C51" s="27" t="s">
        <v>189</v>
      </c>
      <c r="D51" s="27" t="s">
        <v>190</v>
      </c>
      <c r="E51" s="28" t="s">
        <v>46</v>
      </c>
      <c r="F51" s="29" t="s">
        <v>46</v>
      </c>
      <c r="G51" s="30" t="s">
        <v>46</v>
      </c>
      <c r="H51" s="31"/>
      <c r="I51" s="31" t="s">
        <v>47</v>
      </c>
      <c r="J51" s="32" t="n">
        <v>1.0</v>
      </c>
      <c r="K51" s="33" t="n">
        <f>1856</f>
        <v>1856.0</v>
      </c>
      <c r="L51" s="34" t="s">
        <v>48</v>
      </c>
      <c r="M51" s="33" t="n">
        <f>1860</f>
        <v>1860.0</v>
      </c>
      <c r="N51" s="34" t="s">
        <v>48</v>
      </c>
      <c r="O51" s="33" t="n">
        <f>1771</f>
        <v>1771.0</v>
      </c>
      <c r="P51" s="34" t="s">
        <v>50</v>
      </c>
      <c r="Q51" s="33" t="n">
        <f>1777</f>
        <v>1777.0</v>
      </c>
      <c r="R51" s="34" t="s">
        <v>50</v>
      </c>
      <c r="S51" s="35" t="n">
        <f>1816.42</f>
        <v>1816.42</v>
      </c>
      <c r="T51" s="32" t="n">
        <f>8370749</f>
        <v>8370749.0</v>
      </c>
      <c r="U51" s="32" t="n">
        <f>6126763</f>
        <v>6126763.0</v>
      </c>
      <c r="V51" s="32" t="n">
        <f>15213828314</f>
        <v>1.5213828314E10</v>
      </c>
      <c r="W51" s="32" t="n">
        <f>11143300378</f>
        <v>1.1143300378E10</v>
      </c>
      <c r="X51" s="36" t="n">
        <f>19</f>
        <v>19.0</v>
      </c>
    </row>
    <row r="52">
      <c r="A52" s="27" t="s">
        <v>42</v>
      </c>
      <c r="B52" s="27" t="s">
        <v>191</v>
      </c>
      <c r="C52" s="27" t="s">
        <v>192</v>
      </c>
      <c r="D52" s="27" t="s">
        <v>193</v>
      </c>
      <c r="E52" s="28" t="s">
        <v>46</v>
      </c>
      <c r="F52" s="29" t="s">
        <v>46</v>
      </c>
      <c r="G52" s="30" t="s">
        <v>46</v>
      </c>
      <c r="H52" s="31"/>
      <c r="I52" s="31" t="s">
        <v>47</v>
      </c>
      <c r="J52" s="32" t="n">
        <v>1.0</v>
      </c>
      <c r="K52" s="33" t="n">
        <f>3387</f>
        <v>3387.0</v>
      </c>
      <c r="L52" s="34" t="s">
        <v>48</v>
      </c>
      <c r="M52" s="33" t="n">
        <f>3459</f>
        <v>3459.0</v>
      </c>
      <c r="N52" s="34" t="s">
        <v>48</v>
      </c>
      <c r="O52" s="33" t="n">
        <f>3273</f>
        <v>3273.0</v>
      </c>
      <c r="P52" s="34" t="s">
        <v>71</v>
      </c>
      <c r="Q52" s="33" t="n">
        <f>3381</f>
        <v>3381.0</v>
      </c>
      <c r="R52" s="34" t="s">
        <v>50</v>
      </c>
      <c r="S52" s="35" t="n">
        <f>3363.42</f>
        <v>3363.42</v>
      </c>
      <c r="T52" s="32" t="n">
        <f>211247</f>
        <v>211247.0</v>
      </c>
      <c r="U52" s="32" t="n">
        <f>92093</f>
        <v>92093.0</v>
      </c>
      <c r="V52" s="32" t="n">
        <f>716025436</f>
        <v>7.16025436E8</v>
      </c>
      <c r="W52" s="32" t="n">
        <f>314900515</f>
        <v>3.14900515E8</v>
      </c>
      <c r="X52" s="36" t="n">
        <f>19</f>
        <v>19.0</v>
      </c>
    </row>
    <row r="53">
      <c r="A53" s="27" t="s">
        <v>42</v>
      </c>
      <c r="B53" s="27" t="s">
        <v>194</v>
      </c>
      <c r="C53" s="27" t="s">
        <v>195</v>
      </c>
      <c r="D53" s="27" t="s">
        <v>196</v>
      </c>
      <c r="E53" s="28" t="s">
        <v>46</v>
      </c>
      <c r="F53" s="29" t="s">
        <v>46</v>
      </c>
      <c r="G53" s="30" t="s">
        <v>46</v>
      </c>
      <c r="H53" s="31"/>
      <c r="I53" s="31" t="s">
        <v>47</v>
      </c>
      <c r="J53" s="32" t="n">
        <v>1.0</v>
      </c>
      <c r="K53" s="33" t="n">
        <f>5403</f>
        <v>5403.0</v>
      </c>
      <c r="L53" s="34" t="s">
        <v>48</v>
      </c>
      <c r="M53" s="33" t="n">
        <f>5497</f>
        <v>5497.0</v>
      </c>
      <c r="N53" s="34" t="s">
        <v>48</v>
      </c>
      <c r="O53" s="33" t="n">
        <f>5226</f>
        <v>5226.0</v>
      </c>
      <c r="P53" s="34" t="s">
        <v>49</v>
      </c>
      <c r="Q53" s="33" t="n">
        <f>5359</f>
        <v>5359.0</v>
      </c>
      <c r="R53" s="34" t="s">
        <v>50</v>
      </c>
      <c r="S53" s="35" t="n">
        <f>5369.79</f>
        <v>5369.79</v>
      </c>
      <c r="T53" s="32" t="n">
        <f>530130</f>
        <v>530130.0</v>
      </c>
      <c r="U53" s="32" t="n">
        <f>97302</f>
        <v>97302.0</v>
      </c>
      <c r="V53" s="32" t="n">
        <f>2853288490</f>
        <v>2.85328849E9</v>
      </c>
      <c r="W53" s="32" t="n">
        <f>526268048</f>
        <v>5.26268048E8</v>
      </c>
      <c r="X53" s="36" t="n">
        <f>19</f>
        <v>19.0</v>
      </c>
    </row>
    <row r="54">
      <c r="A54" s="27" t="s">
        <v>42</v>
      </c>
      <c r="B54" s="27" t="s">
        <v>197</v>
      </c>
      <c r="C54" s="27" t="s">
        <v>198</v>
      </c>
      <c r="D54" s="27" t="s">
        <v>199</v>
      </c>
      <c r="E54" s="28" t="s">
        <v>46</v>
      </c>
      <c r="F54" s="29" t="s">
        <v>46</v>
      </c>
      <c r="G54" s="30" t="s">
        <v>46</v>
      </c>
      <c r="H54" s="31"/>
      <c r="I54" s="31" t="s">
        <v>47</v>
      </c>
      <c r="J54" s="32" t="n">
        <v>1.0</v>
      </c>
      <c r="K54" s="33" t="n">
        <f>50000</f>
        <v>50000.0</v>
      </c>
      <c r="L54" s="34" t="s">
        <v>66</v>
      </c>
      <c r="M54" s="33" t="n">
        <f>52400</f>
        <v>52400.0</v>
      </c>
      <c r="N54" s="34" t="s">
        <v>200</v>
      </c>
      <c r="O54" s="33" t="n">
        <f>49500</f>
        <v>49500.0</v>
      </c>
      <c r="P54" s="34" t="s">
        <v>82</v>
      </c>
      <c r="Q54" s="33" t="n">
        <f>52300</f>
        <v>52300.0</v>
      </c>
      <c r="R54" s="34" t="s">
        <v>50</v>
      </c>
      <c r="S54" s="35" t="n">
        <f>51460</f>
        <v>51460.0</v>
      </c>
      <c r="T54" s="32" t="n">
        <f>77</f>
        <v>77.0</v>
      </c>
      <c r="U54" s="32" t="str">
        <f>"－"</f>
        <v>－</v>
      </c>
      <c r="V54" s="32" t="n">
        <f>3910140</f>
        <v>3910140.0</v>
      </c>
      <c r="W54" s="32" t="str">
        <f>"－"</f>
        <v>－</v>
      </c>
      <c r="X54" s="36" t="n">
        <f>8</f>
        <v>8.0</v>
      </c>
    </row>
    <row r="55">
      <c r="A55" s="27" t="s">
        <v>42</v>
      </c>
      <c r="B55" s="27" t="s">
        <v>201</v>
      </c>
      <c r="C55" s="27" t="s">
        <v>202</v>
      </c>
      <c r="D55" s="27" t="s">
        <v>203</v>
      </c>
      <c r="E55" s="28" t="s">
        <v>46</v>
      </c>
      <c r="F55" s="29" t="s">
        <v>46</v>
      </c>
      <c r="G55" s="30" t="s">
        <v>46</v>
      </c>
      <c r="H55" s="31"/>
      <c r="I55" s="31" t="s">
        <v>47</v>
      </c>
      <c r="J55" s="32" t="n">
        <v>1.0</v>
      </c>
      <c r="K55" s="33" t="n">
        <f>40500</f>
        <v>40500.0</v>
      </c>
      <c r="L55" s="34" t="s">
        <v>66</v>
      </c>
      <c r="M55" s="33" t="n">
        <f>40850</f>
        <v>40850.0</v>
      </c>
      <c r="N55" s="34" t="s">
        <v>200</v>
      </c>
      <c r="O55" s="33" t="n">
        <f>38670</f>
        <v>38670.0</v>
      </c>
      <c r="P55" s="34" t="s">
        <v>200</v>
      </c>
      <c r="Q55" s="33" t="n">
        <f>40840</f>
        <v>40840.0</v>
      </c>
      <c r="R55" s="34" t="s">
        <v>50</v>
      </c>
      <c r="S55" s="35" t="n">
        <f>40154.29</f>
        <v>40154.29</v>
      </c>
      <c r="T55" s="32" t="n">
        <f>180</f>
        <v>180.0</v>
      </c>
      <c r="U55" s="32" t="n">
        <f>1</f>
        <v>1.0</v>
      </c>
      <c r="V55" s="32" t="n">
        <f>7168541</f>
        <v>7168541.0</v>
      </c>
      <c r="W55" s="32" t="n">
        <f>40321</f>
        <v>40321.0</v>
      </c>
      <c r="X55" s="36" t="n">
        <f>7</f>
        <v>7.0</v>
      </c>
    </row>
    <row r="56">
      <c r="A56" s="27" t="s">
        <v>42</v>
      </c>
      <c r="B56" s="27" t="s">
        <v>204</v>
      </c>
      <c r="C56" s="27" t="s">
        <v>205</v>
      </c>
      <c r="D56" s="27" t="s">
        <v>206</v>
      </c>
      <c r="E56" s="28" t="s">
        <v>46</v>
      </c>
      <c r="F56" s="29" t="s">
        <v>46</v>
      </c>
      <c r="G56" s="30" t="s">
        <v>46</v>
      </c>
      <c r="H56" s="31"/>
      <c r="I56" s="31" t="s">
        <v>47</v>
      </c>
      <c r="J56" s="32" t="n">
        <v>1.0</v>
      </c>
      <c r="K56" s="33" t="n">
        <f>3969</f>
        <v>3969.0</v>
      </c>
      <c r="L56" s="34" t="s">
        <v>48</v>
      </c>
      <c r="M56" s="33" t="n">
        <f>4100</f>
        <v>4100.0</v>
      </c>
      <c r="N56" s="34" t="s">
        <v>66</v>
      </c>
      <c r="O56" s="33" t="n">
        <f>3809</f>
        <v>3809.0</v>
      </c>
      <c r="P56" s="34" t="s">
        <v>49</v>
      </c>
      <c r="Q56" s="33" t="n">
        <f>3872</f>
        <v>3872.0</v>
      </c>
      <c r="R56" s="34" t="s">
        <v>50</v>
      </c>
      <c r="S56" s="35" t="n">
        <f>3918.63</f>
        <v>3918.63</v>
      </c>
      <c r="T56" s="32" t="n">
        <f>1436</f>
        <v>1436.0</v>
      </c>
      <c r="U56" s="32" t="str">
        <f>"－"</f>
        <v>－</v>
      </c>
      <c r="V56" s="32" t="n">
        <f>5601730</f>
        <v>5601730.0</v>
      </c>
      <c r="W56" s="32" t="str">
        <f>"－"</f>
        <v>－</v>
      </c>
      <c r="X56" s="36" t="n">
        <f>19</f>
        <v>19.0</v>
      </c>
    </row>
    <row r="57">
      <c r="A57" s="27" t="s">
        <v>42</v>
      </c>
      <c r="B57" s="27" t="s">
        <v>207</v>
      </c>
      <c r="C57" s="27" t="s">
        <v>208</v>
      </c>
      <c r="D57" s="27" t="s">
        <v>209</v>
      </c>
      <c r="E57" s="28" t="s">
        <v>46</v>
      </c>
      <c r="F57" s="29" t="s">
        <v>46</v>
      </c>
      <c r="G57" s="30" t="s">
        <v>46</v>
      </c>
      <c r="H57" s="31"/>
      <c r="I57" s="31" t="s">
        <v>47</v>
      </c>
      <c r="J57" s="32" t="n">
        <v>1.0</v>
      </c>
      <c r="K57" s="33" t="n">
        <f>1534</f>
        <v>1534.0</v>
      </c>
      <c r="L57" s="34" t="s">
        <v>48</v>
      </c>
      <c r="M57" s="33" t="n">
        <f>1535</f>
        <v>1535.0</v>
      </c>
      <c r="N57" s="34" t="s">
        <v>210</v>
      </c>
      <c r="O57" s="33" t="n">
        <f>1480</f>
        <v>1480.0</v>
      </c>
      <c r="P57" s="34" t="s">
        <v>78</v>
      </c>
      <c r="Q57" s="33" t="n">
        <f>1485</f>
        <v>1485.0</v>
      </c>
      <c r="R57" s="34" t="s">
        <v>50</v>
      </c>
      <c r="S57" s="35" t="n">
        <f>1512.16</f>
        <v>1512.16</v>
      </c>
      <c r="T57" s="32" t="n">
        <f>8480366</f>
        <v>8480366.0</v>
      </c>
      <c r="U57" s="32" t="n">
        <f>7024996</f>
        <v>7024996.0</v>
      </c>
      <c r="V57" s="32" t="n">
        <f>12740340572</f>
        <v>1.2740340572E10</v>
      </c>
      <c r="W57" s="32" t="n">
        <f>10553004488</f>
        <v>1.0553004488E10</v>
      </c>
      <c r="X57" s="36" t="n">
        <f>19</f>
        <v>19.0</v>
      </c>
    </row>
    <row r="58">
      <c r="A58" s="27" t="s">
        <v>42</v>
      </c>
      <c r="B58" s="27" t="s">
        <v>211</v>
      </c>
      <c r="C58" s="27" t="s">
        <v>212</v>
      </c>
      <c r="D58" s="27" t="s">
        <v>213</v>
      </c>
      <c r="E58" s="28" t="s">
        <v>46</v>
      </c>
      <c r="F58" s="29" t="s">
        <v>46</v>
      </c>
      <c r="G58" s="30" t="s">
        <v>46</v>
      </c>
      <c r="H58" s="31"/>
      <c r="I58" s="31" t="s">
        <v>47</v>
      </c>
      <c r="J58" s="32" t="n">
        <v>1.0</v>
      </c>
      <c r="K58" s="33" t="n">
        <f>3961</f>
        <v>3961.0</v>
      </c>
      <c r="L58" s="34" t="s">
        <v>48</v>
      </c>
      <c r="M58" s="33" t="n">
        <f>4001</f>
        <v>4001.0</v>
      </c>
      <c r="N58" s="34" t="s">
        <v>48</v>
      </c>
      <c r="O58" s="33" t="n">
        <f>3736</f>
        <v>3736.0</v>
      </c>
      <c r="P58" s="34" t="s">
        <v>71</v>
      </c>
      <c r="Q58" s="33" t="n">
        <f>3853</f>
        <v>3853.0</v>
      </c>
      <c r="R58" s="34" t="s">
        <v>50</v>
      </c>
      <c r="S58" s="35" t="n">
        <f>3871.21</f>
        <v>3871.21</v>
      </c>
      <c r="T58" s="32" t="n">
        <f>1368</f>
        <v>1368.0</v>
      </c>
      <c r="U58" s="32" t="str">
        <f>"－"</f>
        <v>－</v>
      </c>
      <c r="V58" s="32" t="n">
        <f>5313240</f>
        <v>5313240.0</v>
      </c>
      <c r="W58" s="32" t="str">
        <f>"－"</f>
        <v>－</v>
      </c>
      <c r="X58" s="36" t="n">
        <f>14</f>
        <v>14.0</v>
      </c>
    </row>
    <row r="59">
      <c r="A59" s="27" t="s">
        <v>42</v>
      </c>
      <c r="B59" s="27" t="s">
        <v>214</v>
      </c>
      <c r="C59" s="27" t="s">
        <v>215</v>
      </c>
      <c r="D59" s="27" t="s">
        <v>216</v>
      </c>
      <c r="E59" s="28" t="s">
        <v>46</v>
      </c>
      <c r="F59" s="29" t="s">
        <v>46</v>
      </c>
      <c r="G59" s="30" t="s">
        <v>46</v>
      </c>
      <c r="H59" s="31"/>
      <c r="I59" s="31" t="s">
        <v>47</v>
      </c>
      <c r="J59" s="32" t="n">
        <v>10.0</v>
      </c>
      <c r="K59" s="33" t="n">
        <f>3975</f>
        <v>3975.0</v>
      </c>
      <c r="L59" s="34" t="s">
        <v>48</v>
      </c>
      <c r="M59" s="33" t="n">
        <f>3994</f>
        <v>3994.0</v>
      </c>
      <c r="N59" s="34" t="s">
        <v>48</v>
      </c>
      <c r="O59" s="33" t="n">
        <f>3728</f>
        <v>3728.0</v>
      </c>
      <c r="P59" s="34" t="s">
        <v>217</v>
      </c>
      <c r="Q59" s="33" t="n">
        <f>3885</f>
        <v>3885.0</v>
      </c>
      <c r="R59" s="34" t="s">
        <v>50</v>
      </c>
      <c r="S59" s="35" t="n">
        <f>3872.21</f>
        <v>3872.21</v>
      </c>
      <c r="T59" s="32" t="n">
        <f>39430</f>
        <v>39430.0</v>
      </c>
      <c r="U59" s="32" t="str">
        <f>"－"</f>
        <v>－</v>
      </c>
      <c r="V59" s="32" t="n">
        <f>153140630</f>
        <v>1.5314063E8</v>
      </c>
      <c r="W59" s="32" t="str">
        <f>"－"</f>
        <v>－</v>
      </c>
      <c r="X59" s="36" t="n">
        <f>19</f>
        <v>19.0</v>
      </c>
    </row>
    <row r="60">
      <c r="A60" s="27" t="s">
        <v>42</v>
      </c>
      <c r="B60" s="27" t="s">
        <v>218</v>
      </c>
      <c r="C60" s="27" t="s">
        <v>219</v>
      </c>
      <c r="D60" s="27" t="s">
        <v>220</v>
      </c>
      <c r="E60" s="28" t="s">
        <v>46</v>
      </c>
      <c r="F60" s="29" t="s">
        <v>46</v>
      </c>
      <c r="G60" s="30" t="s">
        <v>46</v>
      </c>
      <c r="H60" s="31"/>
      <c r="I60" s="31" t="s">
        <v>47</v>
      </c>
      <c r="J60" s="32" t="n">
        <v>1.0</v>
      </c>
      <c r="K60" s="33" t="n">
        <f>53550</f>
        <v>53550.0</v>
      </c>
      <c r="L60" s="34" t="s">
        <v>49</v>
      </c>
      <c r="M60" s="33" t="n">
        <f>54400</f>
        <v>54400.0</v>
      </c>
      <c r="N60" s="34" t="s">
        <v>221</v>
      </c>
      <c r="O60" s="33" t="n">
        <f>51530</f>
        <v>51530.0</v>
      </c>
      <c r="P60" s="34" t="s">
        <v>50</v>
      </c>
      <c r="Q60" s="33" t="n">
        <f>52500</f>
        <v>52500.0</v>
      </c>
      <c r="R60" s="34" t="s">
        <v>50</v>
      </c>
      <c r="S60" s="35" t="n">
        <f>53483.33</f>
        <v>53483.33</v>
      </c>
      <c r="T60" s="32" t="n">
        <f>27</f>
        <v>27.0</v>
      </c>
      <c r="U60" s="32" t="str">
        <f>"－"</f>
        <v>－</v>
      </c>
      <c r="V60" s="32" t="n">
        <f>1402320</f>
        <v>1402320.0</v>
      </c>
      <c r="W60" s="32" t="str">
        <f>"－"</f>
        <v>－</v>
      </c>
      <c r="X60" s="36" t="n">
        <f>3</f>
        <v>3.0</v>
      </c>
    </row>
    <row r="61">
      <c r="A61" s="27" t="s">
        <v>42</v>
      </c>
      <c r="B61" s="27" t="s">
        <v>222</v>
      </c>
      <c r="C61" s="27" t="s">
        <v>223</v>
      </c>
      <c r="D61" s="27" t="s">
        <v>224</v>
      </c>
      <c r="E61" s="28" t="s">
        <v>46</v>
      </c>
      <c r="F61" s="29" t="s">
        <v>46</v>
      </c>
      <c r="G61" s="30" t="s">
        <v>46</v>
      </c>
      <c r="H61" s="31"/>
      <c r="I61" s="31" t="s">
        <v>47</v>
      </c>
      <c r="J61" s="32" t="n">
        <v>1.0</v>
      </c>
      <c r="K61" s="33" t="n">
        <f>23675</f>
        <v>23675.0</v>
      </c>
      <c r="L61" s="34" t="s">
        <v>48</v>
      </c>
      <c r="M61" s="33" t="n">
        <f>23690</f>
        <v>23690.0</v>
      </c>
      <c r="N61" s="34" t="s">
        <v>48</v>
      </c>
      <c r="O61" s="33" t="n">
        <f>22415</f>
        <v>22415.0</v>
      </c>
      <c r="P61" s="34" t="s">
        <v>71</v>
      </c>
      <c r="Q61" s="33" t="n">
        <f>22555</f>
        <v>22555.0</v>
      </c>
      <c r="R61" s="34" t="s">
        <v>50</v>
      </c>
      <c r="S61" s="35" t="n">
        <f>22855.79</f>
        <v>22855.79</v>
      </c>
      <c r="T61" s="32" t="n">
        <f>110476</f>
        <v>110476.0</v>
      </c>
      <c r="U61" s="32" t="n">
        <f>58501</f>
        <v>58501.0</v>
      </c>
      <c r="V61" s="32" t="n">
        <f>2560674221</f>
        <v>2.560674221E9</v>
      </c>
      <c r="W61" s="32" t="n">
        <f>1368444646</f>
        <v>1.368444646E9</v>
      </c>
      <c r="X61" s="36" t="n">
        <f>19</f>
        <v>19.0</v>
      </c>
    </row>
    <row r="62">
      <c r="A62" s="27" t="s">
        <v>42</v>
      </c>
      <c r="B62" s="27" t="s">
        <v>225</v>
      </c>
      <c r="C62" s="27" t="s">
        <v>226</v>
      </c>
      <c r="D62" s="27" t="s">
        <v>227</v>
      </c>
      <c r="E62" s="28" t="s">
        <v>46</v>
      </c>
      <c r="F62" s="29" t="s">
        <v>46</v>
      </c>
      <c r="G62" s="30" t="s">
        <v>46</v>
      </c>
      <c r="H62" s="31"/>
      <c r="I62" s="31" t="s">
        <v>47</v>
      </c>
      <c r="J62" s="32" t="n">
        <v>1.0</v>
      </c>
      <c r="K62" s="33" t="n">
        <f>11720</f>
        <v>11720.0</v>
      </c>
      <c r="L62" s="34" t="s">
        <v>48</v>
      </c>
      <c r="M62" s="33" t="n">
        <f>11900</f>
        <v>11900.0</v>
      </c>
      <c r="N62" s="34" t="s">
        <v>98</v>
      </c>
      <c r="O62" s="33" t="n">
        <f>11325</f>
        <v>11325.0</v>
      </c>
      <c r="P62" s="34" t="s">
        <v>78</v>
      </c>
      <c r="Q62" s="33" t="n">
        <f>11345</f>
        <v>11345.0</v>
      </c>
      <c r="R62" s="34" t="s">
        <v>50</v>
      </c>
      <c r="S62" s="35" t="n">
        <f>11570.79</f>
        <v>11570.79</v>
      </c>
      <c r="T62" s="32" t="n">
        <f>1088142</f>
        <v>1088142.0</v>
      </c>
      <c r="U62" s="32" t="n">
        <f>1059775</f>
        <v>1059775.0</v>
      </c>
      <c r="V62" s="32" t="n">
        <f>12487007148</f>
        <v>1.2487007148E10</v>
      </c>
      <c r="W62" s="32" t="n">
        <f>12161314233</f>
        <v>1.2161314233E10</v>
      </c>
      <c r="X62" s="36" t="n">
        <f>19</f>
        <v>19.0</v>
      </c>
    </row>
    <row r="63">
      <c r="A63" s="27" t="s">
        <v>42</v>
      </c>
      <c r="B63" s="27" t="s">
        <v>228</v>
      </c>
      <c r="C63" s="27" t="s">
        <v>229</v>
      </c>
      <c r="D63" s="27" t="s">
        <v>230</v>
      </c>
      <c r="E63" s="28" t="s">
        <v>46</v>
      </c>
      <c r="F63" s="29" t="s">
        <v>46</v>
      </c>
      <c r="G63" s="30" t="s">
        <v>46</v>
      </c>
      <c r="H63" s="31"/>
      <c r="I63" s="31" t="s">
        <v>47</v>
      </c>
      <c r="J63" s="32" t="n">
        <v>1.0</v>
      </c>
      <c r="K63" s="33" t="n">
        <f>1870</f>
        <v>1870.0</v>
      </c>
      <c r="L63" s="34" t="s">
        <v>48</v>
      </c>
      <c r="M63" s="33" t="n">
        <f>1880</f>
        <v>1880.0</v>
      </c>
      <c r="N63" s="34" t="s">
        <v>66</v>
      </c>
      <c r="O63" s="33" t="n">
        <f>1760</f>
        <v>1760.0</v>
      </c>
      <c r="P63" s="34" t="s">
        <v>78</v>
      </c>
      <c r="Q63" s="33" t="n">
        <f>1768</f>
        <v>1768.0</v>
      </c>
      <c r="R63" s="34" t="s">
        <v>50</v>
      </c>
      <c r="S63" s="35" t="n">
        <f>1810.53</f>
        <v>1810.53</v>
      </c>
      <c r="T63" s="32" t="n">
        <f>2934712</f>
        <v>2934712.0</v>
      </c>
      <c r="U63" s="32" t="n">
        <f>1678681</f>
        <v>1678681.0</v>
      </c>
      <c r="V63" s="32" t="n">
        <f>5296916429</f>
        <v>5.296916429E9</v>
      </c>
      <c r="W63" s="32" t="n">
        <f>3015432228</f>
        <v>3.015432228E9</v>
      </c>
      <c r="X63" s="36" t="n">
        <f>19</f>
        <v>19.0</v>
      </c>
    </row>
    <row r="64">
      <c r="A64" s="27" t="s">
        <v>42</v>
      </c>
      <c r="B64" s="27" t="s">
        <v>231</v>
      </c>
      <c r="C64" s="27" t="s">
        <v>232</v>
      </c>
      <c r="D64" s="27" t="s">
        <v>233</v>
      </c>
      <c r="E64" s="28" t="s">
        <v>46</v>
      </c>
      <c r="F64" s="29" t="s">
        <v>46</v>
      </c>
      <c r="G64" s="30" t="s">
        <v>46</v>
      </c>
      <c r="H64" s="31"/>
      <c r="I64" s="31" t="s">
        <v>47</v>
      </c>
      <c r="J64" s="32" t="n">
        <v>1.0</v>
      </c>
      <c r="K64" s="33" t="n">
        <f>3576</f>
        <v>3576.0</v>
      </c>
      <c r="L64" s="34" t="s">
        <v>48</v>
      </c>
      <c r="M64" s="33" t="n">
        <f>3655</f>
        <v>3655.0</v>
      </c>
      <c r="N64" s="34" t="s">
        <v>48</v>
      </c>
      <c r="O64" s="33" t="n">
        <f>3452</f>
        <v>3452.0</v>
      </c>
      <c r="P64" s="34" t="s">
        <v>49</v>
      </c>
      <c r="Q64" s="33" t="n">
        <f>3551</f>
        <v>3551.0</v>
      </c>
      <c r="R64" s="34" t="s">
        <v>50</v>
      </c>
      <c r="S64" s="35" t="n">
        <f>3560</f>
        <v>3560.0</v>
      </c>
      <c r="T64" s="32" t="n">
        <f>11056200</f>
        <v>1.10562E7</v>
      </c>
      <c r="U64" s="32" t="n">
        <f>1234320</f>
        <v>1234320.0</v>
      </c>
      <c r="V64" s="32" t="n">
        <f>39404592886</f>
        <v>3.9404592886E10</v>
      </c>
      <c r="W64" s="32" t="n">
        <f>4378028889</f>
        <v>4.378028889E9</v>
      </c>
      <c r="X64" s="36" t="n">
        <f>19</f>
        <v>19.0</v>
      </c>
    </row>
    <row r="65">
      <c r="A65" s="27" t="s">
        <v>42</v>
      </c>
      <c r="B65" s="27" t="s">
        <v>234</v>
      </c>
      <c r="C65" s="27" t="s">
        <v>235</v>
      </c>
      <c r="D65" s="27" t="s">
        <v>236</v>
      </c>
      <c r="E65" s="28" t="s">
        <v>46</v>
      </c>
      <c r="F65" s="29" t="s">
        <v>46</v>
      </c>
      <c r="G65" s="30" t="s">
        <v>46</v>
      </c>
      <c r="H65" s="31"/>
      <c r="I65" s="31" t="s">
        <v>47</v>
      </c>
      <c r="J65" s="32" t="n">
        <v>1.0</v>
      </c>
      <c r="K65" s="33" t="n">
        <f>8107</f>
        <v>8107.0</v>
      </c>
      <c r="L65" s="34" t="s">
        <v>66</v>
      </c>
      <c r="M65" s="33" t="n">
        <f>8107</f>
        <v>8107.0</v>
      </c>
      <c r="N65" s="34" t="s">
        <v>66</v>
      </c>
      <c r="O65" s="33" t="n">
        <f>7836</f>
        <v>7836.0</v>
      </c>
      <c r="P65" s="34" t="s">
        <v>50</v>
      </c>
      <c r="Q65" s="33" t="n">
        <f>7836</f>
        <v>7836.0</v>
      </c>
      <c r="R65" s="34" t="s">
        <v>50</v>
      </c>
      <c r="S65" s="35" t="n">
        <f>7932</f>
        <v>7932.0</v>
      </c>
      <c r="T65" s="32" t="n">
        <f>113</f>
        <v>113.0</v>
      </c>
      <c r="U65" s="32" t="str">
        <f>"－"</f>
        <v>－</v>
      </c>
      <c r="V65" s="32" t="n">
        <f>908337</f>
        <v>908337.0</v>
      </c>
      <c r="W65" s="32" t="str">
        <f>"－"</f>
        <v>－</v>
      </c>
      <c r="X65" s="36" t="n">
        <f>3</f>
        <v>3.0</v>
      </c>
    </row>
    <row r="66">
      <c r="A66" s="27" t="s">
        <v>42</v>
      </c>
      <c r="B66" s="27" t="s">
        <v>237</v>
      </c>
      <c r="C66" s="27" t="s">
        <v>238</v>
      </c>
      <c r="D66" s="27" t="s">
        <v>239</v>
      </c>
      <c r="E66" s="28" t="s">
        <v>46</v>
      </c>
      <c r="F66" s="29" t="s">
        <v>46</v>
      </c>
      <c r="G66" s="30" t="s">
        <v>46</v>
      </c>
      <c r="H66" s="31"/>
      <c r="I66" s="31" t="s">
        <v>47</v>
      </c>
      <c r="J66" s="32" t="n">
        <v>1.0</v>
      </c>
      <c r="K66" s="33" t="n">
        <f>26000</f>
        <v>26000.0</v>
      </c>
      <c r="L66" s="34" t="s">
        <v>48</v>
      </c>
      <c r="M66" s="33" t="n">
        <f>26350</f>
        <v>26350.0</v>
      </c>
      <c r="N66" s="34" t="s">
        <v>48</v>
      </c>
      <c r="O66" s="33" t="n">
        <f>24835</f>
        <v>24835.0</v>
      </c>
      <c r="P66" s="34" t="s">
        <v>49</v>
      </c>
      <c r="Q66" s="33" t="n">
        <f>25940</f>
        <v>25940.0</v>
      </c>
      <c r="R66" s="34" t="s">
        <v>50</v>
      </c>
      <c r="S66" s="35" t="n">
        <f>25651.05</f>
        <v>25651.05</v>
      </c>
      <c r="T66" s="32" t="n">
        <f>6220</f>
        <v>6220.0</v>
      </c>
      <c r="U66" s="32" t="n">
        <f>8</f>
        <v>8.0</v>
      </c>
      <c r="V66" s="32" t="n">
        <f>159082213</f>
        <v>1.59082213E8</v>
      </c>
      <c r="W66" s="32" t="n">
        <f>206768</f>
        <v>206768.0</v>
      </c>
      <c r="X66" s="36" t="n">
        <f>19</f>
        <v>19.0</v>
      </c>
    </row>
    <row r="67">
      <c r="A67" s="27" t="s">
        <v>42</v>
      </c>
      <c r="B67" s="27" t="s">
        <v>240</v>
      </c>
      <c r="C67" s="27" t="s">
        <v>241</v>
      </c>
      <c r="D67" s="27" t="s">
        <v>242</v>
      </c>
      <c r="E67" s="28" t="s">
        <v>46</v>
      </c>
      <c r="F67" s="29" t="s">
        <v>46</v>
      </c>
      <c r="G67" s="30" t="s">
        <v>46</v>
      </c>
      <c r="H67" s="31"/>
      <c r="I67" s="31" t="s">
        <v>47</v>
      </c>
      <c r="J67" s="32" t="n">
        <v>1.0</v>
      </c>
      <c r="K67" s="33" t="n">
        <f>44450</f>
        <v>44450.0</v>
      </c>
      <c r="L67" s="34" t="s">
        <v>48</v>
      </c>
      <c r="M67" s="33" t="n">
        <f>44920</f>
        <v>44920.0</v>
      </c>
      <c r="N67" s="34" t="s">
        <v>48</v>
      </c>
      <c r="O67" s="33" t="n">
        <f>42790</f>
        <v>42790.0</v>
      </c>
      <c r="P67" s="34" t="s">
        <v>49</v>
      </c>
      <c r="Q67" s="33" t="n">
        <f>43860</f>
        <v>43860.0</v>
      </c>
      <c r="R67" s="34" t="s">
        <v>50</v>
      </c>
      <c r="S67" s="35" t="n">
        <f>43917.37</f>
        <v>43917.37</v>
      </c>
      <c r="T67" s="32" t="n">
        <f>61437</f>
        <v>61437.0</v>
      </c>
      <c r="U67" s="32" t="n">
        <f>32105</f>
        <v>32105.0</v>
      </c>
      <c r="V67" s="32" t="n">
        <f>2700975101</f>
        <v>2.700975101E9</v>
      </c>
      <c r="W67" s="32" t="n">
        <f>1415262371</f>
        <v>1.415262371E9</v>
      </c>
      <c r="X67" s="36" t="n">
        <f>19</f>
        <v>19.0</v>
      </c>
    </row>
    <row r="68">
      <c r="A68" s="27" t="s">
        <v>42</v>
      </c>
      <c r="B68" s="27" t="s">
        <v>243</v>
      </c>
      <c r="C68" s="27" t="s">
        <v>244</v>
      </c>
      <c r="D68" s="27" t="s">
        <v>245</v>
      </c>
      <c r="E68" s="28" t="s">
        <v>46</v>
      </c>
      <c r="F68" s="29" t="s">
        <v>46</v>
      </c>
      <c r="G68" s="30" t="s">
        <v>46</v>
      </c>
      <c r="H68" s="31"/>
      <c r="I68" s="31" t="s">
        <v>47</v>
      </c>
      <c r="J68" s="32" t="n">
        <v>1.0</v>
      </c>
      <c r="K68" s="33" t="n">
        <f>11595</f>
        <v>11595.0</v>
      </c>
      <c r="L68" s="34" t="s">
        <v>48</v>
      </c>
      <c r="M68" s="33" t="n">
        <f>11600</f>
        <v>11600.0</v>
      </c>
      <c r="N68" s="34" t="s">
        <v>66</v>
      </c>
      <c r="O68" s="33" t="n">
        <f>10665</f>
        <v>10665.0</v>
      </c>
      <c r="P68" s="34" t="s">
        <v>71</v>
      </c>
      <c r="Q68" s="33" t="n">
        <f>10870</f>
        <v>10870.0</v>
      </c>
      <c r="R68" s="34" t="s">
        <v>50</v>
      </c>
      <c r="S68" s="35" t="n">
        <f>11038.16</f>
        <v>11038.16</v>
      </c>
      <c r="T68" s="32" t="n">
        <f>7032</f>
        <v>7032.0</v>
      </c>
      <c r="U68" s="32" t="n">
        <f>308</f>
        <v>308.0</v>
      </c>
      <c r="V68" s="32" t="n">
        <f>77773985</f>
        <v>7.7773985E7</v>
      </c>
      <c r="W68" s="32" t="n">
        <f>3377875</f>
        <v>3377875.0</v>
      </c>
      <c r="X68" s="36" t="n">
        <f>19</f>
        <v>19.0</v>
      </c>
    </row>
    <row r="69">
      <c r="A69" s="27" t="s">
        <v>42</v>
      </c>
      <c r="B69" s="27" t="s">
        <v>246</v>
      </c>
      <c r="C69" s="27" t="s">
        <v>247</v>
      </c>
      <c r="D69" s="27" t="s">
        <v>248</v>
      </c>
      <c r="E69" s="28" t="s">
        <v>46</v>
      </c>
      <c r="F69" s="29" t="s">
        <v>46</v>
      </c>
      <c r="G69" s="30" t="s">
        <v>46</v>
      </c>
      <c r="H69" s="31"/>
      <c r="I69" s="31" t="s">
        <v>47</v>
      </c>
      <c r="J69" s="32" t="n">
        <v>1.0</v>
      </c>
      <c r="K69" s="33" t="n">
        <f>1630</f>
        <v>1630.0</v>
      </c>
      <c r="L69" s="34" t="s">
        <v>48</v>
      </c>
      <c r="M69" s="33" t="n">
        <f>1630</f>
        <v>1630.0</v>
      </c>
      <c r="N69" s="34" t="s">
        <v>48</v>
      </c>
      <c r="O69" s="33" t="n">
        <f>1574</f>
        <v>1574.0</v>
      </c>
      <c r="P69" s="34" t="s">
        <v>78</v>
      </c>
      <c r="Q69" s="33" t="n">
        <f>1579</f>
        <v>1579.0</v>
      </c>
      <c r="R69" s="34" t="s">
        <v>50</v>
      </c>
      <c r="S69" s="35" t="n">
        <f>1610.89</f>
        <v>1610.89</v>
      </c>
      <c r="T69" s="32" t="n">
        <f>1402046</f>
        <v>1402046.0</v>
      </c>
      <c r="U69" s="32" t="n">
        <f>1031087</f>
        <v>1031087.0</v>
      </c>
      <c r="V69" s="32" t="n">
        <f>2250547898</f>
        <v>2.250547898E9</v>
      </c>
      <c r="W69" s="32" t="n">
        <f>1652729431</f>
        <v>1.652729431E9</v>
      </c>
      <c r="X69" s="36" t="n">
        <f>19</f>
        <v>19.0</v>
      </c>
    </row>
    <row r="70">
      <c r="A70" s="27" t="s">
        <v>42</v>
      </c>
      <c r="B70" s="27" t="s">
        <v>249</v>
      </c>
      <c r="C70" s="27" t="s">
        <v>250</v>
      </c>
      <c r="D70" s="27" t="s">
        <v>251</v>
      </c>
      <c r="E70" s="28" t="s">
        <v>46</v>
      </c>
      <c r="F70" s="29" t="s">
        <v>46</v>
      </c>
      <c r="G70" s="30" t="s">
        <v>46</v>
      </c>
      <c r="H70" s="31"/>
      <c r="I70" s="31" t="s">
        <v>47</v>
      </c>
      <c r="J70" s="32" t="n">
        <v>1.0</v>
      </c>
      <c r="K70" s="33" t="n">
        <f>1732</f>
        <v>1732.0</v>
      </c>
      <c r="L70" s="34" t="s">
        <v>48</v>
      </c>
      <c r="M70" s="33" t="n">
        <f>1737</f>
        <v>1737.0</v>
      </c>
      <c r="N70" s="34" t="s">
        <v>48</v>
      </c>
      <c r="O70" s="33" t="n">
        <f>1685</f>
        <v>1685.0</v>
      </c>
      <c r="P70" s="34" t="s">
        <v>78</v>
      </c>
      <c r="Q70" s="33" t="n">
        <f>1690</f>
        <v>1690.0</v>
      </c>
      <c r="R70" s="34" t="s">
        <v>50</v>
      </c>
      <c r="S70" s="35" t="n">
        <f>1719.58</f>
        <v>1719.58</v>
      </c>
      <c r="T70" s="32" t="n">
        <f>189401</f>
        <v>189401.0</v>
      </c>
      <c r="U70" s="32" t="n">
        <f>200</f>
        <v>200.0</v>
      </c>
      <c r="V70" s="32" t="n">
        <f>324628196</f>
        <v>3.24628196E8</v>
      </c>
      <c r="W70" s="32" t="n">
        <f>318400</f>
        <v>318400.0</v>
      </c>
      <c r="X70" s="36" t="n">
        <f>19</f>
        <v>19.0</v>
      </c>
    </row>
    <row r="71">
      <c r="A71" s="27" t="s">
        <v>42</v>
      </c>
      <c r="B71" s="27" t="s">
        <v>252</v>
      </c>
      <c r="C71" s="27" t="s">
        <v>253</v>
      </c>
      <c r="D71" s="27" t="s">
        <v>254</v>
      </c>
      <c r="E71" s="28" t="s">
        <v>46</v>
      </c>
      <c r="F71" s="29" t="s">
        <v>46</v>
      </c>
      <c r="G71" s="30" t="s">
        <v>46</v>
      </c>
      <c r="H71" s="31"/>
      <c r="I71" s="31" t="s">
        <v>47</v>
      </c>
      <c r="J71" s="32" t="n">
        <v>1.0</v>
      </c>
      <c r="K71" s="33" t="n">
        <f>32920</f>
        <v>32920.0</v>
      </c>
      <c r="L71" s="34" t="s">
        <v>48</v>
      </c>
      <c r="M71" s="33" t="n">
        <f>33390</f>
        <v>33390.0</v>
      </c>
      <c r="N71" s="34" t="s">
        <v>48</v>
      </c>
      <c r="O71" s="33" t="n">
        <f>31720</f>
        <v>31720.0</v>
      </c>
      <c r="P71" s="34" t="s">
        <v>71</v>
      </c>
      <c r="Q71" s="33" t="n">
        <f>33070</f>
        <v>33070.0</v>
      </c>
      <c r="R71" s="34" t="s">
        <v>50</v>
      </c>
      <c r="S71" s="35" t="n">
        <f>32513.16</f>
        <v>32513.16</v>
      </c>
      <c r="T71" s="32" t="n">
        <f>20471</f>
        <v>20471.0</v>
      </c>
      <c r="U71" s="32" t="n">
        <f>3000</f>
        <v>3000.0</v>
      </c>
      <c r="V71" s="32" t="n">
        <f>670411130</f>
        <v>6.7041113E8</v>
      </c>
      <c r="W71" s="32" t="n">
        <f>98830290</f>
        <v>9.883029E7</v>
      </c>
      <c r="X71" s="36" t="n">
        <f>19</f>
        <v>19.0</v>
      </c>
    </row>
    <row r="72">
      <c r="A72" s="27" t="s">
        <v>42</v>
      </c>
      <c r="B72" s="27" t="s">
        <v>255</v>
      </c>
      <c r="C72" s="27" t="s">
        <v>256</v>
      </c>
      <c r="D72" s="27" t="s">
        <v>257</v>
      </c>
      <c r="E72" s="28" t="s">
        <v>46</v>
      </c>
      <c r="F72" s="29" t="s">
        <v>46</v>
      </c>
      <c r="G72" s="30" t="s">
        <v>46</v>
      </c>
      <c r="H72" s="31"/>
      <c r="I72" s="31" t="s">
        <v>47</v>
      </c>
      <c r="J72" s="32" t="n">
        <v>1.0</v>
      </c>
      <c r="K72" s="33" t="n">
        <f>9232</f>
        <v>9232.0</v>
      </c>
      <c r="L72" s="34" t="s">
        <v>48</v>
      </c>
      <c r="M72" s="33" t="n">
        <f>9500</f>
        <v>9500.0</v>
      </c>
      <c r="N72" s="34" t="s">
        <v>66</v>
      </c>
      <c r="O72" s="33" t="n">
        <f>9200</f>
        <v>9200.0</v>
      </c>
      <c r="P72" s="34" t="s">
        <v>114</v>
      </c>
      <c r="Q72" s="33" t="n">
        <f>9387</f>
        <v>9387.0</v>
      </c>
      <c r="R72" s="34" t="s">
        <v>50</v>
      </c>
      <c r="S72" s="35" t="n">
        <f>9378.21</f>
        <v>9378.21</v>
      </c>
      <c r="T72" s="32" t="n">
        <f>1725</f>
        <v>1725.0</v>
      </c>
      <c r="U72" s="32" t="str">
        <f>"－"</f>
        <v>－</v>
      </c>
      <c r="V72" s="32" t="n">
        <f>16157516</f>
        <v>1.6157516E7</v>
      </c>
      <c r="W72" s="32" t="str">
        <f>"－"</f>
        <v>－</v>
      </c>
      <c r="X72" s="36" t="n">
        <f>19</f>
        <v>19.0</v>
      </c>
    </row>
    <row r="73">
      <c r="A73" s="27" t="s">
        <v>42</v>
      </c>
      <c r="B73" s="27" t="s">
        <v>258</v>
      </c>
      <c r="C73" s="27" t="s">
        <v>259</v>
      </c>
      <c r="D73" s="27" t="s">
        <v>260</v>
      </c>
      <c r="E73" s="28" t="s">
        <v>46</v>
      </c>
      <c r="F73" s="29" t="s">
        <v>46</v>
      </c>
      <c r="G73" s="30" t="s">
        <v>46</v>
      </c>
      <c r="H73" s="31"/>
      <c r="I73" s="31" t="s">
        <v>47</v>
      </c>
      <c r="J73" s="32" t="n">
        <v>1.0</v>
      </c>
      <c r="K73" s="33" t="n">
        <f>21310</f>
        <v>21310.0</v>
      </c>
      <c r="L73" s="34" t="s">
        <v>48</v>
      </c>
      <c r="M73" s="33" t="n">
        <f>21385</f>
        <v>21385.0</v>
      </c>
      <c r="N73" s="34" t="s">
        <v>48</v>
      </c>
      <c r="O73" s="33" t="n">
        <f>19440</f>
        <v>19440.0</v>
      </c>
      <c r="P73" s="34" t="s">
        <v>78</v>
      </c>
      <c r="Q73" s="33" t="n">
        <f>19680</f>
        <v>19680.0</v>
      </c>
      <c r="R73" s="34" t="s">
        <v>50</v>
      </c>
      <c r="S73" s="35" t="n">
        <f>20302.63</f>
        <v>20302.63</v>
      </c>
      <c r="T73" s="32" t="n">
        <f>4316016</f>
        <v>4316016.0</v>
      </c>
      <c r="U73" s="32" t="n">
        <f>102362</f>
        <v>102362.0</v>
      </c>
      <c r="V73" s="32" t="n">
        <f>87265654677</f>
        <v>8.7265654677E10</v>
      </c>
      <c r="W73" s="32" t="n">
        <f>2058398632</f>
        <v>2.058398632E9</v>
      </c>
      <c r="X73" s="36" t="n">
        <f>19</f>
        <v>19.0</v>
      </c>
    </row>
    <row r="74">
      <c r="A74" s="27" t="s">
        <v>42</v>
      </c>
      <c r="B74" s="27" t="s">
        <v>261</v>
      </c>
      <c r="C74" s="27" t="s">
        <v>262</v>
      </c>
      <c r="D74" s="27" t="s">
        <v>263</v>
      </c>
      <c r="E74" s="28" t="s">
        <v>46</v>
      </c>
      <c r="F74" s="29" t="s">
        <v>46</v>
      </c>
      <c r="G74" s="30" t="s">
        <v>46</v>
      </c>
      <c r="H74" s="31"/>
      <c r="I74" s="31" t="s">
        <v>47</v>
      </c>
      <c r="J74" s="32" t="n">
        <v>1.0</v>
      </c>
      <c r="K74" s="33" t="n">
        <f>8347</f>
        <v>8347.0</v>
      </c>
      <c r="L74" s="34" t="s">
        <v>48</v>
      </c>
      <c r="M74" s="33" t="n">
        <f>8458</f>
        <v>8458.0</v>
      </c>
      <c r="N74" s="34" t="s">
        <v>217</v>
      </c>
      <c r="O74" s="33" t="n">
        <f>7703</f>
        <v>7703.0</v>
      </c>
      <c r="P74" s="34" t="s">
        <v>71</v>
      </c>
      <c r="Q74" s="33" t="n">
        <f>7861</f>
        <v>7861.0</v>
      </c>
      <c r="R74" s="34" t="s">
        <v>50</v>
      </c>
      <c r="S74" s="35" t="n">
        <f>8105.16</f>
        <v>8105.16</v>
      </c>
      <c r="T74" s="32" t="n">
        <f>391338</f>
        <v>391338.0</v>
      </c>
      <c r="U74" s="32" t="n">
        <f>181</f>
        <v>181.0</v>
      </c>
      <c r="V74" s="32" t="n">
        <f>3164573541</f>
        <v>3.164573541E9</v>
      </c>
      <c r="W74" s="32" t="n">
        <f>1452391</f>
        <v>1452391.0</v>
      </c>
      <c r="X74" s="36" t="n">
        <f>19</f>
        <v>19.0</v>
      </c>
    </row>
    <row r="75">
      <c r="A75" s="27" t="s">
        <v>42</v>
      </c>
      <c r="B75" s="27" t="s">
        <v>264</v>
      </c>
      <c r="C75" s="27" t="s">
        <v>265</v>
      </c>
      <c r="D75" s="27" t="s">
        <v>266</v>
      </c>
      <c r="E75" s="28" t="s">
        <v>46</v>
      </c>
      <c r="F75" s="29" t="s">
        <v>46</v>
      </c>
      <c r="G75" s="30" t="s">
        <v>46</v>
      </c>
      <c r="H75" s="31"/>
      <c r="I75" s="31" t="s">
        <v>47</v>
      </c>
      <c r="J75" s="32" t="n">
        <v>1.0</v>
      </c>
      <c r="K75" s="33" t="n">
        <f>31130</f>
        <v>31130.0</v>
      </c>
      <c r="L75" s="34" t="s">
        <v>48</v>
      </c>
      <c r="M75" s="33" t="n">
        <f>31240</f>
        <v>31240.0</v>
      </c>
      <c r="N75" s="34" t="s">
        <v>48</v>
      </c>
      <c r="O75" s="33" t="n">
        <f>27720</f>
        <v>27720.0</v>
      </c>
      <c r="P75" s="34" t="s">
        <v>78</v>
      </c>
      <c r="Q75" s="33" t="n">
        <f>27985</f>
        <v>27985.0</v>
      </c>
      <c r="R75" s="34" t="s">
        <v>50</v>
      </c>
      <c r="S75" s="35" t="n">
        <f>29212.37</f>
        <v>29212.37</v>
      </c>
      <c r="T75" s="32" t="n">
        <f>916809</f>
        <v>916809.0</v>
      </c>
      <c r="U75" s="32" t="n">
        <f>9670</f>
        <v>9670.0</v>
      </c>
      <c r="V75" s="32" t="n">
        <f>26857097779</f>
        <v>2.6857097779E10</v>
      </c>
      <c r="W75" s="32" t="n">
        <f>282662314</f>
        <v>2.82662314E8</v>
      </c>
      <c r="X75" s="36" t="n">
        <f>19</f>
        <v>19.0</v>
      </c>
    </row>
    <row r="76">
      <c r="A76" s="27" t="s">
        <v>42</v>
      </c>
      <c r="B76" s="27" t="s">
        <v>267</v>
      </c>
      <c r="C76" s="27" t="s">
        <v>268</v>
      </c>
      <c r="D76" s="27" t="s">
        <v>269</v>
      </c>
      <c r="E76" s="28" t="s">
        <v>46</v>
      </c>
      <c r="F76" s="29" t="s">
        <v>46</v>
      </c>
      <c r="G76" s="30" t="s">
        <v>46</v>
      </c>
      <c r="H76" s="31"/>
      <c r="I76" s="31" t="s">
        <v>47</v>
      </c>
      <c r="J76" s="32" t="n">
        <v>1.0</v>
      </c>
      <c r="K76" s="33" t="n">
        <f>62950</f>
        <v>62950.0</v>
      </c>
      <c r="L76" s="34" t="s">
        <v>48</v>
      </c>
      <c r="M76" s="33" t="n">
        <f>63400</f>
        <v>63400.0</v>
      </c>
      <c r="N76" s="34" t="s">
        <v>270</v>
      </c>
      <c r="O76" s="33" t="n">
        <f>54850</f>
        <v>54850.0</v>
      </c>
      <c r="P76" s="34" t="s">
        <v>78</v>
      </c>
      <c r="Q76" s="33" t="n">
        <f>55570</f>
        <v>55570.0</v>
      </c>
      <c r="R76" s="34" t="s">
        <v>50</v>
      </c>
      <c r="S76" s="35" t="n">
        <f>59044.21</f>
        <v>59044.21</v>
      </c>
      <c r="T76" s="32" t="n">
        <f>5423</f>
        <v>5423.0</v>
      </c>
      <c r="U76" s="32" t="n">
        <f>7</f>
        <v>7.0</v>
      </c>
      <c r="V76" s="32" t="n">
        <f>315868600</f>
        <v>3.158686E8</v>
      </c>
      <c r="W76" s="32" t="n">
        <f>418900</f>
        <v>418900.0</v>
      </c>
      <c r="X76" s="36" t="n">
        <f>19</f>
        <v>19.0</v>
      </c>
    </row>
    <row r="77">
      <c r="A77" s="27" t="s">
        <v>42</v>
      </c>
      <c r="B77" s="27" t="s">
        <v>271</v>
      </c>
      <c r="C77" s="27" t="s">
        <v>272</v>
      </c>
      <c r="D77" s="27" t="s">
        <v>273</v>
      </c>
      <c r="E77" s="28" t="s">
        <v>46</v>
      </c>
      <c r="F77" s="29" t="s">
        <v>46</v>
      </c>
      <c r="G77" s="30" t="s">
        <v>46</v>
      </c>
      <c r="H77" s="31"/>
      <c r="I77" s="31" t="s">
        <v>47</v>
      </c>
      <c r="J77" s="32" t="n">
        <v>10.0</v>
      </c>
      <c r="K77" s="33" t="n">
        <f>237.6</f>
        <v>237.6</v>
      </c>
      <c r="L77" s="34" t="s">
        <v>48</v>
      </c>
      <c r="M77" s="33" t="n">
        <f>244.3</f>
        <v>244.3</v>
      </c>
      <c r="N77" s="34" t="s">
        <v>200</v>
      </c>
      <c r="O77" s="33" t="n">
        <f>224.3</f>
        <v>224.3</v>
      </c>
      <c r="P77" s="34" t="s">
        <v>71</v>
      </c>
      <c r="Q77" s="33" t="n">
        <f>240.1</f>
        <v>240.1</v>
      </c>
      <c r="R77" s="34" t="s">
        <v>50</v>
      </c>
      <c r="S77" s="35" t="n">
        <f>233.42</f>
        <v>233.42</v>
      </c>
      <c r="T77" s="32" t="n">
        <f>51596660</f>
        <v>5.159666E7</v>
      </c>
      <c r="U77" s="32" t="n">
        <f>3002390</f>
        <v>3002390.0</v>
      </c>
      <c r="V77" s="32" t="n">
        <f>12159380251</f>
        <v>1.2159380251E10</v>
      </c>
      <c r="W77" s="32" t="n">
        <f>726846529</f>
        <v>7.26846529E8</v>
      </c>
      <c r="X77" s="36" t="n">
        <f>19</f>
        <v>19.0</v>
      </c>
    </row>
    <row r="78">
      <c r="A78" s="27" t="s">
        <v>42</v>
      </c>
      <c r="B78" s="27" t="s">
        <v>274</v>
      </c>
      <c r="C78" s="27" t="s">
        <v>275</v>
      </c>
      <c r="D78" s="27" t="s">
        <v>276</v>
      </c>
      <c r="E78" s="28" t="s">
        <v>46</v>
      </c>
      <c r="F78" s="29" t="s">
        <v>46</v>
      </c>
      <c r="G78" s="30" t="s">
        <v>46</v>
      </c>
      <c r="H78" s="31"/>
      <c r="I78" s="31" t="s">
        <v>47</v>
      </c>
      <c r="J78" s="32" t="n">
        <v>1.0</v>
      </c>
      <c r="K78" s="33" t="n">
        <f>82500</f>
        <v>82500.0</v>
      </c>
      <c r="L78" s="34" t="s">
        <v>48</v>
      </c>
      <c r="M78" s="33" t="n">
        <f>82740</f>
        <v>82740.0</v>
      </c>
      <c r="N78" s="34" t="s">
        <v>48</v>
      </c>
      <c r="O78" s="33" t="n">
        <f>78050</f>
        <v>78050.0</v>
      </c>
      <c r="P78" s="34" t="s">
        <v>71</v>
      </c>
      <c r="Q78" s="33" t="n">
        <f>78650</f>
        <v>78650.0</v>
      </c>
      <c r="R78" s="34" t="s">
        <v>50</v>
      </c>
      <c r="S78" s="35" t="n">
        <f>79610.53</f>
        <v>79610.53</v>
      </c>
      <c r="T78" s="32" t="n">
        <f>18719</f>
        <v>18719.0</v>
      </c>
      <c r="U78" s="32" t="n">
        <f>535</f>
        <v>535.0</v>
      </c>
      <c r="V78" s="32" t="n">
        <f>1497241862</f>
        <v>1.497241862E9</v>
      </c>
      <c r="W78" s="32" t="n">
        <f>42416822</f>
        <v>4.2416822E7</v>
      </c>
      <c r="X78" s="36" t="n">
        <f>19</f>
        <v>19.0</v>
      </c>
    </row>
    <row r="79">
      <c r="A79" s="27" t="s">
        <v>42</v>
      </c>
      <c r="B79" s="27" t="s">
        <v>277</v>
      </c>
      <c r="C79" s="27" t="s">
        <v>278</v>
      </c>
      <c r="D79" s="27" t="s">
        <v>279</v>
      </c>
      <c r="E79" s="28" t="s">
        <v>46</v>
      </c>
      <c r="F79" s="29" t="s">
        <v>46</v>
      </c>
      <c r="G79" s="30" t="s">
        <v>46</v>
      </c>
      <c r="H79" s="31"/>
      <c r="I79" s="31" t="s">
        <v>47</v>
      </c>
      <c r="J79" s="32" t="n">
        <v>1.0</v>
      </c>
      <c r="K79" s="33" t="n">
        <f>13360</f>
        <v>13360.0</v>
      </c>
      <c r="L79" s="34" t="s">
        <v>48</v>
      </c>
      <c r="M79" s="33" t="n">
        <f>13390</f>
        <v>13390.0</v>
      </c>
      <c r="N79" s="34" t="s">
        <v>48</v>
      </c>
      <c r="O79" s="33" t="n">
        <f>12685</f>
        <v>12685.0</v>
      </c>
      <c r="P79" s="34" t="s">
        <v>71</v>
      </c>
      <c r="Q79" s="33" t="n">
        <f>13120</f>
        <v>13120.0</v>
      </c>
      <c r="R79" s="34" t="s">
        <v>50</v>
      </c>
      <c r="S79" s="35" t="n">
        <f>13039.21</f>
        <v>13039.21</v>
      </c>
      <c r="T79" s="32" t="n">
        <f>278201</f>
        <v>278201.0</v>
      </c>
      <c r="U79" s="32" t="n">
        <f>26756</f>
        <v>26756.0</v>
      </c>
      <c r="V79" s="32" t="n">
        <f>3616895657</f>
        <v>3.616895657E9</v>
      </c>
      <c r="W79" s="32" t="n">
        <f>343471567</f>
        <v>3.43471567E8</v>
      </c>
      <c r="X79" s="36" t="n">
        <f>19</f>
        <v>19.0</v>
      </c>
    </row>
    <row r="80">
      <c r="A80" s="27" t="s">
        <v>42</v>
      </c>
      <c r="B80" s="27" t="s">
        <v>280</v>
      </c>
      <c r="C80" s="27" t="s">
        <v>281</v>
      </c>
      <c r="D80" s="27" t="s">
        <v>282</v>
      </c>
      <c r="E80" s="28" t="s">
        <v>46</v>
      </c>
      <c r="F80" s="29" t="s">
        <v>46</v>
      </c>
      <c r="G80" s="30" t="s">
        <v>46</v>
      </c>
      <c r="H80" s="31"/>
      <c r="I80" s="31" t="s">
        <v>47</v>
      </c>
      <c r="J80" s="32" t="n">
        <v>1.0</v>
      </c>
      <c r="K80" s="33" t="n">
        <f>8244</f>
        <v>8244.0</v>
      </c>
      <c r="L80" s="34" t="s">
        <v>48</v>
      </c>
      <c r="M80" s="33" t="n">
        <f>8244</f>
        <v>8244.0</v>
      </c>
      <c r="N80" s="34" t="s">
        <v>48</v>
      </c>
      <c r="O80" s="33" t="n">
        <f>7755</f>
        <v>7755.0</v>
      </c>
      <c r="P80" s="34" t="s">
        <v>71</v>
      </c>
      <c r="Q80" s="33" t="n">
        <f>7980</f>
        <v>7980.0</v>
      </c>
      <c r="R80" s="34" t="s">
        <v>50</v>
      </c>
      <c r="S80" s="35" t="n">
        <f>7988.42</f>
        <v>7988.42</v>
      </c>
      <c r="T80" s="32" t="n">
        <f>168082</f>
        <v>168082.0</v>
      </c>
      <c r="U80" s="32" t="n">
        <f>53558</f>
        <v>53558.0</v>
      </c>
      <c r="V80" s="32" t="n">
        <f>1347209610</f>
        <v>1.34720961E9</v>
      </c>
      <c r="W80" s="32" t="n">
        <f>423302186</f>
        <v>4.23302186E8</v>
      </c>
      <c r="X80" s="36" t="n">
        <f>19</f>
        <v>19.0</v>
      </c>
    </row>
    <row r="81">
      <c r="A81" s="27" t="s">
        <v>42</v>
      </c>
      <c r="B81" s="27" t="s">
        <v>283</v>
      </c>
      <c r="C81" s="27" t="s">
        <v>284</v>
      </c>
      <c r="D81" s="27" t="s">
        <v>285</v>
      </c>
      <c r="E81" s="28" t="s">
        <v>46</v>
      </c>
      <c r="F81" s="29" t="s">
        <v>46</v>
      </c>
      <c r="G81" s="30" t="s">
        <v>46</v>
      </c>
      <c r="H81" s="31"/>
      <c r="I81" s="31" t="s">
        <v>47</v>
      </c>
      <c r="J81" s="32" t="n">
        <v>10.0</v>
      </c>
      <c r="K81" s="33" t="n">
        <f>7244</f>
        <v>7244.0</v>
      </c>
      <c r="L81" s="34" t="s">
        <v>48</v>
      </c>
      <c r="M81" s="33" t="n">
        <f>7312</f>
        <v>7312.0</v>
      </c>
      <c r="N81" s="34" t="s">
        <v>286</v>
      </c>
      <c r="O81" s="33" t="n">
        <f>7041</f>
        <v>7041.0</v>
      </c>
      <c r="P81" s="34" t="s">
        <v>66</v>
      </c>
      <c r="Q81" s="33" t="n">
        <f>7159</f>
        <v>7159.0</v>
      </c>
      <c r="R81" s="34" t="s">
        <v>50</v>
      </c>
      <c r="S81" s="35" t="n">
        <f>7126.5</f>
        <v>7126.5</v>
      </c>
      <c r="T81" s="32" t="n">
        <f>4130</f>
        <v>4130.0</v>
      </c>
      <c r="U81" s="32" t="str">
        <f>"－"</f>
        <v>－</v>
      </c>
      <c r="V81" s="32" t="n">
        <f>29484080</f>
        <v>2.948408E7</v>
      </c>
      <c r="W81" s="32" t="str">
        <f>"－"</f>
        <v>－</v>
      </c>
      <c r="X81" s="36" t="n">
        <f>18</f>
        <v>18.0</v>
      </c>
    </row>
    <row r="82">
      <c r="A82" s="27" t="s">
        <v>42</v>
      </c>
      <c r="B82" s="27" t="s">
        <v>287</v>
      </c>
      <c r="C82" s="27" t="s">
        <v>288</v>
      </c>
      <c r="D82" s="27" t="s">
        <v>289</v>
      </c>
      <c r="E82" s="28" t="s">
        <v>46</v>
      </c>
      <c r="F82" s="29" t="s">
        <v>46</v>
      </c>
      <c r="G82" s="30" t="s">
        <v>46</v>
      </c>
      <c r="H82" s="31"/>
      <c r="I82" s="31" t="s">
        <v>47</v>
      </c>
      <c r="J82" s="32" t="n">
        <v>1.0</v>
      </c>
      <c r="K82" s="33" t="n">
        <f>6932</f>
        <v>6932.0</v>
      </c>
      <c r="L82" s="34" t="s">
        <v>48</v>
      </c>
      <c r="M82" s="33" t="n">
        <f>6936</f>
        <v>6936.0</v>
      </c>
      <c r="N82" s="34" t="s">
        <v>48</v>
      </c>
      <c r="O82" s="33" t="n">
        <f>6565</f>
        <v>6565.0</v>
      </c>
      <c r="P82" s="34" t="s">
        <v>71</v>
      </c>
      <c r="Q82" s="33" t="n">
        <f>6739</f>
        <v>6739.0</v>
      </c>
      <c r="R82" s="34" t="s">
        <v>50</v>
      </c>
      <c r="S82" s="35" t="n">
        <f>6731.21</f>
        <v>6731.21</v>
      </c>
      <c r="T82" s="32" t="n">
        <f>47374</f>
        <v>47374.0</v>
      </c>
      <c r="U82" s="32" t="n">
        <f>342</f>
        <v>342.0</v>
      </c>
      <c r="V82" s="32" t="n">
        <f>319925808</f>
        <v>3.19925808E8</v>
      </c>
      <c r="W82" s="32" t="n">
        <f>2305970</f>
        <v>2305970.0</v>
      </c>
      <c r="X82" s="36" t="n">
        <f>19</f>
        <v>19.0</v>
      </c>
    </row>
    <row r="83">
      <c r="A83" s="27" t="s">
        <v>42</v>
      </c>
      <c r="B83" s="27" t="s">
        <v>290</v>
      </c>
      <c r="C83" s="27" t="s">
        <v>291</v>
      </c>
      <c r="D83" s="27" t="s">
        <v>292</v>
      </c>
      <c r="E83" s="28" t="s">
        <v>46</v>
      </c>
      <c r="F83" s="29" t="s">
        <v>46</v>
      </c>
      <c r="G83" s="30" t="s">
        <v>46</v>
      </c>
      <c r="H83" s="31"/>
      <c r="I83" s="31" t="s">
        <v>47</v>
      </c>
      <c r="J83" s="32" t="n">
        <v>1.0</v>
      </c>
      <c r="K83" s="33" t="n">
        <f>2423</f>
        <v>2423.0</v>
      </c>
      <c r="L83" s="34" t="s">
        <v>48</v>
      </c>
      <c r="M83" s="33" t="n">
        <f>2433</f>
        <v>2433.0</v>
      </c>
      <c r="N83" s="34" t="s">
        <v>66</v>
      </c>
      <c r="O83" s="33" t="n">
        <f>2185</f>
        <v>2185.0</v>
      </c>
      <c r="P83" s="34" t="s">
        <v>78</v>
      </c>
      <c r="Q83" s="33" t="n">
        <f>2263</f>
        <v>2263.0</v>
      </c>
      <c r="R83" s="34" t="s">
        <v>50</v>
      </c>
      <c r="S83" s="35" t="n">
        <f>2272</f>
        <v>2272.0</v>
      </c>
      <c r="T83" s="32" t="n">
        <f>68339</f>
        <v>68339.0</v>
      </c>
      <c r="U83" s="32" t="n">
        <f>820</f>
        <v>820.0</v>
      </c>
      <c r="V83" s="32" t="n">
        <f>154801273</f>
        <v>1.54801273E8</v>
      </c>
      <c r="W83" s="32" t="n">
        <f>1883500</f>
        <v>1883500.0</v>
      </c>
      <c r="X83" s="36" t="n">
        <f>19</f>
        <v>19.0</v>
      </c>
    </row>
    <row r="84">
      <c r="A84" s="27" t="s">
        <v>42</v>
      </c>
      <c r="B84" s="27" t="s">
        <v>293</v>
      </c>
      <c r="C84" s="27" t="s">
        <v>294</v>
      </c>
      <c r="D84" s="27" t="s">
        <v>295</v>
      </c>
      <c r="E84" s="28" t="s">
        <v>46</v>
      </c>
      <c r="F84" s="29" t="s">
        <v>46</v>
      </c>
      <c r="G84" s="30" t="s">
        <v>46</v>
      </c>
      <c r="H84" s="31"/>
      <c r="I84" s="31" t="s">
        <v>47</v>
      </c>
      <c r="J84" s="32" t="n">
        <v>1.0</v>
      </c>
      <c r="K84" s="33" t="n">
        <f>122700</f>
        <v>122700.0</v>
      </c>
      <c r="L84" s="34" t="s">
        <v>48</v>
      </c>
      <c r="M84" s="33" t="n">
        <f>122800</f>
        <v>122800.0</v>
      </c>
      <c r="N84" s="34" t="s">
        <v>48</v>
      </c>
      <c r="O84" s="33" t="n">
        <f>116750</f>
        <v>116750.0</v>
      </c>
      <c r="P84" s="34" t="s">
        <v>71</v>
      </c>
      <c r="Q84" s="33" t="n">
        <f>120600</f>
        <v>120600.0</v>
      </c>
      <c r="R84" s="34" t="s">
        <v>50</v>
      </c>
      <c r="S84" s="35" t="n">
        <f>119763.16</f>
        <v>119763.16</v>
      </c>
      <c r="T84" s="32" t="n">
        <f>20586</f>
        <v>20586.0</v>
      </c>
      <c r="U84" s="32" t="n">
        <f>921</f>
        <v>921.0</v>
      </c>
      <c r="V84" s="32" t="n">
        <f>2459754036</f>
        <v>2.459754036E9</v>
      </c>
      <c r="W84" s="32" t="n">
        <f>108802686</f>
        <v>1.08802686E8</v>
      </c>
      <c r="X84" s="36" t="n">
        <f>19</f>
        <v>19.0</v>
      </c>
    </row>
    <row r="85">
      <c r="A85" s="27" t="s">
        <v>42</v>
      </c>
      <c r="B85" s="27" t="s">
        <v>296</v>
      </c>
      <c r="C85" s="27" t="s">
        <v>297</v>
      </c>
      <c r="D85" s="27" t="s">
        <v>298</v>
      </c>
      <c r="E85" s="28" t="s">
        <v>46</v>
      </c>
      <c r="F85" s="29" t="s">
        <v>46</v>
      </c>
      <c r="G85" s="30" t="s">
        <v>46</v>
      </c>
      <c r="H85" s="31"/>
      <c r="I85" s="31" t="s">
        <v>47</v>
      </c>
      <c r="J85" s="32" t="n">
        <v>1.0</v>
      </c>
      <c r="K85" s="33" t="n">
        <f>4790</f>
        <v>4790.0</v>
      </c>
      <c r="L85" s="34" t="s">
        <v>48</v>
      </c>
      <c r="M85" s="33" t="n">
        <f>4820</f>
        <v>4820.0</v>
      </c>
      <c r="N85" s="34" t="s">
        <v>48</v>
      </c>
      <c r="O85" s="33" t="n">
        <f>4599</f>
        <v>4599.0</v>
      </c>
      <c r="P85" s="34" t="s">
        <v>71</v>
      </c>
      <c r="Q85" s="33" t="n">
        <f>4665</f>
        <v>4665.0</v>
      </c>
      <c r="R85" s="34" t="s">
        <v>50</v>
      </c>
      <c r="S85" s="35" t="n">
        <f>4700.95</f>
        <v>4700.95</v>
      </c>
      <c r="T85" s="32" t="n">
        <f>6207</f>
        <v>6207.0</v>
      </c>
      <c r="U85" s="32" t="str">
        <f>"－"</f>
        <v>－</v>
      </c>
      <c r="V85" s="32" t="n">
        <f>29051773</f>
        <v>2.9051773E7</v>
      </c>
      <c r="W85" s="32" t="str">
        <f>"－"</f>
        <v>－</v>
      </c>
      <c r="X85" s="36" t="n">
        <f>19</f>
        <v>19.0</v>
      </c>
    </row>
    <row r="86">
      <c r="A86" s="27" t="s">
        <v>42</v>
      </c>
      <c r="B86" s="27" t="s">
        <v>299</v>
      </c>
      <c r="C86" s="27" t="s">
        <v>300</v>
      </c>
      <c r="D86" s="27" t="s">
        <v>301</v>
      </c>
      <c r="E86" s="28" t="s">
        <v>46</v>
      </c>
      <c r="F86" s="29" t="s">
        <v>46</v>
      </c>
      <c r="G86" s="30" t="s">
        <v>46</v>
      </c>
      <c r="H86" s="31"/>
      <c r="I86" s="31" t="s">
        <v>47</v>
      </c>
      <c r="J86" s="32" t="n">
        <v>1.0</v>
      </c>
      <c r="K86" s="33" t="n">
        <f>6590</f>
        <v>6590.0</v>
      </c>
      <c r="L86" s="34" t="s">
        <v>48</v>
      </c>
      <c r="M86" s="33" t="n">
        <f>6600</f>
        <v>6600.0</v>
      </c>
      <c r="N86" s="34" t="s">
        <v>66</v>
      </c>
      <c r="O86" s="33" t="n">
        <f>6120</f>
        <v>6120.0</v>
      </c>
      <c r="P86" s="34" t="s">
        <v>114</v>
      </c>
      <c r="Q86" s="33" t="n">
        <f>6260</f>
        <v>6260.0</v>
      </c>
      <c r="R86" s="34" t="s">
        <v>50</v>
      </c>
      <c r="S86" s="35" t="n">
        <f>6294.63</f>
        <v>6294.63</v>
      </c>
      <c r="T86" s="32" t="n">
        <f>4429</f>
        <v>4429.0</v>
      </c>
      <c r="U86" s="32" t="str">
        <f>"－"</f>
        <v>－</v>
      </c>
      <c r="V86" s="32" t="n">
        <f>27779929</f>
        <v>2.7779929E7</v>
      </c>
      <c r="W86" s="32" t="str">
        <f>"－"</f>
        <v>－</v>
      </c>
      <c r="X86" s="36" t="n">
        <f>19</f>
        <v>19.0</v>
      </c>
    </row>
    <row r="87">
      <c r="A87" s="27" t="s">
        <v>42</v>
      </c>
      <c r="B87" s="27" t="s">
        <v>302</v>
      </c>
      <c r="C87" s="27" t="s">
        <v>303</v>
      </c>
      <c r="D87" s="27" t="s">
        <v>304</v>
      </c>
      <c r="E87" s="28" t="s">
        <v>46</v>
      </c>
      <c r="F87" s="29" t="s">
        <v>46</v>
      </c>
      <c r="G87" s="30" t="s">
        <v>46</v>
      </c>
      <c r="H87" s="31"/>
      <c r="I87" s="31" t="s">
        <v>47</v>
      </c>
      <c r="J87" s="32" t="n">
        <v>1.0</v>
      </c>
      <c r="K87" s="33" t="n">
        <f>2547</f>
        <v>2547.0</v>
      </c>
      <c r="L87" s="34" t="s">
        <v>48</v>
      </c>
      <c r="M87" s="33" t="n">
        <f>2573</f>
        <v>2573.0</v>
      </c>
      <c r="N87" s="34" t="s">
        <v>48</v>
      </c>
      <c r="O87" s="33" t="n">
        <f>2350</f>
        <v>2350.0</v>
      </c>
      <c r="P87" s="34" t="s">
        <v>49</v>
      </c>
      <c r="Q87" s="33" t="n">
        <f>2457</f>
        <v>2457.0</v>
      </c>
      <c r="R87" s="34" t="s">
        <v>50</v>
      </c>
      <c r="S87" s="35" t="n">
        <f>2457</f>
        <v>2457.0</v>
      </c>
      <c r="T87" s="32" t="n">
        <f>387447</f>
        <v>387447.0</v>
      </c>
      <c r="U87" s="32" t="str">
        <f>"－"</f>
        <v>－</v>
      </c>
      <c r="V87" s="32" t="n">
        <f>953843535</f>
        <v>9.53843535E8</v>
      </c>
      <c r="W87" s="32" t="str">
        <f>"－"</f>
        <v>－</v>
      </c>
      <c r="X87" s="36" t="n">
        <f>19</f>
        <v>19.0</v>
      </c>
    </row>
    <row r="88">
      <c r="A88" s="27" t="s">
        <v>42</v>
      </c>
      <c r="B88" s="27" t="s">
        <v>305</v>
      </c>
      <c r="C88" s="27" t="s">
        <v>306</v>
      </c>
      <c r="D88" s="27" t="s">
        <v>307</v>
      </c>
      <c r="E88" s="28" t="s">
        <v>46</v>
      </c>
      <c r="F88" s="29" t="s">
        <v>46</v>
      </c>
      <c r="G88" s="30" t="s">
        <v>46</v>
      </c>
      <c r="H88" s="31"/>
      <c r="I88" s="31" t="s">
        <v>47</v>
      </c>
      <c r="J88" s="32" t="n">
        <v>1.0</v>
      </c>
      <c r="K88" s="33" t="n">
        <f>54310</f>
        <v>54310.0</v>
      </c>
      <c r="L88" s="34" t="s">
        <v>48</v>
      </c>
      <c r="M88" s="33" t="n">
        <f>54530</f>
        <v>54530.0</v>
      </c>
      <c r="N88" s="34" t="s">
        <v>48</v>
      </c>
      <c r="O88" s="33" t="n">
        <f>51370</f>
        <v>51370.0</v>
      </c>
      <c r="P88" s="34" t="s">
        <v>308</v>
      </c>
      <c r="Q88" s="33" t="n">
        <f>51750</f>
        <v>51750.0</v>
      </c>
      <c r="R88" s="34" t="s">
        <v>50</v>
      </c>
      <c r="S88" s="35" t="n">
        <f>52411.58</f>
        <v>52411.58</v>
      </c>
      <c r="T88" s="32" t="n">
        <f>24130</f>
        <v>24130.0</v>
      </c>
      <c r="U88" s="32" t="n">
        <f>5224</f>
        <v>5224.0</v>
      </c>
      <c r="V88" s="32" t="n">
        <f>1264576230</f>
        <v>1.26457623E9</v>
      </c>
      <c r="W88" s="32" t="n">
        <f>272253640</f>
        <v>2.7225364E8</v>
      </c>
      <c r="X88" s="36" t="n">
        <f>19</f>
        <v>19.0</v>
      </c>
    </row>
    <row r="89">
      <c r="A89" s="27" t="s">
        <v>42</v>
      </c>
      <c r="B89" s="27" t="s">
        <v>309</v>
      </c>
      <c r="C89" s="27" t="s">
        <v>310</v>
      </c>
      <c r="D89" s="27" t="s">
        <v>311</v>
      </c>
      <c r="E89" s="28" t="s">
        <v>46</v>
      </c>
      <c r="F89" s="29" t="s">
        <v>46</v>
      </c>
      <c r="G89" s="30" t="s">
        <v>46</v>
      </c>
      <c r="H89" s="31"/>
      <c r="I89" s="31" t="s">
        <v>47</v>
      </c>
      <c r="J89" s="32" t="n">
        <v>10.0</v>
      </c>
      <c r="K89" s="33" t="n">
        <f>1018.5</f>
        <v>1018.5</v>
      </c>
      <c r="L89" s="34" t="s">
        <v>48</v>
      </c>
      <c r="M89" s="33" t="n">
        <f>1050</f>
        <v>1050.0</v>
      </c>
      <c r="N89" s="34" t="s">
        <v>48</v>
      </c>
      <c r="O89" s="33" t="n">
        <f>932.3</f>
        <v>932.3</v>
      </c>
      <c r="P89" s="34" t="s">
        <v>49</v>
      </c>
      <c r="Q89" s="33" t="n">
        <f>1020</f>
        <v>1020.0</v>
      </c>
      <c r="R89" s="34" t="s">
        <v>50</v>
      </c>
      <c r="S89" s="35" t="n">
        <f>994.5</f>
        <v>994.5</v>
      </c>
      <c r="T89" s="32" t="n">
        <f>36899640</f>
        <v>3.689964E7</v>
      </c>
      <c r="U89" s="32" t="n">
        <f>471150</f>
        <v>471150.0</v>
      </c>
      <c r="V89" s="32" t="n">
        <f>36667120479</f>
        <v>3.6667120479E10</v>
      </c>
      <c r="W89" s="32" t="n">
        <f>470253525</f>
        <v>4.70253525E8</v>
      </c>
      <c r="X89" s="36" t="n">
        <f>19</f>
        <v>19.0</v>
      </c>
    </row>
    <row r="90">
      <c r="A90" s="27" t="s">
        <v>42</v>
      </c>
      <c r="B90" s="27" t="s">
        <v>312</v>
      </c>
      <c r="C90" s="27" t="s">
        <v>313</v>
      </c>
      <c r="D90" s="27" t="s">
        <v>314</v>
      </c>
      <c r="E90" s="28" t="s">
        <v>46</v>
      </c>
      <c r="F90" s="29" t="s">
        <v>46</v>
      </c>
      <c r="G90" s="30" t="s">
        <v>46</v>
      </c>
      <c r="H90" s="31"/>
      <c r="I90" s="31" t="s">
        <v>47</v>
      </c>
      <c r="J90" s="32" t="n">
        <v>10.0</v>
      </c>
      <c r="K90" s="33" t="n">
        <f>729.2</f>
        <v>729.2</v>
      </c>
      <c r="L90" s="34" t="s">
        <v>48</v>
      </c>
      <c r="M90" s="33" t="n">
        <f>761.8</f>
        <v>761.8</v>
      </c>
      <c r="N90" s="34" t="s">
        <v>49</v>
      </c>
      <c r="O90" s="33" t="n">
        <f>719</f>
        <v>719.0</v>
      </c>
      <c r="P90" s="34" t="s">
        <v>48</v>
      </c>
      <c r="Q90" s="33" t="n">
        <f>726.7</f>
        <v>726.7</v>
      </c>
      <c r="R90" s="34" t="s">
        <v>50</v>
      </c>
      <c r="S90" s="35" t="n">
        <f>737.37</f>
        <v>737.37</v>
      </c>
      <c r="T90" s="32" t="n">
        <f>1211240</f>
        <v>1211240.0</v>
      </c>
      <c r="U90" s="32" t="n">
        <f>4220</f>
        <v>4220.0</v>
      </c>
      <c r="V90" s="32" t="n">
        <f>895135268</f>
        <v>8.95135268E8</v>
      </c>
      <c r="W90" s="32" t="n">
        <f>3128945</f>
        <v>3128945.0</v>
      </c>
      <c r="X90" s="36" t="n">
        <f>19</f>
        <v>19.0</v>
      </c>
    </row>
    <row r="91">
      <c r="A91" s="27" t="s">
        <v>42</v>
      </c>
      <c r="B91" s="27" t="s">
        <v>315</v>
      </c>
      <c r="C91" s="27" t="s">
        <v>316</v>
      </c>
      <c r="D91" s="27" t="s">
        <v>317</v>
      </c>
      <c r="E91" s="28" t="s">
        <v>46</v>
      </c>
      <c r="F91" s="29" t="s">
        <v>46</v>
      </c>
      <c r="G91" s="30" t="s">
        <v>46</v>
      </c>
      <c r="H91" s="31"/>
      <c r="I91" s="31" t="s">
        <v>47</v>
      </c>
      <c r="J91" s="32" t="n">
        <v>1.0</v>
      </c>
      <c r="K91" s="33" t="n">
        <f>68330</f>
        <v>68330.0</v>
      </c>
      <c r="L91" s="34" t="s">
        <v>48</v>
      </c>
      <c r="M91" s="33" t="n">
        <f>71440</f>
        <v>71440.0</v>
      </c>
      <c r="N91" s="34" t="s">
        <v>50</v>
      </c>
      <c r="O91" s="33" t="n">
        <f>62020</f>
        <v>62020.0</v>
      </c>
      <c r="P91" s="34" t="s">
        <v>71</v>
      </c>
      <c r="Q91" s="33" t="n">
        <f>71240</f>
        <v>71240.0</v>
      </c>
      <c r="R91" s="34" t="s">
        <v>50</v>
      </c>
      <c r="S91" s="35" t="n">
        <f>66946.84</f>
        <v>66946.84</v>
      </c>
      <c r="T91" s="32" t="n">
        <f>43738556</f>
        <v>4.3738556E7</v>
      </c>
      <c r="U91" s="32" t="n">
        <f>500371</f>
        <v>500371.0</v>
      </c>
      <c r="V91" s="32" t="n">
        <f>2921982997769</f>
        <v>2.921982997769E12</v>
      </c>
      <c r="W91" s="32" t="n">
        <f>33378006099</f>
        <v>3.3378006099E10</v>
      </c>
      <c r="X91" s="36" t="n">
        <f>19</f>
        <v>19.0</v>
      </c>
    </row>
    <row r="92">
      <c r="A92" s="27" t="s">
        <v>42</v>
      </c>
      <c r="B92" s="27" t="s">
        <v>318</v>
      </c>
      <c r="C92" s="27" t="s">
        <v>319</v>
      </c>
      <c r="D92" s="27" t="s">
        <v>320</v>
      </c>
      <c r="E92" s="28" t="s">
        <v>46</v>
      </c>
      <c r="F92" s="29" t="s">
        <v>46</v>
      </c>
      <c r="G92" s="30" t="s">
        <v>46</v>
      </c>
      <c r="H92" s="31"/>
      <c r="I92" s="31" t="s">
        <v>47</v>
      </c>
      <c r="J92" s="32" t="n">
        <v>1.0</v>
      </c>
      <c r="K92" s="33" t="n">
        <f>297</f>
        <v>297.0</v>
      </c>
      <c r="L92" s="34" t="s">
        <v>48</v>
      </c>
      <c r="M92" s="33" t="n">
        <f>312</f>
        <v>312.0</v>
      </c>
      <c r="N92" s="34" t="s">
        <v>71</v>
      </c>
      <c r="O92" s="33" t="n">
        <f>290</f>
        <v>290.0</v>
      </c>
      <c r="P92" s="34" t="s">
        <v>50</v>
      </c>
      <c r="Q92" s="33" t="n">
        <f>290</f>
        <v>290.0</v>
      </c>
      <c r="R92" s="34" t="s">
        <v>50</v>
      </c>
      <c r="S92" s="35" t="n">
        <f>300.16</f>
        <v>300.16</v>
      </c>
      <c r="T92" s="32" t="n">
        <f>20929662</f>
        <v>2.0929662E7</v>
      </c>
      <c r="U92" s="32" t="n">
        <f>2247712</f>
        <v>2247712.0</v>
      </c>
      <c r="V92" s="32" t="n">
        <f>6310899581</f>
        <v>6.310899581E9</v>
      </c>
      <c r="W92" s="32" t="n">
        <f>666442232</f>
        <v>6.66442232E8</v>
      </c>
      <c r="X92" s="36" t="n">
        <f>19</f>
        <v>19.0</v>
      </c>
    </row>
    <row r="93">
      <c r="A93" s="27" t="s">
        <v>42</v>
      </c>
      <c r="B93" s="27" t="s">
        <v>321</v>
      </c>
      <c r="C93" s="27" t="s">
        <v>322</v>
      </c>
      <c r="D93" s="27" t="s">
        <v>323</v>
      </c>
      <c r="E93" s="28" t="s">
        <v>46</v>
      </c>
      <c r="F93" s="29" t="s">
        <v>46</v>
      </c>
      <c r="G93" s="30" t="s">
        <v>46</v>
      </c>
      <c r="H93" s="31"/>
      <c r="I93" s="31" t="s">
        <v>47</v>
      </c>
      <c r="J93" s="32" t="n">
        <v>10.0</v>
      </c>
      <c r="K93" s="33" t="n">
        <f>7100</f>
        <v>7100.0</v>
      </c>
      <c r="L93" s="34" t="s">
        <v>48</v>
      </c>
      <c r="M93" s="33" t="n">
        <f>7296</f>
        <v>7296.0</v>
      </c>
      <c r="N93" s="34" t="s">
        <v>210</v>
      </c>
      <c r="O93" s="33" t="n">
        <f>6381</f>
        <v>6381.0</v>
      </c>
      <c r="P93" s="34" t="s">
        <v>221</v>
      </c>
      <c r="Q93" s="33" t="n">
        <f>6592</f>
        <v>6592.0</v>
      </c>
      <c r="R93" s="34" t="s">
        <v>50</v>
      </c>
      <c r="S93" s="35" t="n">
        <f>6707.26</f>
        <v>6707.26</v>
      </c>
      <c r="T93" s="32" t="n">
        <f>29520</f>
        <v>29520.0</v>
      </c>
      <c r="U93" s="32" t="str">
        <f>"－"</f>
        <v>－</v>
      </c>
      <c r="V93" s="32" t="n">
        <f>200039110</f>
        <v>2.0003911E8</v>
      </c>
      <c r="W93" s="32" t="str">
        <f>"－"</f>
        <v>－</v>
      </c>
      <c r="X93" s="36" t="n">
        <f>19</f>
        <v>19.0</v>
      </c>
    </row>
    <row r="94">
      <c r="A94" s="27" t="s">
        <v>42</v>
      </c>
      <c r="B94" s="27" t="s">
        <v>324</v>
      </c>
      <c r="C94" s="27" t="s">
        <v>325</v>
      </c>
      <c r="D94" s="27" t="s">
        <v>326</v>
      </c>
      <c r="E94" s="28" t="s">
        <v>46</v>
      </c>
      <c r="F94" s="29" t="s">
        <v>46</v>
      </c>
      <c r="G94" s="30" t="s">
        <v>46</v>
      </c>
      <c r="H94" s="31"/>
      <c r="I94" s="31" t="s">
        <v>47</v>
      </c>
      <c r="J94" s="32" t="n">
        <v>10.0</v>
      </c>
      <c r="K94" s="33" t="n">
        <f>8249</f>
        <v>8249.0</v>
      </c>
      <c r="L94" s="34" t="s">
        <v>48</v>
      </c>
      <c r="M94" s="33" t="n">
        <f>8532</f>
        <v>8532.0</v>
      </c>
      <c r="N94" s="34" t="s">
        <v>200</v>
      </c>
      <c r="O94" s="33" t="n">
        <f>7935</f>
        <v>7935.0</v>
      </c>
      <c r="P94" s="34" t="s">
        <v>98</v>
      </c>
      <c r="Q94" s="33" t="n">
        <f>8389</f>
        <v>8389.0</v>
      </c>
      <c r="R94" s="34" t="s">
        <v>50</v>
      </c>
      <c r="S94" s="35" t="n">
        <f>8245.28</f>
        <v>8245.28</v>
      </c>
      <c r="T94" s="32" t="n">
        <f>7210</f>
        <v>7210.0</v>
      </c>
      <c r="U94" s="32" t="str">
        <f>"－"</f>
        <v>－</v>
      </c>
      <c r="V94" s="32" t="n">
        <f>59540870</f>
        <v>5.954087E7</v>
      </c>
      <c r="W94" s="32" t="str">
        <f>"－"</f>
        <v>－</v>
      </c>
      <c r="X94" s="36" t="n">
        <f>18</f>
        <v>18.0</v>
      </c>
    </row>
    <row r="95">
      <c r="A95" s="27" t="s">
        <v>42</v>
      </c>
      <c r="B95" s="27" t="s">
        <v>327</v>
      </c>
      <c r="C95" s="27" t="s">
        <v>328</v>
      </c>
      <c r="D95" s="27" t="s">
        <v>329</v>
      </c>
      <c r="E95" s="28" t="s">
        <v>46</v>
      </c>
      <c r="F95" s="29" t="s">
        <v>46</v>
      </c>
      <c r="G95" s="30" t="s">
        <v>46</v>
      </c>
      <c r="H95" s="31"/>
      <c r="I95" s="31" t="s">
        <v>47</v>
      </c>
      <c r="J95" s="32" t="n">
        <v>1.0</v>
      </c>
      <c r="K95" s="33" t="n">
        <f>60690</f>
        <v>60690.0</v>
      </c>
      <c r="L95" s="34" t="s">
        <v>48</v>
      </c>
      <c r="M95" s="33" t="n">
        <f>62170</f>
        <v>62170.0</v>
      </c>
      <c r="N95" s="34" t="s">
        <v>48</v>
      </c>
      <c r="O95" s="33" t="n">
        <f>56700</f>
        <v>56700.0</v>
      </c>
      <c r="P95" s="34" t="s">
        <v>49</v>
      </c>
      <c r="Q95" s="33" t="n">
        <f>60800</f>
        <v>60800.0</v>
      </c>
      <c r="R95" s="34" t="s">
        <v>50</v>
      </c>
      <c r="S95" s="35" t="n">
        <f>60306.84</f>
        <v>60306.84</v>
      </c>
      <c r="T95" s="32" t="n">
        <f>133264</f>
        <v>133264.0</v>
      </c>
      <c r="U95" s="32" t="n">
        <f>30429</f>
        <v>30429.0</v>
      </c>
      <c r="V95" s="32" t="n">
        <f>8053914791</f>
        <v>8.053914791E9</v>
      </c>
      <c r="W95" s="32" t="n">
        <f>1840870151</f>
        <v>1.840870151E9</v>
      </c>
      <c r="X95" s="36" t="n">
        <f>19</f>
        <v>19.0</v>
      </c>
    </row>
    <row r="96">
      <c r="A96" s="27" t="s">
        <v>42</v>
      </c>
      <c r="B96" s="27" t="s">
        <v>330</v>
      </c>
      <c r="C96" s="27" t="s">
        <v>331</v>
      </c>
      <c r="D96" s="27" t="s">
        <v>332</v>
      </c>
      <c r="E96" s="28" t="s">
        <v>46</v>
      </c>
      <c r="F96" s="29" t="s">
        <v>46</v>
      </c>
      <c r="G96" s="30" t="s">
        <v>46</v>
      </c>
      <c r="H96" s="31"/>
      <c r="I96" s="31" t="s">
        <v>47</v>
      </c>
      <c r="J96" s="32" t="n">
        <v>1.0</v>
      </c>
      <c r="K96" s="33" t="n">
        <f>5262</f>
        <v>5262.0</v>
      </c>
      <c r="L96" s="34" t="s">
        <v>48</v>
      </c>
      <c r="M96" s="33" t="n">
        <f>5380</f>
        <v>5380.0</v>
      </c>
      <c r="N96" s="34" t="s">
        <v>50</v>
      </c>
      <c r="O96" s="33" t="n">
        <f>5010</f>
        <v>5010.0</v>
      </c>
      <c r="P96" s="34" t="s">
        <v>71</v>
      </c>
      <c r="Q96" s="33" t="n">
        <f>5380</f>
        <v>5380.0</v>
      </c>
      <c r="R96" s="34" t="s">
        <v>50</v>
      </c>
      <c r="S96" s="35" t="n">
        <f>5200.42</f>
        <v>5200.42</v>
      </c>
      <c r="T96" s="32" t="n">
        <f>259604</f>
        <v>259604.0</v>
      </c>
      <c r="U96" s="32" t="n">
        <f>64120</f>
        <v>64120.0</v>
      </c>
      <c r="V96" s="32" t="n">
        <f>1337909261</f>
        <v>1.337909261E9</v>
      </c>
      <c r="W96" s="32" t="n">
        <f>325007960</f>
        <v>3.2500796E8</v>
      </c>
      <c r="X96" s="36" t="n">
        <f>19</f>
        <v>19.0</v>
      </c>
    </row>
    <row r="97">
      <c r="A97" s="27" t="s">
        <v>42</v>
      </c>
      <c r="B97" s="27" t="s">
        <v>333</v>
      </c>
      <c r="C97" s="27" t="s">
        <v>334</v>
      </c>
      <c r="D97" s="27" t="s">
        <v>335</v>
      </c>
      <c r="E97" s="28" t="s">
        <v>46</v>
      </c>
      <c r="F97" s="29" t="s">
        <v>46</v>
      </c>
      <c r="G97" s="30" t="s">
        <v>46</v>
      </c>
      <c r="H97" s="31"/>
      <c r="I97" s="31" t="s">
        <v>47</v>
      </c>
      <c r="J97" s="32" t="n">
        <v>10.0</v>
      </c>
      <c r="K97" s="33" t="n">
        <f>741.5</f>
        <v>741.5</v>
      </c>
      <c r="L97" s="34" t="s">
        <v>48</v>
      </c>
      <c r="M97" s="33" t="n">
        <f>771.7</f>
        <v>771.7</v>
      </c>
      <c r="N97" s="34" t="s">
        <v>50</v>
      </c>
      <c r="O97" s="33" t="n">
        <f>669.9</f>
        <v>669.9</v>
      </c>
      <c r="P97" s="34" t="s">
        <v>71</v>
      </c>
      <c r="Q97" s="33" t="n">
        <f>768.9</f>
        <v>768.9</v>
      </c>
      <c r="R97" s="34" t="s">
        <v>50</v>
      </c>
      <c r="S97" s="35" t="n">
        <f>723.11</f>
        <v>723.11</v>
      </c>
      <c r="T97" s="32" t="n">
        <f>247659980</f>
        <v>2.4765998E8</v>
      </c>
      <c r="U97" s="32" t="n">
        <f>7080780</f>
        <v>7080780.0</v>
      </c>
      <c r="V97" s="32" t="n">
        <f>178061695623</f>
        <v>1.78061695623E11</v>
      </c>
      <c r="W97" s="32" t="n">
        <f>5116897914</f>
        <v>5.116897914E9</v>
      </c>
      <c r="X97" s="36" t="n">
        <f>19</f>
        <v>19.0</v>
      </c>
    </row>
    <row r="98">
      <c r="A98" s="27" t="s">
        <v>42</v>
      </c>
      <c r="B98" s="27" t="s">
        <v>336</v>
      </c>
      <c r="C98" s="27" t="s">
        <v>337</v>
      </c>
      <c r="D98" s="27" t="s">
        <v>338</v>
      </c>
      <c r="E98" s="28" t="s">
        <v>46</v>
      </c>
      <c r="F98" s="29" t="s">
        <v>46</v>
      </c>
      <c r="G98" s="30" t="s">
        <v>46</v>
      </c>
      <c r="H98" s="31"/>
      <c r="I98" s="31" t="s">
        <v>47</v>
      </c>
      <c r="J98" s="32" t="n">
        <v>10.0</v>
      </c>
      <c r="K98" s="33" t="n">
        <f>789.1</f>
        <v>789.1</v>
      </c>
      <c r="L98" s="34" t="s">
        <v>48</v>
      </c>
      <c r="M98" s="33" t="n">
        <f>825.9</f>
        <v>825.9</v>
      </c>
      <c r="N98" s="34" t="s">
        <v>71</v>
      </c>
      <c r="O98" s="33" t="n">
        <f>768.5</f>
        <v>768.5</v>
      </c>
      <c r="P98" s="34" t="s">
        <v>50</v>
      </c>
      <c r="Q98" s="33" t="n">
        <f>769.8</f>
        <v>769.8</v>
      </c>
      <c r="R98" s="34" t="s">
        <v>50</v>
      </c>
      <c r="S98" s="35" t="n">
        <f>796.06</f>
        <v>796.06</v>
      </c>
      <c r="T98" s="32" t="n">
        <f>6849910</f>
        <v>6849910.0</v>
      </c>
      <c r="U98" s="32" t="n">
        <f>38060</f>
        <v>38060.0</v>
      </c>
      <c r="V98" s="32" t="n">
        <f>5470546336</f>
        <v>5.470546336E9</v>
      </c>
      <c r="W98" s="32" t="n">
        <f>30055889</f>
        <v>3.0055889E7</v>
      </c>
      <c r="X98" s="36" t="n">
        <f>19</f>
        <v>19.0</v>
      </c>
    </row>
    <row r="99">
      <c r="A99" s="27" t="s">
        <v>42</v>
      </c>
      <c r="B99" s="27" t="s">
        <v>339</v>
      </c>
      <c r="C99" s="27" t="s">
        <v>340</v>
      </c>
      <c r="D99" s="27" t="s">
        <v>341</v>
      </c>
      <c r="E99" s="28" t="s">
        <v>46</v>
      </c>
      <c r="F99" s="29" t="s">
        <v>46</v>
      </c>
      <c r="G99" s="30" t="s">
        <v>46</v>
      </c>
      <c r="H99" s="31"/>
      <c r="I99" s="31" t="s">
        <v>47</v>
      </c>
      <c r="J99" s="32" t="n">
        <v>10.0</v>
      </c>
      <c r="K99" s="33" t="n">
        <f>2653.5</f>
        <v>2653.5</v>
      </c>
      <c r="L99" s="34" t="s">
        <v>66</v>
      </c>
      <c r="M99" s="33" t="n">
        <f>2703.5</f>
        <v>2703.5</v>
      </c>
      <c r="N99" s="34" t="s">
        <v>270</v>
      </c>
      <c r="O99" s="33" t="n">
        <f>2587</f>
        <v>2587.0</v>
      </c>
      <c r="P99" s="34" t="s">
        <v>49</v>
      </c>
      <c r="Q99" s="33" t="n">
        <f>2682</f>
        <v>2682.0</v>
      </c>
      <c r="R99" s="34" t="s">
        <v>78</v>
      </c>
      <c r="S99" s="35" t="n">
        <f>2640.59</f>
        <v>2640.59</v>
      </c>
      <c r="T99" s="32" t="n">
        <f>1310</f>
        <v>1310.0</v>
      </c>
      <c r="U99" s="32" t="str">
        <f>"－"</f>
        <v>－</v>
      </c>
      <c r="V99" s="32" t="n">
        <f>3439875</f>
        <v>3439875.0</v>
      </c>
      <c r="W99" s="32" t="str">
        <f>"－"</f>
        <v>－</v>
      </c>
      <c r="X99" s="36" t="n">
        <f>11</f>
        <v>11.0</v>
      </c>
    </row>
    <row r="100">
      <c r="A100" s="27" t="s">
        <v>42</v>
      </c>
      <c r="B100" s="27" t="s">
        <v>342</v>
      </c>
      <c r="C100" s="27" t="s">
        <v>343</v>
      </c>
      <c r="D100" s="27" t="s">
        <v>344</v>
      </c>
      <c r="E100" s="28" t="s">
        <v>46</v>
      </c>
      <c r="F100" s="29" t="s">
        <v>46</v>
      </c>
      <c r="G100" s="30" t="s">
        <v>46</v>
      </c>
      <c r="H100" s="31"/>
      <c r="I100" s="31" t="s">
        <v>47</v>
      </c>
      <c r="J100" s="32" t="n">
        <v>1.0</v>
      </c>
      <c r="K100" s="33" t="n">
        <f>3138</f>
        <v>3138.0</v>
      </c>
      <c r="L100" s="34" t="s">
        <v>48</v>
      </c>
      <c r="M100" s="33" t="n">
        <f>3166</f>
        <v>3166.0</v>
      </c>
      <c r="N100" s="34" t="s">
        <v>48</v>
      </c>
      <c r="O100" s="33" t="n">
        <f>2988</f>
        <v>2988.0</v>
      </c>
      <c r="P100" s="34" t="s">
        <v>49</v>
      </c>
      <c r="Q100" s="33" t="n">
        <f>3120</f>
        <v>3120.0</v>
      </c>
      <c r="R100" s="34" t="s">
        <v>50</v>
      </c>
      <c r="S100" s="35" t="n">
        <f>3074.79</f>
        <v>3074.79</v>
      </c>
      <c r="T100" s="32" t="n">
        <f>139120</f>
        <v>139120.0</v>
      </c>
      <c r="U100" s="32" t="str">
        <f>"－"</f>
        <v>－</v>
      </c>
      <c r="V100" s="32" t="n">
        <f>428464971</f>
        <v>4.28464971E8</v>
      </c>
      <c r="W100" s="32" t="str">
        <f>"－"</f>
        <v>－</v>
      </c>
      <c r="X100" s="36" t="n">
        <f>19</f>
        <v>19.0</v>
      </c>
    </row>
    <row r="101">
      <c r="A101" s="27" t="s">
        <v>42</v>
      </c>
      <c r="B101" s="27" t="s">
        <v>345</v>
      </c>
      <c r="C101" s="27" t="s">
        <v>346</v>
      </c>
      <c r="D101" s="27" t="s">
        <v>347</v>
      </c>
      <c r="E101" s="28" t="s">
        <v>46</v>
      </c>
      <c r="F101" s="29" t="s">
        <v>46</v>
      </c>
      <c r="G101" s="30" t="s">
        <v>46</v>
      </c>
      <c r="H101" s="31"/>
      <c r="I101" s="31" t="s">
        <v>47</v>
      </c>
      <c r="J101" s="32" t="n">
        <v>1.0</v>
      </c>
      <c r="K101" s="33" t="n">
        <f>37370</f>
        <v>37370.0</v>
      </c>
      <c r="L101" s="34" t="s">
        <v>48</v>
      </c>
      <c r="M101" s="33" t="n">
        <f>37930</f>
        <v>37930.0</v>
      </c>
      <c r="N101" s="34" t="s">
        <v>48</v>
      </c>
      <c r="O101" s="33" t="n">
        <f>35700</f>
        <v>35700.0</v>
      </c>
      <c r="P101" s="34" t="s">
        <v>49</v>
      </c>
      <c r="Q101" s="33" t="n">
        <f>37260</f>
        <v>37260.0</v>
      </c>
      <c r="R101" s="34" t="s">
        <v>50</v>
      </c>
      <c r="S101" s="35" t="n">
        <f>36888.42</f>
        <v>36888.42</v>
      </c>
      <c r="T101" s="32" t="n">
        <f>85401</f>
        <v>85401.0</v>
      </c>
      <c r="U101" s="32" t="n">
        <f>24963</f>
        <v>24963.0</v>
      </c>
      <c r="V101" s="32" t="n">
        <f>3122022484</f>
        <v>3.122022484E9</v>
      </c>
      <c r="W101" s="32" t="n">
        <f>911444664</f>
        <v>9.11444664E8</v>
      </c>
      <c r="X101" s="36" t="n">
        <f>19</f>
        <v>19.0</v>
      </c>
    </row>
    <row r="102">
      <c r="A102" s="27" t="s">
        <v>42</v>
      </c>
      <c r="B102" s="27" t="s">
        <v>348</v>
      </c>
      <c r="C102" s="27" t="s">
        <v>349</v>
      </c>
      <c r="D102" s="27" t="s">
        <v>350</v>
      </c>
      <c r="E102" s="28" t="s">
        <v>46</v>
      </c>
      <c r="F102" s="29" t="s">
        <v>46</v>
      </c>
      <c r="G102" s="30" t="s">
        <v>46</v>
      </c>
      <c r="H102" s="31"/>
      <c r="I102" s="31" t="s">
        <v>47</v>
      </c>
      <c r="J102" s="32" t="n">
        <v>1.0</v>
      </c>
      <c r="K102" s="33" t="n">
        <f>3423</f>
        <v>3423.0</v>
      </c>
      <c r="L102" s="34" t="s">
        <v>48</v>
      </c>
      <c r="M102" s="33" t="n">
        <f>3474</f>
        <v>3474.0</v>
      </c>
      <c r="N102" s="34" t="s">
        <v>48</v>
      </c>
      <c r="O102" s="33" t="n">
        <f>3278</f>
        <v>3278.0</v>
      </c>
      <c r="P102" s="34" t="s">
        <v>49</v>
      </c>
      <c r="Q102" s="33" t="n">
        <f>3419</f>
        <v>3419.0</v>
      </c>
      <c r="R102" s="34" t="s">
        <v>50</v>
      </c>
      <c r="S102" s="35" t="n">
        <f>3375.84</f>
        <v>3375.84</v>
      </c>
      <c r="T102" s="32" t="n">
        <f>243618</f>
        <v>243618.0</v>
      </c>
      <c r="U102" s="32" t="n">
        <f>73672</f>
        <v>73672.0</v>
      </c>
      <c r="V102" s="32" t="n">
        <f>824508761</f>
        <v>8.24508761E8</v>
      </c>
      <c r="W102" s="32" t="n">
        <f>249997828</f>
        <v>2.49997828E8</v>
      </c>
      <c r="X102" s="36" t="n">
        <f>19</f>
        <v>19.0</v>
      </c>
    </row>
    <row r="103">
      <c r="A103" s="27" t="s">
        <v>42</v>
      </c>
      <c r="B103" s="27" t="s">
        <v>351</v>
      </c>
      <c r="C103" s="27" t="s">
        <v>352</v>
      </c>
      <c r="D103" s="27" t="s">
        <v>353</v>
      </c>
      <c r="E103" s="28" t="s">
        <v>46</v>
      </c>
      <c r="F103" s="29" t="s">
        <v>46</v>
      </c>
      <c r="G103" s="30" t="s">
        <v>46</v>
      </c>
      <c r="H103" s="31"/>
      <c r="I103" s="31" t="s">
        <v>47</v>
      </c>
      <c r="J103" s="32" t="n">
        <v>1.0</v>
      </c>
      <c r="K103" s="33" t="n">
        <f>38440</f>
        <v>38440.0</v>
      </c>
      <c r="L103" s="34" t="s">
        <v>48</v>
      </c>
      <c r="M103" s="33" t="n">
        <f>38800</f>
        <v>38800.0</v>
      </c>
      <c r="N103" s="34" t="s">
        <v>48</v>
      </c>
      <c r="O103" s="33" t="n">
        <f>36650</f>
        <v>36650.0</v>
      </c>
      <c r="P103" s="34" t="s">
        <v>49</v>
      </c>
      <c r="Q103" s="33" t="n">
        <f>38220</f>
        <v>38220.0</v>
      </c>
      <c r="R103" s="34" t="s">
        <v>50</v>
      </c>
      <c r="S103" s="35" t="n">
        <f>37723.68</f>
        <v>37723.68</v>
      </c>
      <c r="T103" s="32" t="n">
        <f>194699</f>
        <v>194699.0</v>
      </c>
      <c r="U103" s="32" t="n">
        <f>112671</f>
        <v>112671.0</v>
      </c>
      <c r="V103" s="32" t="n">
        <f>7348176954</f>
        <v>7.348176954E9</v>
      </c>
      <c r="W103" s="32" t="n">
        <f>4257274824</f>
        <v>4.257274824E9</v>
      </c>
      <c r="X103" s="36" t="n">
        <f>19</f>
        <v>19.0</v>
      </c>
    </row>
    <row r="104">
      <c r="A104" s="27" t="s">
        <v>42</v>
      </c>
      <c r="B104" s="27" t="s">
        <v>354</v>
      </c>
      <c r="C104" s="27" t="s">
        <v>355</v>
      </c>
      <c r="D104" s="27" t="s">
        <v>356</v>
      </c>
      <c r="E104" s="28" t="s">
        <v>46</v>
      </c>
      <c r="F104" s="29" t="s">
        <v>46</v>
      </c>
      <c r="G104" s="30" t="s">
        <v>46</v>
      </c>
      <c r="H104" s="31"/>
      <c r="I104" s="31" t="s">
        <v>47</v>
      </c>
      <c r="J104" s="32" t="n">
        <v>1.0</v>
      </c>
      <c r="K104" s="33" t="n">
        <f>1847</f>
        <v>1847.0</v>
      </c>
      <c r="L104" s="34" t="s">
        <v>48</v>
      </c>
      <c r="M104" s="33" t="n">
        <f>1855</f>
        <v>1855.0</v>
      </c>
      <c r="N104" s="34" t="s">
        <v>48</v>
      </c>
      <c r="O104" s="33" t="n">
        <f>1758</f>
        <v>1758.0</v>
      </c>
      <c r="P104" s="34" t="s">
        <v>50</v>
      </c>
      <c r="Q104" s="33" t="n">
        <f>1769</f>
        <v>1769.0</v>
      </c>
      <c r="R104" s="34" t="s">
        <v>50</v>
      </c>
      <c r="S104" s="35" t="n">
        <f>1806</f>
        <v>1806.0</v>
      </c>
      <c r="T104" s="32" t="n">
        <f>2435530</f>
        <v>2435530.0</v>
      </c>
      <c r="U104" s="32" t="n">
        <f>1331025</f>
        <v>1331025.0</v>
      </c>
      <c r="V104" s="32" t="n">
        <f>4397191094</f>
        <v>4.397191094E9</v>
      </c>
      <c r="W104" s="32" t="n">
        <f>2408403799</f>
        <v>2.408403799E9</v>
      </c>
      <c r="X104" s="36" t="n">
        <f>19</f>
        <v>19.0</v>
      </c>
    </row>
    <row r="105">
      <c r="A105" s="27" t="s">
        <v>42</v>
      </c>
      <c r="B105" s="27" t="s">
        <v>357</v>
      </c>
      <c r="C105" s="27" t="s">
        <v>358</v>
      </c>
      <c r="D105" s="27" t="s">
        <v>359</v>
      </c>
      <c r="E105" s="28" t="s">
        <v>46</v>
      </c>
      <c r="F105" s="29" t="s">
        <v>46</v>
      </c>
      <c r="G105" s="30" t="s">
        <v>46</v>
      </c>
      <c r="H105" s="31"/>
      <c r="I105" s="31" t="s">
        <v>47</v>
      </c>
      <c r="J105" s="32" t="n">
        <v>1.0</v>
      </c>
      <c r="K105" s="33" t="n">
        <f>3000</f>
        <v>3000.0</v>
      </c>
      <c r="L105" s="34" t="s">
        <v>49</v>
      </c>
      <c r="M105" s="33" t="n">
        <f>3110</f>
        <v>3110.0</v>
      </c>
      <c r="N105" s="34" t="s">
        <v>157</v>
      </c>
      <c r="O105" s="33" t="n">
        <f>3000</f>
        <v>3000.0</v>
      </c>
      <c r="P105" s="34" t="s">
        <v>49</v>
      </c>
      <c r="Q105" s="33" t="n">
        <f>3110</f>
        <v>3110.0</v>
      </c>
      <c r="R105" s="34" t="s">
        <v>157</v>
      </c>
      <c r="S105" s="35" t="n">
        <f>3039.75</f>
        <v>3039.75</v>
      </c>
      <c r="T105" s="32" t="n">
        <f>19</f>
        <v>19.0</v>
      </c>
      <c r="U105" s="32" t="str">
        <f>"－"</f>
        <v>－</v>
      </c>
      <c r="V105" s="32" t="n">
        <f>57918</f>
        <v>57918.0</v>
      </c>
      <c r="W105" s="32" t="str">
        <f>"－"</f>
        <v>－</v>
      </c>
      <c r="X105" s="36" t="n">
        <f>4</f>
        <v>4.0</v>
      </c>
    </row>
    <row r="106">
      <c r="A106" s="27" t="s">
        <v>42</v>
      </c>
      <c r="B106" s="27" t="s">
        <v>360</v>
      </c>
      <c r="C106" s="27" t="s">
        <v>361</v>
      </c>
      <c r="D106" s="27" t="s">
        <v>362</v>
      </c>
      <c r="E106" s="28" t="s">
        <v>46</v>
      </c>
      <c r="F106" s="29" t="s">
        <v>46</v>
      </c>
      <c r="G106" s="30" t="s">
        <v>46</v>
      </c>
      <c r="H106" s="31"/>
      <c r="I106" s="31" t="s">
        <v>47</v>
      </c>
      <c r="J106" s="32" t="n">
        <v>1.0</v>
      </c>
      <c r="K106" s="33" t="n">
        <f>1863</f>
        <v>1863.0</v>
      </c>
      <c r="L106" s="34" t="s">
        <v>48</v>
      </c>
      <c r="M106" s="33" t="n">
        <f>1869</f>
        <v>1869.0</v>
      </c>
      <c r="N106" s="34" t="s">
        <v>48</v>
      </c>
      <c r="O106" s="33" t="n">
        <f>1750</f>
        <v>1750.0</v>
      </c>
      <c r="P106" s="34" t="s">
        <v>78</v>
      </c>
      <c r="Q106" s="33" t="n">
        <f>1761</f>
        <v>1761.0</v>
      </c>
      <c r="R106" s="34" t="s">
        <v>50</v>
      </c>
      <c r="S106" s="35" t="n">
        <f>1803.21</f>
        <v>1803.21</v>
      </c>
      <c r="T106" s="32" t="n">
        <f>3018226</f>
        <v>3018226.0</v>
      </c>
      <c r="U106" s="32" t="n">
        <f>250770</f>
        <v>250770.0</v>
      </c>
      <c r="V106" s="32" t="n">
        <f>5455203326</f>
        <v>5.455203326E9</v>
      </c>
      <c r="W106" s="32" t="n">
        <f>458528754</f>
        <v>4.58528754E8</v>
      </c>
      <c r="X106" s="36" t="n">
        <f>19</f>
        <v>19.0</v>
      </c>
    </row>
    <row r="107">
      <c r="A107" s="27" t="s">
        <v>42</v>
      </c>
      <c r="B107" s="27" t="s">
        <v>363</v>
      </c>
      <c r="C107" s="27" t="s">
        <v>364</v>
      </c>
      <c r="D107" s="27" t="s">
        <v>365</v>
      </c>
      <c r="E107" s="28" t="s">
        <v>46</v>
      </c>
      <c r="F107" s="29" t="s">
        <v>46</v>
      </c>
      <c r="G107" s="30" t="s">
        <v>46</v>
      </c>
      <c r="H107" s="31"/>
      <c r="I107" s="31" t="s">
        <v>47</v>
      </c>
      <c r="J107" s="32" t="n">
        <v>1.0</v>
      </c>
      <c r="K107" s="33" t="n">
        <f>38090</f>
        <v>38090.0</v>
      </c>
      <c r="L107" s="34" t="s">
        <v>48</v>
      </c>
      <c r="M107" s="33" t="n">
        <f>38330</f>
        <v>38330.0</v>
      </c>
      <c r="N107" s="34" t="s">
        <v>48</v>
      </c>
      <c r="O107" s="33" t="n">
        <f>36440</f>
        <v>36440.0</v>
      </c>
      <c r="P107" s="34" t="s">
        <v>49</v>
      </c>
      <c r="Q107" s="33" t="n">
        <f>37870</f>
        <v>37870.0</v>
      </c>
      <c r="R107" s="34" t="s">
        <v>50</v>
      </c>
      <c r="S107" s="35" t="n">
        <f>37474.21</f>
        <v>37474.21</v>
      </c>
      <c r="T107" s="32" t="n">
        <f>666</f>
        <v>666.0</v>
      </c>
      <c r="U107" s="32" t="n">
        <f>10</f>
        <v>10.0</v>
      </c>
      <c r="V107" s="32" t="n">
        <f>24899590</f>
        <v>2.489959E7</v>
      </c>
      <c r="W107" s="32" t="n">
        <f>378710</f>
        <v>378710.0</v>
      </c>
      <c r="X107" s="36" t="n">
        <f>19</f>
        <v>19.0</v>
      </c>
    </row>
    <row r="108">
      <c r="A108" s="27" t="s">
        <v>42</v>
      </c>
      <c r="B108" s="27" t="s">
        <v>366</v>
      </c>
      <c r="C108" s="27" t="s">
        <v>367</v>
      </c>
      <c r="D108" s="27" t="s">
        <v>368</v>
      </c>
      <c r="E108" s="28" t="s">
        <v>46</v>
      </c>
      <c r="F108" s="29" t="s">
        <v>46</v>
      </c>
      <c r="G108" s="30" t="s">
        <v>46</v>
      </c>
      <c r="H108" s="31"/>
      <c r="I108" s="31" t="s">
        <v>47</v>
      </c>
      <c r="J108" s="32" t="n">
        <v>10.0</v>
      </c>
      <c r="K108" s="33" t="n">
        <f>741.2</f>
        <v>741.2</v>
      </c>
      <c r="L108" s="34" t="s">
        <v>48</v>
      </c>
      <c r="M108" s="33" t="n">
        <f>751.8</f>
        <v>751.8</v>
      </c>
      <c r="N108" s="34" t="s">
        <v>48</v>
      </c>
      <c r="O108" s="33" t="n">
        <f>715</f>
        <v>715.0</v>
      </c>
      <c r="P108" s="34" t="s">
        <v>49</v>
      </c>
      <c r="Q108" s="33" t="n">
        <f>746.9</f>
        <v>746.9</v>
      </c>
      <c r="R108" s="34" t="s">
        <v>50</v>
      </c>
      <c r="S108" s="35" t="n">
        <f>734.56</f>
        <v>734.56</v>
      </c>
      <c r="T108" s="32" t="n">
        <f>1278540</f>
        <v>1278540.0</v>
      </c>
      <c r="U108" s="32" t="n">
        <f>200000</f>
        <v>200000.0</v>
      </c>
      <c r="V108" s="32" t="n">
        <f>942627632</f>
        <v>9.42627632E8</v>
      </c>
      <c r="W108" s="32" t="n">
        <f>146095600</f>
        <v>1.460956E8</v>
      </c>
      <c r="X108" s="36" t="n">
        <f>19</f>
        <v>19.0</v>
      </c>
    </row>
    <row r="109">
      <c r="A109" s="27" t="s">
        <v>42</v>
      </c>
      <c r="B109" s="27" t="s">
        <v>369</v>
      </c>
      <c r="C109" s="27" t="s">
        <v>370</v>
      </c>
      <c r="D109" s="27" t="s">
        <v>371</v>
      </c>
      <c r="E109" s="28" t="s">
        <v>46</v>
      </c>
      <c r="F109" s="29" t="s">
        <v>46</v>
      </c>
      <c r="G109" s="30" t="s">
        <v>46</v>
      </c>
      <c r="H109" s="31"/>
      <c r="I109" s="31" t="s">
        <v>47</v>
      </c>
      <c r="J109" s="32" t="n">
        <v>10.0</v>
      </c>
      <c r="K109" s="33" t="n">
        <f>768.1</f>
        <v>768.1</v>
      </c>
      <c r="L109" s="34" t="s">
        <v>48</v>
      </c>
      <c r="M109" s="33" t="n">
        <f>797.9</f>
        <v>797.9</v>
      </c>
      <c r="N109" s="34" t="s">
        <v>50</v>
      </c>
      <c r="O109" s="33" t="n">
        <f>749.3</f>
        <v>749.3</v>
      </c>
      <c r="P109" s="34" t="s">
        <v>49</v>
      </c>
      <c r="Q109" s="33" t="n">
        <f>793.7</f>
        <v>793.7</v>
      </c>
      <c r="R109" s="34" t="s">
        <v>50</v>
      </c>
      <c r="S109" s="35" t="n">
        <f>773.67</f>
        <v>773.67</v>
      </c>
      <c r="T109" s="32" t="n">
        <f>81514980</f>
        <v>8.151498E7</v>
      </c>
      <c r="U109" s="32" t="n">
        <f>5965230</f>
        <v>5965230.0</v>
      </c>
      <c r="V109" s="32" t="n">
        <f>63194688897</f>
        <v>6.3194688897E10</v>
      </c>
      <c r="W109" s="32" t="n">
        <f>4642810058</f>
        <v>4.642810058E9</v>
      </c>
      <c r="X109" s="36" t="n">
        <f>19</f>
        <v>19.0</v>
      </c>
    </row>
    <row r="110">
      <c r="A110" s="27" t="s">
        <v>42</v>
      </c>
      <c r="B110" s="27" t="s">
        <v>372</v>
      </c>
      <c r="C110" s="27" t="s">
        <v>373</v>
      </c>
      <c r="D110" s="27" t="s">
        <v>374</v>
      </c>
      <c r="E110" s="28" t="s">
        <v>46</v>
      </c>
      <c r="F110" s="29" t="s">
        <v>46</v>
      </c>
      <c r="G110" s="30" t="s">
        <v>46</v>
      </c>
      <c r="H110" s="31"/>
      <c r="I110" s="31" t="s">
        <v>47</v>
      </c>
      <c r="J110" s="32" t="n">
        <v>1.0</v>
      </c>
      <c r="K110" s="33" t="n">
        <f>48800</f>
        <v>48800.0</v>
      </c>
      <c r="L110" s="34" t="s">
        <v>48</v>
      </c>
      <c r="M110" s="33" t="n">
        <f>50040</f>
        <v>50040.0</v>
      </c>
      <c r="N110" s="34" t="s">
        <v>48</v>
      </c>
      <c r="O110" s="33" t="n">
        <f>46500</f>
        <v>46500.0</v>
      </c>
      <c r="P110" s="34" t="s">
        <v>71</v>
      </c>
      <c r="Q110" s="33" t="n">
        <f>47730</f>
        <v>47730.0</v>
      </c>
      <c r="R110" s="34" t="s">
        <v>50</v>
      </c>
      <c r="S110" s="35" t="n">
        <f>47827.37</f>
        <v>47827.37</v>
      </c>
      <c r="T110" s="32" t="n">
        <f>9269</f>
        <v>9269.0</v>
      </c>
      <c r="U110" s="32" t="n">
        <f>2217</f>
        <v>2217.0</v>
      </c>
      <c r="V110" s="32" t="n">
        <f>445021850</f>
        <v>4.4502185E8</v>
      </c>
      <c r="W110" s="32" t="n">
        <f>108411330</f>
        <v>1.0841133E8</v>
      </c>
      <c r="X110" s="36" t="n">
        <f>19</f>
        <v>19.0</v>
      </c>
    </row>
    <row r="111">
      <c r="A111" s="27" t="s">
        <v>42</v>
      </c>
      <c r="B111" s="27" t="s">
        <v>375</v>
      </c>
      <c r="C111" s="27" t="s">
        <v>376</v>
      </c>
      <c r="D111" s="27" t="s">
        <v>377</v>
      </c>
      <c r="E111" s="28" t="s">
        <v>46</v>
      </c>
      <c r="F111" s="29" t="s">
        <v>46</v>
      </c>
      <c r="G111" s="30" t="s">
        <v>46</v>
      </c>
      <c r="H111" s="31"/>
      <c r="I111" s="31" t="s">
        <v>47</v>
      </c>
      <c r="J111" s="32" t="n">
        <v>1.0</v>
      </c>
      <c r="K111" s="33" t="n">
        <f>36060</f>
        <v>36060.0</v>
      </c>
      <c r="L111" s="34" t="s">
        <v>48</v>
      </c>
      <c r="M111" s="33" t="n">
        <f>38540</f>
        <v>38540.0</v>
      </c>
      <c r="N111" s="34" t="s">
        <v>67</v>
      </c>
      <c r="O111" s="33" t="n">
        <f>35210</f>
        <v>35210.0</v>
      </c>
      <c r="P111" s="34" t="s">
        <v>270</v>
      </c>
      <c r="Q111" s="33" t="n">
        <f>35750</f>
        <v>35750.0</v>
      </c>
      <c r="R111" s="34" t="s">
        <v>50</v>
      </c>
      <c r="S111" s="35" t="n">
        <f>36784.74</f>
        <v>36784.74</v>
      </c>
      <c r="T111" s="32" t="n">
        <f>38023</f>
        <v>38023.0</v>
      </c>
      <c r="U111" s="32" t="n">
        <f>6783</f>
        <v>6783.0</v>
      </c>
      <c r="V111" s="32" t="n">
        <f>1397514906</f>
        <v>1.397514906E9</v>
      </c>
      <c r="W111" s="32" t="n">
        <f>241317756</f>
        <v>2.41317756E8</v>
      </c>
      <c r="X111" s="36" t="n">
        <f>19</f>
        <v>19.0</v>
      </c>
    </row>
    <row r="112">
      <c r="A112" s="27" t="s">
        <v>42</v>
      </c>
      <c r="B112" s="27" t="s">
        <v>378</v>
      </c>
      <c r="C112" s="27" t="s">
        <v>379</v>
      </c>
      <c r="D112" s="27" t="s">
        <v>380</v>
      </c>
      <c r="E112" s="28" t="s">
        <v>46</v>
      </c>
      <c r="F112" s="29" t="s">
        <v>46</v>
      </c>
      <c r="G112" s="30" t="s">
        <v>46</v>
      </c>
      <c r="H112" s="31"/>
      <c r="I112" s="31" t="s">
        <v>47</v>
      </c>
      <c r="J112" s="32" t="n">
        <v>1.0</v>
      </c>
      <c r="K112" s="33" t="n">
        <f>45230</f>
        <v>45230.0</v>
      </c>
      <c r="L112" s="34" t="s">
        <v>48</v>
      </c>
      <c r="M112" s="33" t="n">
        <f>46020</f>
        <v>46020.0</v>
      </c>
      <c r="N112" s="34" t="s">
        <v>48</v>
      </c>
      <c r="O112" s="33" t="n">
        <f>43370</f>
        <v>43370.0</v>
      </c>
      <c r="P112" s="34" t="s">
        <v>49</v>
      </c>
      <c r="Q112" s="33" t="n">
        <f>45070</f>
        <v>45070.0</v>
      </c>
      <c r="R112" s="34" t="s">
        <v>50</v>
      </c>
      <c r="S112" s="35" t="n">
        <f>44682.63</f>
        <v>44682.63</v>
      </c>
      <c r="T112" s="32" t="n">
        <f>16090</f>
        <v>16090.0</v>
      </c>
      <c r="U112" s="32" t="n">
        <f>8732</f>
        <v>8732.0</v>
      </c>
      <c r="V112" s="32" t="n">
        <f>718254157</f>
        <v>7.18254157E8</v>
      </c>
      <c r="W112" s="32" t="n">
        <f>388926337</f>
        <v>3.88926337E8</v>
      </c>
      <c r="X112" s="36" t="n">
        <f>19</f>
        <v>19.0</v>
      </c>
    </row>
    <row r="113">
      <c r="A113" s="27" t="s">
        <v>42</v>
      </c>
      <c r="B113" s="27" t="s">
        <v>381</v>
      </c>
      <c r="C113" s="27" t="s">
        <v>382</v>
      </c>
      <c r="D113" s="27" t="s">
        <v>383</v>
      </c>
      <c r="E113" s="28" t="s">
        <v>46</v>
      </c>
      <c r="F113" s="29" t="s">
        <v>46</v>
      </c>
      <c r="G113" s="30" t="s">
        <v>46</v>
      </c>
      <c r="H113" s="31"/>
      <c r="I113" s="31" t="s">
        <v>47</v>
      </c>
      <c r="J113" s="32" t="n">
        <v>1.0</v>
      </c>
      <c r="K113" s="33" t="n">
        <f>37370</f>
        <v>37370.0</v>
      </c>
      <c r="L113" s="34" t="s">
        <v>48</v>
      </c>
      <c r="M113" s="33" t="n">
        <f>37930</f>
        <v>37930.0</v>
      </c>
      <c r="N113" s="34" t="s">
        <v>48</v>
      </c>
      <c r="O113" s="33" t="n">
        <f>35110</f>
        <v>35110.0</v>
      </c>
      <c r="P113" s="34" t="s">
        <v>49</v>
      </c>
      <c r="Q113" s="33" t="n">
        <f>37220</f>
        <v>37220.0</v>
      </c>
      <c r="R113" s="34" t="s">
        <v>50</v>
      </c>
      <c r="S113" s="35" t="n">
        <f>36454.74</f>
        <v>36454.74</v>
      </c>
      <c r="T113" s="32" t="n">
        <f>6766</f>
        <v>6766.0</v>
      </c>
      <c r="U113" s="32" t="n">
        <f>57</f>
        <v>57.0</v>
      </c>
      <c r="V113" s="32" t="n">
        <f>247547145</f>
        <v>2.47547145E8</v>
      </c>
      <c r="W113" s="32" t="n">
        <f>2059945</f>
        <v>2059945.0</v>
      </c>
      <c r="X113" s="36" t="n">
        <f>19</f>
        <v>19.0</v>
      </c>
    </row>
    <row r="114">
      <c r="A114" s="27" t="s">
        <v>42</v>
      </c>
      <c r="B114" s="27" t="s">
        <v>384</v>
      </c>
      <c r="C114" s="27" t="s">
        <v>385</v>
      </c>
      <c r="D114" s="27" t="s">
        <v>386</v>
      </c>
      <c r="E114" s="28" t="s">
        <v>46</v>
      </c>
      <c r="F114" s="29" t="s">
        <v>46</v>
      </c>
      <c r="G114" s="30" t="s">
        <v>46</v>
      </c>
      <c r="H114" s="31"/>
      <c r="I114" s="31" t="s">
        <v>47</v>
      </c>
      <c r="J114" s="32" t="n">
        <v>1.0</v>
      </c>
      <c r="K114" s="33" t="n">
        <f>30870</f>
        <v>30870.0</v>
      </c>
      <c r="L114" s="34" t="s">
        <v>48</v>
      </c>
      <c r="M114" s="33" t="n">
        <f>31240</f>
        <v>31240.0</v>
      </c>
      <c r="N114" s="34" t="s">
        <v>48</v>
      </c>
      <c r="O114" s="33" t="n">
        <f>28805</f>
        <v>28805.0</v>
      </c>
      <c r="P114" s="34" t="s">
        <v>71</v>
      </c>
      <c r="Q114" s="33" t="n">
        <f>30260</f>
        <v>30260.0</v>
      </c>
      <c r="R114" s="34" t="s">
        <v>50</v>
      </c>
      <c r="S114" s="35" t="n">
        <f>30181.05</f>
        <v>30181.05</v>
      </c>
      <c r="T114" s="32" t="n">
        <f>39247</f>
        <v>39247.0</v>
      </c>
      <c r="U114" s="32" t="n">
        <f>22397</f>
        <v>22397.0</v>
      </c>
      <c r="V114" s="32" t="n">
        <f>1188126297</f>
        <v>1.188126297E9</v>
      </c>
      <c r="W114" s="32" t="n">
        <f>680221072</f>
        <v>6.80221072E8</v>
      </c>
      <c r="X114" s="36" t="n">
        <f>19</f>
        <v>19.0</v>
      </c>
    </row>
    <row r="115">
      <c r="A115" s="27" t="s">
        <v>42</v>
      </c>
      <c r="B115" s="27" t="s">
        <v>387</v>
      </c>
      <c r="C115" s="27" t="s">
        <v>388</v>
      </c>
      <c r="D115" s="27" t="s">
        <v>389</v>
      </c>
      <c r="E115" s="28" t="s">
        <v>46</v>
      </c>
      <c r="F115" s="29" t="s">
        <v>46</v>
      </c>
      <c r="G115" s="30" t="s">
        <v>46</v>
      </c>
      <c r="H115" s="31"/>
      <c r="I115" s="31" t="s">
        <v>47</v>
      </c>
      <c r="J115" s="32" t="n">
        <v>1.0</v>
      </c>
      <c r="K115" s="33" t="n">
        <f>36020</f>
        <v>36020.0</v>
      </c>
      <c r="L115" s="34" t="s">
        <v>48</v>
      </c>
      <c r="M115" s="33" t="n">
        <f>36840</f>
        <v>36840.0</v>
      </c>
      <c r="N115" s="34" t="s">
        <v>48</v>
      </c>
      <c r="O115" s="33" t="n">
        <f>33040</f>
        <v>33040.0</v>
      </c>
      <c r="P115" s="34" t="s">
        <v>49</v>
      </c>
      <c r="Q115" s="33" t="n">
        <f>34120</f>
        <v>34120.0</v>
      </c>
      <c r="R115" s="34" t="s">
        <v>50</v>
      </c>
      <c r="S115" s="35" t="n">
        <f>34485.79</f>
        <v>34485.79</v>
      </c>
      <c r="T115" s="32" t="n">
        <f>9848</f>
        <v>9848.0</v>
      </c>
      <c r="U115" s="32" t="n">
        <f>119</f>
        <v>119.0</v>
      </c>
      <c r="V115" s="32" t="n">
        <f>339686680</f>
        <v>3.3968668E8</v>
      </c>
      <c r="W115" s="32" t="n">
        <f>4154760</f>
        <v>4154760.0</v>
      </c>
      <c r="X115" s="36" t="n">
        <f>19</f>
        <v>19.0</v>
      </c>
    </row>
    <row r="116">
      <c r="A116" s="27" t="s">
        <v>42</v>
      </c>
      <c r="B116" s="27" t="s">
        <v>390</v>
      </c>
      <c r="C116" s="27" t="s">
        <v>391</v>
      </c>
      <c r="D116" s="27" t="s">
        <v>392</v>
      </c>
      <c r="E116" s="28" t="s">
        <v>46</v>
      </c>
      <c r="F116" s="29" t="s">
        <v>46</v>
      </c>
      <c r="G116" s="30" t="s">
        <v>46</v>
      </c>
      <c r="H116" s="31"/>
      <c r="I116" s="31" t="s">
        <v>47</v>
      </c>
      <c r="J116" s="32" t="n">
        <v>1.0</v>
      </c>
      <c r="K116" s="33" t="n">
        <f>66580</f>
        <v>66580.0</v>
      </c>
      <c r="L116" s="34" t="s">
        <v>48</v>
      </c>
      <c r="M116" s="33" t="n">
        <f>67220</f>
        <v>67220.0</v>
      </c>
      <c r="N116" s="34" t="s">
        <v>48</v>
      </c>
      <c r="O116" s="33" t="n">
        <f>60210</f>
        <v>60210.0</v>
      </c>
      <c r="P116" s="34" t="s">
        <v>308</v>
      </c>
      <c r="Q116" s="33" t="n">
        <f>64650</f>
        <v>64650.0</v>
      </c>
      <c r="R116" s="34" t="s">
        <v>50</v>
      </c>
      <c r="S116" s="35" t="n">
        <f>63386.32</f>
        <v>63386.32</v>
      </c>
      <c r="T116" s="32" t="n">
        <f>19107</f>
        <v>19107.0</v>
      </c>
      <c r="U116" s="32" t="n">
        <f>575</f>
        <v>575.0</v>
      </c>
      <c r="V116" s="32" t="n">
        <f>1215971302</f>
        <v>1.215971302E9</v>
      </c>
      <c r="W116" s="32" t="n">
        <f>36528352</f>
        <v>3.6528352E7</v>
      </c>
      <c r="X116" s="36" t="n">
        <f>19</f>
        <v>19.0</v>
      </c>
    </row>
    <row r="117">
      <c r="A117" s="27" t="s">
        <v>42</v>
      </c>
      <c r="B117" s="27" t="s">
        <v>393</v>
      </c>
      <c r="C117" s="27" t="s">
        <v>394</v>
      </c>
      <c r="D117" s="27" t="s">
        <v>395</v>
      </c>
      <c r="E117" s="28" t="s">
        <v>46</v>
      </c>
      <c r="F117" s="29" t="s">
        <v>46</v>
      </c>
      <c r="G117" s="30" t="s">
        <v>46</v>
      </c>
      <c r="H117" s="31"/>
      <c r="I117" s="31" t="s">
        <v>47</v>
      </c>
      <c r="J117" s="32" t="n">
        <v>1.0</v>
      </c>
      <c r="K117" s="33" t="n">
        <f>84400</f>
        <v>84400.0</v>
      </c>
      <c r="L117" s="34" t="s">
        <v>48</v>
      </c>
      <c r="M117" s="33" t="n">
        <f>84860</f>
        <v>84860.0</v>
      </c>
      <c r="N117" s="34" t="s">
        <v>50</v>
      </c>
      <c r="O117" s="33" t="n">
        <f>78810</f>
        <v>78810.0</v>
      </c>
      <c r="P117" s="34" t="s">
        <v>49</v>
      </c>
      <c r="Q117" s="33" t="n">
        <f>83100</f>
        <v>83100.0</v>
      </c>
      <c r="R117" s="34" t="s">
        <v>50</v>
      </c>
      <c r="S117" s="35" t="n">
        <f>82245.26</f>
        <v>82245.26</v>
      </c>
      <c r="T117" s="32" t="n">
        <f>5935</f>
        <v>5935.0</v>
      </c>
      <c r="U117" s="32" t="n">
        <f>2278</f>
        <v>2278.0</v>
      </c>
      <c r="V117" s="32" t="n">
        <f>487159690</f>
        <v>4.8715969E8</v>
      </c>
      <c r="W117" s="32" t="n">
        <f>187323080</f>
        <v>1.8732308E8</v>
      </c>
      <c r="X117" s="36" t="n">
        <f>19</f>
        <v>19.0</v>
      </c>
    </row>
    <row r="118">
      <c r="A118" s="27" t="s">
        <v>42</v>
      </c>
      <c r="B118" s="27" t="s">
        <v>396</v>
      </c>
      <c r="C118" s="27" t="s">
        <v>397</v>
      </c>
      <c r="D118" s="27" t="s">
        <v>398</v>
      </c>
      <c r="E118" s="28" t="s">
        <v>46</v>
      </c>
      <c r="F118" s="29" t="s">
        <v>46</v>
      </c>
      <c r="G118" s="30" t="s">
        <v>46</v>
      </c>
      <c r="H118" s="31"/>
      <c r="I118" s="31" t="s">
        <v>47</v>
      </c>
      <c r="J118" s="32" t="n">
        <v>1.0</v>
      </c>
      <c r="K118" s="33" t="n">
        <f>65170</f>
        <v>65170.0</v>
      </c>
      <c r="L118" s="34" t="s">
        <v>48</v>
      </c>
      <c r="M118" s="33" t="n">
        <f>65900</f>
        <v>65900.0</v>
      </c>
      <c r="N118" s="34" t="s">
        <v>286</v>
      </c>
      <c r="O118" s="33" t="n">
        <f>60000</f>
        <v>60000.0</v>
      </c>
      <c r="P118" s="34" t="s">
        <v>49</v>
      </c>
      <c r="Q118" s="33" t="n">
        <f>65860</f>
        <v>65860.0</v>
      </c>
      <c r="R118" s="34" t="s">
        <v>50</v>
      </c>
      <c r="S118" s="35" t="n">
        <f>63167.89</f>
        <v>63167.89</v>
      </c>
      <c r="T118" s="32" t="n">
        <f>9656</f>
        <v>9656.0</v>
      </c>
      <c r="U118" s="32" t="n">
        <f>304</f>
        <v>304.0</v>
      </c>
      <c r="V118" s="32" t="n">
        <f>613146461</f>
        <v>6.13146461E8</v>
      </c>
      <c r="W118" s="32" t="n">
        <f>19534011</f>
        <v>1.9534011E7</v>
      </c>
      <c r="X118" s="36" t="n">
        <f>19</f>
        <v>19.0</v>
      </c>
    </row>
    <row r="119">
      <c r="A119" s="27" t="s">
        <v>42</v>
      </c>
      <c r="B119" s="27" t="s">
        <v>399</v>
      </c>
      <c r="C119" s="27" t="s">
        <v>400</v>
      </c>
      <c r="D119" s="27" t="s">
        <v>401</v>
      </c>
      <c r="E119" s="28" t="s">
        <v>46</v>
      </c>
      <c r="F119" s="29" t="s">
        <v>46</v>
      </c>
      <c r="G119" s="30" t="s">
        <v>46</v>
      </c>
      <c r="H119" s="31"/>
      <c r="I119" s="31" t="s">
        <v>47</v>
      </c>
      <c r="J119" s="32" t="n">
        <v>1.0</v>
      </c>
      <c r="K119" s="33" t="n">
        <f>49240</f>
        <v>49240.0</v>
      </c>
      <c r="L119" s="34" t="s">
        <v>48</v>
      </c>
      <c r="M119" s="33" t="n">
        <f>50350</f>
        <v>50350.0</v>
      </c>
      <c r="N119" s="34" t="s">
        <v>114</v>
      </c>
      <c r="O119" s="33" t="n">
        <f>45970</f>
        <v>45970.0</v>
      </c>
      <c r="P119" s="34" t="s">
        <v>49</v>
      </c>
      <c r="Q119" s="33" t="n">
        <f>49230</f>
        <v>49230.0</v>
      </c>
      <c r="R119" s="34" t="s">
        <v>50</v>
      </c>
      <c r="S119" s="35" t="n">
        <f>48887.37</f>
        <v>48887.37</v>
      </c>
      <c r="T119" s="32" t="n">
        <f>14886</f>
        <v>14886.0</v>
      </c>
      <c r="U119" s="32" t="n">
        <f>101</f>
        <v>101.0</v>
      </c>
      <c r="V119" s="32" t="n">
        <f>726841801</f>
        <v>7.26841801E8</v>
      </c>
      <c r="W119" s="32" t="n">
        <f>4939831</f>
        <v>4939831.0</v>
      </c>
      <c r="X119" s="36" t="n">
        <f>19</f>
        <v>19.0</v>
      </c>
    </row>
    <row r="120">
      <c r="A120" s="27" t="s">
        <v>42</v>
      </c>
      <c r="B120" s="27" t="s">
        <v>402</v>
      </c>
      <c r="C120" s="27" t="s">
        <v>403</v>
      </c>
      <c r="D120" s="27" t="s">
        <v>404</v>
      </c>
      <c r="E120" s="28" t="s">
        <v>46</v>
      </c>
      <c r="F120" s="29" t="s">
        <v>46</v>
      </c>
      <c r="G120" s="30" t="s">
        <v>46</v>
      </c>
      <c r="H120" s="31"/>
      <c r="I120" s="31" t="s">
        <v>47</v>
      </c>
      <c r="J120" s="32" t="n">
        <v>1.0</v>
      </c>
      <c r="K120" s="33" t="n">
        <f>12310</f>
        <v>12310.0</v>
      </c>
      <c r="L120" s="34" t="s">
        <v>48</v>
      </c>
      <c r="M120" s="33" t="n">
        <f>13175</f>
        <v>13175.0</v>
      </c>
      <c r="N120" s="34" t="s">
        <v>221</v>
      </c>
      <c r="O120" s="33" t="n">
        <f>12095</f>
        <v>12095.0</v>
      </c>
      <c r="P120" s="34" t="s">
        <v>78</v>
      </c>
      <c r="Q120" s="33" t="n">
        <f>12360</f>
        <v>12360.0</v>
      </c>
      <c r="R120" s="34" t="s">
        <v>50</v>
      </c>
      <c r="S120" s="35" t="n">
        <f>12693.16</f>
        <v>12693.16</v>
      </c>
      <c r="T120" s="32" t="n">
        <f>130826</f>
        <v>130826.0</v>
      </c>
      <c r="U120" s="32" t="n">
        <f>9972</f>
        <v>9972.0</v>
      </c>
      <c r="V120" s="32" t="n">
        <f>1657176194</f>
        <v>1.657176194E9</v>
      </c>
      <c r="W120" s="32" t="n">
        <f>125460719</f>
        <v>1.25460719E8</v>
      </c>
      <c r="X120" s="36" t="n">
        <f>19</f>
        <v>19.0</v>
      </c>
    </row>
    <row r="121">
      <c r="A121" s="27" t="s">
        <v>42</v>
      </c>
      <c r="B121" s="27" t="s">
        <v>405</v>
      </c>
      <c r="C121" s="27" t="s">
        <v>406</v>
      </c>
      <c r="D121" s="27" t="s">
        <v>407</v>
      </c>
      <c r="E121" s="28" t="s">
        <v>46</v>
      </c>
      <c r="F121" s="29" t="s">
        <v>46</v>
      </c>
      <c r="G121" s="30" t="s">
        <v>46</v>
      </c>
      <c r="H121" s="31"/>
      <c r="I121" s="31" t="s">
        <v>47</v>
      </c>
      <c r="J121" s="32" t="n">
        <v>1.0</v>
      </c>
      <c r="K121" s="33" t="n">
        <f>22160</f>
        <v>22160.0</v>
      </c>
      <c r="L121" s="34" t="s">
        <v>48</v>
      </c>
      <c r="M121" s="33" t="n">
        <f>22545</f>
        <v>22545.0</v>
      </c>
      <c r="N121" s="34" t="s">
        <v>221</v>
      </c>
      <c r="O121" s="33" t="n">
        <f>21595</f>
        <v>21595.0</v>
      </c>
      <c r="P121" s="34" t="s">
        <v>49</v>
      </c>
      <c r="Q121" s="33" t="n">
        <f>21950</f>
        <v>21950.0</v>
      </c>
      <c r="R121" s="34" t="s">
        <v>50</v>
      </c>
      <c r="S121" s="35" t="n">
        <f>22096.32</f>
        <v>22096.32</v>
      </c>
      <c r="T121" s="32" t="n">
        <f>6572</f>
        <v>6572.0</v>
      </c>
      <c r="U121" s="32" t="n">
        <f>129</f>
        <v>129.0</v>
      </c>
      <c r="V121" s="32" t="n">
        <f>145593111</f>
        <v>1.45593111E8</v>
      </c>
      <c r="W121" s="32" t="n">
        <f>2849446</f>
        <v>2849446.0</v>
      </c>
      <c r="X121" s="36" t="n">
        <f>19</f>
        <v>19.0</v>
      </c>
    </row>
    <row r="122">
      <c r="A122" s="27" t="s">
        <v>42</v>
      </c>
      <c r="B122" s="27" t="s">
        <v>408</v>
      </c>
      <c r="C122" s="27" t="s">
        <v>409</v>
      </c>
      <c r="D122" s="27" t="s">
        <v>410</v>
      </c>
      <c r="E122" s="28" t="s">
        <v>46</v>
      </c>
      <c r="F122" s="29" t="s">
        <v>46</v>
      </c>
      <c r="G122" s="30" t="s">
        <v>46</v>
      </c>
      <c r="H122" s="31"/>
      <c r="I122" s="31" t="s">
        <v>47</v>
      </c>
      <c r="J122" s="32" t="n">
        <v>10.0</v>
      </c>
      <c r="K122" s="33" t="n">
        <f>270.2</f>
        <v>270.2</v>
      </c>
      <c r="L122" s="34" t="s">
        <v>48</v>
      </c>
      <c r="M122" s="33" t="n">
        <f>285.1</f>
        <v>285.1</v>
      </c>
      <c r="N122" s="34" t="s">
        <v>270</v>
      </c>
      <c r="O122" s="33" t="n">
        <f>262</f>
        <v>262.0</v>
      </c>
      <c r="P122" s="34" t="s">
        <v>270</v>
      </c>
      <c r="Q122" s="33" t="n">
        <f>275</f>
        <v>275.0</v>
      </c>
      <c r="R122" s="34" t="s">
        <v>50</v>
      </c>
      <c r="S122" s="35" t="n">
        <f>277.77</f>
        <v>277.77</v>
      </c>
      <c r="T122" s="32" t="n">
        <f>29000690</f>
        <v>2.900069E7</v>
      </c>
      <c r="U122" s="32" t="n">
        <f>3649930</f>
        <v>3649930.0</v>
      </c>
      <c r="V122" s="32" t="n">
        <f>8078064844</f>
        <v>8.078064844E9</v>
      </c>
      <c r="W122" s="32" t="n">
        <f>1024831492</f>
        <v>1.024831492E9</v>
      </c>
      <c r="X122" s="36" t="n">
        <f>19</f>
        <v>19.0</v>
      </c>
    </row>
    <row r="123">
      <c r="A123" s="27" t="s">
        <v>42</v>
      </c>
      <c r="B123" s="27" t="s">
        <v>411</v>
      </c>
      <c r="C123" s="27" t="s">
        <v>412</v>
      </c>
      <c r="D123" s="27" t="s">
        <v>413</v>
      </c>
      <c r="E123" s="28" t="s">
        <v>46</v>
      </c>
      <c r="F123" s="29" t="s">
        <v>46</v>
      </c>
      <c r="G123" s="30" t="s">
        <v>46</v>
      </c>
      <c r="H123" s="31"/>
      <c r="I123" s="31" t="s">
        <v>414</v>
      </c>
      <c r="J123" s="32" t="n">
        <v>1.0</v>
      </c>
      <c r="K123" s="33" t="n">
        <f>17140</f>
        <v>17140.0</v>
      </c>
      <c r="L123" s="34" t="s">
        <v>48</v>
      </c>
      <c r="M123" s="33" t="n">
        <f>17200</f>
        <v>17200.0</v>
      </c>
      <c r="N123" s="34" t="s">
        <v>48</v>
      </c>
      <c r="O123" s="33" t="n">
        <f>15585</f>
        <v>15585.0</v>
      </c>
      <c r="P123" s="34" t="s">
        <v>49</v>
      </c>
      <c r="Q123" s="33" t="n">
        <f>17150</f>
        <v>17150.0</v>
      </c>
      <c r="R123" s="34" t="s">
        <v>50</v>
      </c>
      <c r="S123" s="35" t="n">
        <f>16661.05</f>
        <v>16661.05</v>
      </c>
      <c r="T123" s="32" t="n">
        <f>9109</f>
        <v>9109.0</v>
      </c>
      <c r="U123" s="32" t="str">
        <f>"－"</f>
        <v>－</v>
      </c>
      <c r="V123" s="32" t="n">
        <f>150624185</f>
        <v>1.50624185E8</v>
      </c>
      <c r="W123" s="32" t="str">
        <f>"－"</f>
        <v>－</v>
      </c>
      <c r="X123" s="36" t="n">
        <f>19</f>
        <v>19.0</v>
      </c>
    </row>
    <row r="124">
      <c r="A124" s="27" t="s">
        <v>42</v>
      </c>
      <c r="B124" s="27" t="s">
        <v>415</v>
      </c>
      <c r="C124" s="27" t="s">
        <v>416</v>
      </c>
      <c r="D124" s="27" t="s">
        <v>417</v>
      </c>
      <c r="E124" s="28" t="s">
        <v>46</v>
      </c>
      <c r="F124" s="29" t="s">
        <v>46</v>
      </c>
      <c r="G124" s="30" t="s">
        <v>46</v>
      </c>
      <c r="H124" s="31"/>
      <c r="I124" s="31" t="s">
        <v>47</v>
      </c>
      <c r="J124" s="32" t="n">
        <v>1.0</v>
      </c>
      <c r="K124" s="33" t="n">
        <f>37910</f>
        <v>37910.0</v>
      </c>
      <c r="L124" s="34" t="s">
        <v>48</v>
      </c>
      <c r="M124" s="33" t="n">
        <f>38200</f>
        <v>38200.0</v>
      </c>
      <c r="N124" s="34" t="s">
        <v>48</v>
      </c>
      <c r="O124" s="33" t="n">
        <f>35310</f>
        <v>35310.0</v>
      </c>
      <c r="P124" s="34" t="s">
        <v>71</v>
      </c>
      <c r="Q124" s="33" t="n">
        <f>36440</f>
        <v>36440.0</v>
      </c>
      <c r="R124" s="34" t="s">
        <v>50</v>
      </c>
      <c r="S124" s="35" t="n">
        <f>36676.84</f>
        <v>36676.84</v>
      </c>
      <c r="T124" s="32" t="n">
        <f>16352</f>
        <v>16352.0</v>
      </c>
      <c r="U124" s="32" t="n">
        <f>298</f>
        <v>298.0</v>
      </c>
      <c r="V124" s="32" t="n">
        <f>602971552</f>
        <v>6.02971552E8</v>
      </c>
      <c r="W124" s="32" t="n">
        <f>10898922</f>
        <v>1.0898922E7</v>
      </c>
      <c r="X124" s="36" t="n">
        <f>19</f>
        <v>19.0</v>
      </c>
    </row>
    <row r="125">
      <c r="A125" s="27" t="s">
        <v>42</v>
      </c>
      <c r="B125" s="27" t="s">
        <v>418</v>
      </c>
      <c r="C125" s="27" t="s">
        <v>419</v>
      </c>
      <c r="D125" s="27" t="s">
        <v>420</v>
      </c>
      <c r="E125" s="28" t="s">
        <v>46</v>
      </c>
      <c r="F125" s="29" t="s">
        <v>46</v>
      </c>
      <c r="G125" s="30" t="s">
        <v>46</v>
      </c>
      <c r="H125" s="31"/>
      <c r="I125" s="31" t="s">
        <v>47</v>
      </c>
      <c r="J125" s="32" t="n">
        <v>1.0</v>
      </c>
      <c r="K125" s="33" t="n">
        <f>41870</f>
        <v>41870.0</v>
      </c>
      <c r="L125" s="34" t="s">
        <v>48</v>
      </c>
      <c r="M125" s="33" t="n">
        <f>43130</f>
        <v>43130.0</v>
      </c>
      <c r="N125" s="34" t="s">
        <v>50</v>
      </c>
      <c r="O125" s="33" t="n">
        <f>40000</f>
        <v>40000.0</v>
      </c>
      <c r="P125" s="34" t="s">
        <v>49</v>
      </c>
      <c r="Q125" s="33" t="n">
        <f>43130</f>
        <v>43130.0</v>
      </c>
      <c r="R125" s="34" t="s">
        <v>50</v>
      </c>
      <c r="S125" s="35" t="n">
        <f>41870</f>
        <v>41870.0</v>
      </c>
      <c r="T125" s="32" t="n">
        <f>163590</f>
        <v>163590.0</v>
      </c>
      <c r="U125" s="32" t="n">
        <f>46122</f>
        <v>46122.0</v>
      </c>
      <c r="V125" s="32" t="n">
        <f>6837220475</f>
        <v>6.837220475E9</v>
      </c>
      <c r="W125" s="32" t="n">
        <f>1933393585</f>
        <v>1.933393585E9</v>
      </c>
      <c r="X125" s="36" t="n">
        <f>19</f>
        <v>19.0</v>
      </c>
    </row>
    <row r="126">
      <c r="A126" s="27" t="s">
        <v>42</v>
      </c>
      <c r="B126" s="27" t="s">
        <v>421</v>
      </c>
      <c r="C126" s="27" t="s">
        <v>422</v>
      </c>
      <c r="D126" s="27" t="s">
        <v>423</v>
      </c>
      <c r="E126" s="28" t="s">
        <v>46</v>
      </c>
      <c r="F126" s="29" t="s">
        <v>46</v>
      </c>
      <c r="G126" s="30" t="s">
        <v>46</v>
      </c>
      <c r="H126" s="31"/>
      <c r="I126" s="31" t="s">
        <v>47</v>
      </c>
      <c r="J126" s="32" t="n">
        <v>1.0</v>
      </c>
      <c r="K126" s="33" t="n">
        <f>43240</f>
        <v>43240.0</v>
      </c>
      <c r="L126" s="34" t="s">
        <v>48</v>
      </c>
      <c r="M126" s="33" t="n">
        <f>44550</f>
        <v>44550.0</v>
      </c>
      <c r="N126" s="34" t="s">
        <v>157</v>
      </c>
      <c r="O126" s="33" t="n">
        <f>42080</f>
        <v>42080.0</v>
      </c>
      <c r="P126" s="34" t="s">
        <v>49</v>
      </c>
      <c r="Q126" s="33" t="n">
        <f>43500</f>
        <v>43500.0</v>
      </c>
      <c r="R126" s="34" t="s">
        <v>50</v>
      </c>
      <c r="S126" s="35" t="n">
        <f>43316.84</f>
        <v>43316.84</v>
      </c>
      <c r="T126" s="32" t="n">
        <f>24765</f>
        <v>24765.0</v>
      </c>
      <c r="U126" s="32" t="n">
        <f>3706</f>
        <v>3706.0</v>
      </c>
      <c r="V126" s="32" t="n">
        <f>1079514776</f>
        <v>1.079514776E9</v>
      </c>
      <c r="W126" s="32" t="n">
        <f>161562286</f>
        <v>1.61562286E8</v>
      </c>
      <c r="X126" s="36" t="n">
        <f>19</f>
        <v>19.0</v>
      </c>
    </row>
    <row r="127">
      <c r="A127" s="27" t="s">
        <v>42</v>
      </c>
      <c r="B127" s="27" t="s">
        <v>424</v>
      </c>
      <c r="C127" s="27" t="s">
        <v>425</v>
      </c>
      <c r="D127" s="27" t="s">
        <v>426</v>
      </c>
      <c r="E127" s="28" t="s">
        <v>46</v>
      </c>
      <c r="F127" s="29" t="s">
        <v>46</v>
      </c>
      <c r="G127" s="30" t="s">
        <v>46</v>
      </c>
      <c r="H127" s="31"/>
      <c r="I127" s="31" t="s">
        <v>47</v>
      </c>
      <c r="J127" s="32" t="n">
        <v>1.0</v>
      </c>
      <c r="K127" s="33" t="n">
        <f>49910</f>
        <v>49910.0</v>
      </c>
      <c r="L127" s="34" t="s">
        <v>48</v>
      </c>
      <c r="M127" s="33" t="n">
        <f>50600</f>
        <v>50600.0</v>
      </c>
      <c r="N127" s="34" t="s">
        <v>48</v>
      </c>
      <c r="O127" s="33" t="n">
        <f>47200</f>
        <v>47200.0</v>
      </c>
      <c r="P127" s="34" t="s">
        <v>50</v>
      </c>
      <c r="Q127" s="33" t="n">
        <f>48270</f>
        <v>48270.0</v>
      </c>
      <c r="R127" s="34" t="s">
        <v>50</v>
      </c>
      <c r="S127" s="35" t="n">
        <f>48641.58</f>
        <v>48641.58</v>
      </c>
      <c r="T127" s="32" t="n">
        <f>11932</f>
        <v>11932.0</v>
      </c>
      <c r="U127" s="32" t="n">
        <f>6020</f>
        <v>6020.0</v>
      </c>
      <c r="V127" s="32" t="n">
        <f>577327564</f>
        <v>5.77327564E8</v>
      </c>
      <c r="W127" s="32" t="n">
        <f>290487684</f>
        <v>2.90487684E8</v>
      </c>
      <c r="X127" s="36" t="n">
        <f>19</f>
        <v>19.0</v>
      </c>
    </row>
    <row r="128">
      <c r="A128" s="27" t="s">
        <v>42</v>
      </c>
      <c r="B128" s="27" t="s">
        <v>427</v>
      </c>
      <c r="C128" s="27" t="s">
        <v>428</v>
      </c>
      <c r="D128" s="27" t="s">
        <v>429</v>
      </c>
      <c r="E128" s="28" t="s">
        <v>46</v>
      </c>
      <c r="F128" s="29" t="s">
        <v>46</v>
      </c>
      <c r="G128" s="30" t="s">
        <v>46</v>
      </c>
      <c r="H128" s="31"/>
      <c r="I128" s="31" t="s">
        <v>414</v>
      </c>
      <c r="J128" s="32" t="n">
        <v>1.0</v>
      </c>
      <c r="K128" s="33" t="n">
        <f>18945</f>
        <v>18945.0</v>
      </c>
      <c r="L128" s="34" t="s">
        <v>48</v>
      </c>
      <c r="M128" s="33" t="n">
        <f>20155</f>
        <v>20155.0</v>
      </c>
      <c r="N128" s="34" t="s">
        <v>50</v>
      </c>
      <c r="O128" s="33" t="n">
        <f>17520</f>
        <v>17520.0</v>
      </c>
      <c r="P128" s="34" t="s">
        <v>308</v>
      </c>
      <c r="Q128" s="33" t="n">
        <f>20155</f>
        <v>20155.0</v>
      </c>
      <c r="R128" s="34" t="s">
        <v>50</v>
      </c>
      <c r="S128" s="35" t="n">
        <f>18841.84</f>
        <v>18841.84</v>
      </c>
      <c r="T128" s="32" t="n">
        <f>101790</f>
        <v>101790.0</v>
      </c>
      <c r="U128" s="32" t="n">
        <f>3450</f>
        <v>3450.0</v>
      </c>
      <c r="V128" s="32" t="n">
        <f>1925627955</f>
        <v>1.925627955E9</v>
      </c>
      <c r="W128" s="32" t="n">
        <f>66868450</f>
        <v>6.686845E7</v>
      </c>
      <c r="X128" s="36" t="n">
        <f>19</f>
        <v>19.0</v>
      </c>
    </row>
    <row r="129">
      <c r="A129" s="27" t="s">
        <v>42</v>
      </c>
      <c r="B129" s="27" t="s">
        <v>430</v>
      </c>
      <c r="C129" s="27" t="s">
        <v>431</v>
      </c>
      <c r="D129" s="27" t="s">
        <v>432</v>
      </c>
      <c r="E129" s="28" t="s">
        <v>46</v>
      </c>
      <c r="F129" s="29" t="s">
        <v>46</v>
      </c>
      <c r="G129" s="30" t="s">
        <v>46</v>
      </c>
      <c r="H129" s="31"/>
      <c r="I129" s="31" t="s">
        <v>47</v>
      </c>
      <c r="J129" s="32" t="n">
        <v>1.0</v>
      </c>
      <c r="K129" s="33" t="n">
        <f>3319</f>
        <v>3319.0</v>
      </c>
      <c r="L129" s="34" t="s">
        <v>48</v>
      </c>
      <c r="M129" s="33" t="n">
        <f>3384</f>
        <v>3384.0</v>
      </c>
      <c r="N129" s="34" t="s">
        <v>82</v>
      </c>
      <c r="O129" s="33" t="n">
        <f>3180</f>
        <v>3180.0</v>
      </c>
      <c r="P129" s="34" t="s">
        <v>49</v>
      </c>
      <c r="Q129" s="33" t="n">
        <f>3309</f>
        <v>3309.0</v>
      </c>
      <c r="R129" s="34" t="s">
        <v>50</v>
      </c>
      <c r="S129" s="35" t="n">
        <f>3316.63</f>
        <v>3316.63</v>
      </c>
      <c r="T129" s="32" t="n">
        <f>1395314</f>
        <v>1395314.0</v>
      </c>
      <c r="U129" s="32" t="n">
        <f>725731</f>
        <v>725731.0</v>
      </c>
      <c r="V129" s="32" t="n">
        <f>4656481691</f>
        <v>4.656481691E9</v>
      </c>
      <c r="W129" s="32" t="n">
        <f>2430302124</f>
        <v>2.430302124E9</v>
      </c>
      <c r="X129" s="36" t="n">
        <f>19</f>
        <v>19.0</v>
      </c>
    </row>
    <row r="130">
      <c r="A130" s="27" t="s">
        <v>42</v>
      </c>
      <c r="B130" s="27" t="s">
        <v>433</v>
      </c>
      <c r="C130" s="27" t="s">
        <v>434</v>
      </c>
      <c r="D130" s="27" t="s">
        <v>435</v>
      </c>
      <c r="E130" s="28" t="s">
        <v>46</v>
      </c>
      <c r="F130" s="29" t="s">
        <v>46</v>
      </c>
      <c r="G130" s="30" t="s">
        <v>46</v>
      </c>
      <c r="H130" s="31"/>
      <c r="I130" s="31" t="s">
        <v>47</v>
      </c>
      <c r="J130" s="32" t="n">
        <v>10.0</v>
      </c>
      <c r="K130" s="33" t="n">
        <f>5006</f>
        <v>5006.0</v>
      </c>
      <c r="L130" s="34" t="s">
        <v>66</v>
      </c>
      <c r="M130" s="33" t="n">
        <f>5080</f>
        <v>5080.0</v>
      </c>
      <c r="N130" s="34" t="s">
        <v>286</v>
      </c>
      <c r="O130" s="33" t="n">
        <f>4916</f>
        <v>4916.0</v>
      </c>
      <c r="P130" s="34" t="s">
        <v>49</v>
      </c>
      <c r="Q130" s="33" t="n">
        <f>5079</f>
        <v>5079.0</v>
      </c>
      <c r="R130" s="34" t="s">
        <v>50</v>
      </c>
      <c r="S130" s="35" t="n">
        <f>5032.92</f>
        <v>5032.92</v>
      </c>
      <c r="T130" s="32" t="n">
        <f>11370</f>
        <v>11370.0</v>
      </c>
      <c r="U130" s="32" t="str">
        <f>"－"</f>
        <v>－</v>
      </c>
      <c r="V130" s="32" t="n">
        <f>56812900</f>
        <v>5.68129E7</v>
      </c>
      <c r="W130" s="32" t="str">
        <f>"－"</f>
        <v>－</v>
      </c>
      <c r="X130" s="36" t="n">
        <f>12</f>
        <v>12.0</v>
      </c>
    </row>
    <row r="131">
      <c r="A131" s="27" t="s">
        <v>42</v>
      </c>
      <c r="B131" s="27" t="s">
        <v>436</v>
      </c>
      <c r="C131" s="27" t="s">
        <v>437</v>
      </c>
      <c r="D131" s="27" t="s">
        <v>438</v>
      </c>
      <c r="E131" s="28" t="s">
        <v>46</v>
      </c>
      <c r="F131" s="29" t="s">
        <v>46</v>
      </c>
      <c r="G131" s="30" t="s">
        <v>46</v>
      </c>
      <c r="H131" s="31"/>
      <c r="I131" s="31" t="s">
        <v>47</v>
      </c>
      <c r="J131" s="32" t="n">
        <v>10.0</v>
      </c>
      <c r="K131" s="33" t="n">
        <f>5246</f>
        <v>5246.0</v>
      </c>
      <c r="L131" s="34" t="s">
        <v>48</v>
      </c>
      <c r="M131" s="33" t="n">
        <f>5270</f>
        <v>5270.0</v>
      </c>
      <c r="N131" s="34" t="s">
        <v>48</v>
      </c>
      <c r="O131" s="33" t="n">
        <f>5036</f>
        <v>5036.0</v>
      </c>
      <c r="P131" s="34" t="s">
        <v>71</v>
      </c>
      <c r="Q131" s="33" t="n">
        <f>5240</f>
        <v>5240.0</v>
      </c>
      <c r="R131" s="34" t="s">
        <v>50</v>
      </c>
      <c r="S131" s="35" t="n">
        <f>5168.36</f>
        <v>5168.36</v>
      </c>
      <c r="T131" s="32" t="n">
        <f>94330</f>
        <v>94330.0</v>
      </c>
      <c r="U131" s="32" t="n">
        <f>19000</f>
        <v>19000.0</v>
      </c>
      <c r="V131" s="32" t="n">
        <f>488760710</f>
        <v>4.8876071E8</v>
      </c>
      <c r="W131" s="32" t="n">
        <f>99005580</f>
        <v>9.900558E7</v>
      </c>
      <c r="X131" s="36" t="n">
        <f>11</f>
        <v>11.0</v>
      </c>
    </row>
    <row r="132">
      <c r="A132" s="27" t="s">
        <v>42</v>
      </c>
      <c r="B132" s="27" t="s">
        <v>439</v>
      </c>
      <c r="C132" s="27" t="s">
        <v>440</v>
      </c>
      <c r="D132" s="27" t="s">
        <v>441</v>
      </c>
      <c r="E132" s="28" t="s">
        <v>46</v>
      </c>
      <c r="F132" s="29" t="s">
        <v>46</v>
      </c>
      <c r="G132" s="30" t="s">
        <v>46</v>
      </c>
      <c r="H132" s="31"/>
      <c r="I132" s="31" t="s">
        <v>47</v>
      </c>
      <c r="J132" s="32" t="n">
        <v>10.0</v>
      </c>
      <c r="K132" s="33" t="str">
        <f>"－"</f>
        <v>－</v>
      </c>
      <c r="L132" s="34"/>
      <c r="M132" s="33" t="str">
        <f>"－"</f>
        <v>－</v>
      </c>
      <c r="N132" s="34"/>
      <c r="O132" s="33" t="str">
        <f>"－"</f>
        <v>－</v>
      </c>
      <c r="P132" s="34"/>
      <c r="Q132" s="33" t="str">
        <f>"－"</f>
        <v>－</v>
      </c>
      <c r="R132" s="34"/>
      <c r="S132" s="35" t="str">
        <f>"－"</f>
        <v>－</v>
      </c>
      <c r="T132" s="32" t="n">
        <f>45000</f>
        <v>45000.0</v>
      </c>
      <c r="U132" s="32" t="n">
        <f>45000</f>
        <v>45000.0</v>
      </c>
      <c r="V132" s="32" t="n">
        <f>147930300</f>
        <v>1.479303E8</v>
      </c>
      <c r="W132" s="32" t="n">
        <f>147930300</f>
        <v>1.479303E8</v>
      </c>
      <c r="X132" s="36" t="str">
        <f>"－"</f>
        <v>－</v>
      </c>
    </row>
    <row r="133">
      <c r="A133" s="27" t="s">
        <v>42</v>
      </c>
      <c r="B133" s="27" t="s">
        <v>442</v>
      </c>
      <c r="C133" s="27" t="s">
        <v>443</v>
      </c>
      <c r="D133" s="27" t="s">
        <v>444</v>
      </c>
      <c r="E133" s="28" t="s">
        <v>46</v>
      </c>
      <c r="F133" s="29" t="s">
        <v>46</v>
      </c>
      <c r="G133" s="30" t="s">
        <v>46</v>
      </c>
      <c r="H133" s="31"/>
      <c r="I133" s="31" t="s">
        <v>47</v>
      </c>
      <c r="J133" s="32" t="n">
        <v>10.0</v>
      </c>
      <c r="K133" s="33" t="n">
        <f>885.2</f>
        <v>885.2</v>
      </c>
      <c r="L133" s="34" t="s">
        <v>48</v>
      </c>
      <c r="M133" s="33" t="n">
        <f>886</f>
        <v>886.0</v>
      </c>
      <c r="N133" s="34" t="s">
        <v>48</v>
      </c>
      <c r="O133" s="33" t="n">
        <f>841.2</f>
        <v>841.2</v>
      </c>
      <c r="P133" s="34" t="s">
        <v>71</v>
      </c>
      <c r="Q133" s="33" t="n">
        <f>868.4</f>
        <v>868.4</v>
      </c>
      <c r="R133" s="34" t="s">
        <v>50</v>
      </c>
      <c r="S133" s="35" t="n">
        <f>862.94</f>
        <v>862.94</v>
      </c>
      <c r="T133" s="32" t="n">
        <f>28768760</f>
        <v>2.876876E7</v>
      </c>
      <c r="U133" s="32" t="n">
        <f>992440</f>
        <v>992440.0</v>
      </c>
      <c r="V133" s="32" t="n">
        <f>24768405503</f>
        <v>2.4768405503E10</v>
      </c>
      <c r="W133" s="32" t="n">
        <f>854116603</f>
        <v>8.54116603E8</v>
      </c>
      <c r="X133" s="36" t="n">
        <f>19</f>
        <v>19.0</v>
      </c>
    </row>
    <row r="134">
      <c r="A134" s="27" t="s">
        <v>42</v>
      </c>
      <c r="B134" s="27" t="s">
        <v>445</v>
      </c>
      <c r="C134" s="27" t="s">
        <v>446</v>
      </c>
      <c r="D134" s="27" t="s">
        <v>447</v>
      </c>
      <c r="E134" s="28" t="s">
        <v>46</v>
      </c>
      <c r="F134" s="29" t="s">
        <v>46</v>
      </c>
      <c r="G134" s="30" t="s">
        <v>46</v>
      </c>
      <c r="H134" s="31"/>
      <c r="I134" s="31" t="s">
        <v>47</v>
      </c>
      <c r="J134" s="32" t="n">
        <v>10.0</v>
      </c>
      <c r="K134" s="33" t="n">
        <f>310.3</f>
        <v>310.3</v>
      </c>
      <c r="L134" s="34" t="s">
        <v>48</v>
      </c>
      <c r="M134" s="33" t="n">
        <f>310.6</f>
        <v>310.6</v>
      </c>
      <c r="N134" s="34" t="s">
        <v>66</v>
      </c>
      <c r="O134" s="33" t="n">
        <f>293.8</f>
        <v>293.8</v>
      </c>
      <c r="P134" s="34" t="s">
        <v>71</v>
      </c>
      <c r="Q134" s="33" t="n">
        <f>295.4</f>
        <v>295.4</v>
      </c>
      <c r="R134" s="34" t="s">
        <v>50</v>
      </c>
      <c r="S134" s="35" t="n">
        <f>299.71</f>
        <v>299.71</v>
      </c>
      <c r="T134" s="32" t="n">
        <f>34960900</f>
        <v>3.49609E7</v>
      </c>
      <c r="U134" s="32" t="n">
        <f>28862870</f>
        <v>2.886287E7</v>
      </c>
      <c r="V134" s="32" t="n">
        <f>10454827707</f>
        <v>1.0454827707E10</v>
      </c>
      <c r="W134" s="32" t="n">
        <f>8632866072</f>
        <v>8.632866072E9</v>
      </c>
      <c r="X134" s="36" t="n">
        <f>19</f>
        <v>19.0</v>
      </c>
    </row>
    <row r="135">
      <c r="A135" s="27" t="s">
        <v>42</v>
      </c>
      <c r="B135" s="27" t="s">
        <v>448</v>
      </c>
      <c r="C135" s="27" t="s">
        <v>449</v>
      </c>
      <c r="D135" s="27" t="s">
        <v>450</v>
      </c>
      <c r="E135" s="28" t="s">
        <v>46</v>
      </c>
      <c r="F135" s="29" t="s">
        <v>46</v>
      </c>
      <c r="G135" s="30" t="s">
        <v>46</v>
      </c>
      <c r="H135" s="31"/>
      <c r="I135" s="31" t="s">
        <v>47</v>
      </c>
      <c r="J135" s="32" t="n">
        <v>1.0</v>
      </c>
      <c r="K135" s="33" t="n">
        <f>7376</f>
        <v>7376.0</v>
      </c>
      <c r="L135" s="34" t="s">
        <v>48</v>
      </c>
      <c r="M135" s="33" t="n">
        <f>7390</f>
        <v>7390.0</v>
      </c>
      <c r="N135" s="34" t="s">
        <v>48</v>
      </c>
      <c r="O135" s="33" t="n">
        <f>6999</f>
        <v>6999.0</v>
      </c>
      <c r="P135" s="34" t="s">
        <v>71</v>
      </c>
      <c r="Q135" s="33" t="n">
        <f>7177</f>
        <v>7177.0</v>
      </c>
      <c r="R135" s="34" t="s">
        <v>50</v>
      </c>
      <c r="S135" s="35" t="n">
        <f>7162.11</f>
        <v>7162.11</v>
      </c>
      <c r="T135" s="32" t="n">
        <f>127529</f>
        <v>127529.0</v>
      </c>
      <c r="U135" s="32" t="n">
        <f>105026</f>
        <v>105026.0</v>
      </c>
      <c r="V135" s="32" t="n">
        <f>922456202</f>
        <v>9.22456202E8</v>
      </c>
      <c r="W135" s="32" t="n">
        <f>761685050</f>
        <v>7.6168505E8</v>
      </c>
      <c r="X135" s="36" t="n">
        <f>19</f>
        <v>19.0</v>
      </c>
    </row>
    <row r="136">
      <c r="A136" s="27" t="s">
        <v>42</v>
      </c>
      <c r="B136" s="27" t="s">
        <v>451</v>
      </c>
      <c r="C136" s="27" t="s">
        <v>452</v>
      </c>
      <c r="D136" s="27" t="s">
        <v>453</v>
      </c>
      <c r="E136" s="28" t="s">
        <v>46</v>
      </c>
      <c r="F136" s="29" t="s">
        <v>46</v>
      </c>
      <c r="G136" s="30" t="s">
        <v>46</v>
      </c>
      <c r="H136" s="31"/>
      <c r="I136" s="31" t="s">
        <v>47</v>
      </c>
      <c r="J136" s="32" t="n">
        <v>1.0</v>
      </c>
      <c r="K136" s="33" t="n">
        <f>4375</f>
        <v>4375.0</v>
      </c>
      <c r="L136" s="34" t="s">
        <v>48</v>
      </c>
      <c r="M136" s="33" t="n">
        <f>4450</f>
        <v>4450.0</v>
      </c>
      <c r="N136" s="34" t="s">
        <v>48</v>
      </c>
      <c r="O136" s="33" t="n">
        <f>4176</f>
        <v>4176.0</v>
      </c>
      <c r="P136" s="34" t="s">
        <v>71</v>
      </c>
      <c r="Q136" s="33" t="n">
        <f>4319</f>
        <v>4319.0</v>
      </c>
      <c r="R136" s="34" t="s">
        <v>50</v>
      </c>
      <c r="S136" s="35" t="n">
        <f>4313.26</f>
        <v>4313.26</v>
      </c>
      <c r="T136" s="32" t="n">
        <f>281792</f>
        <v>281792.0</v>
      </c>
      <c r="U136" s="32" t="n">
        <f>113699</f>
        <v>113699.0</v>
      </c>
      <c r="V136" s="32" t="n">
        <f>1214130052</f>
        <v>1.214130052E9</v>
      </c>
      <c r="W136" s="32" t="n">
        <f>495175017</f>
        <v>4.95175017E8</v>
      </c>
      <c r="X136" s="36" t="n">
        <f>19</f>
        <v>19.0</v>
      </c>
    </row>
    <row r="137">
      <c r="A137" s="27" t="s">
        <v>42</v>
      </c>
      <c r="B137" s="27" t="s">
        <v>454</v>
      </c>
      <c r="C137" s="27" t="s">
        <v>455</v>
      </c>
      <c r="D137" s="27" t="s">
        <v>456</v>
      </c>
      <c r="E137" s="28" t="s">
        <v>46</v>
      </c>
      <c r="F137" s="29" t="s">
        <v>46</v>
      </c>
      <c r="G137" s="30" t="s">
        <v>46</v>
      </c>
      <c r="H137" s="31"/>
      <c r="I137" s="31" t="s">
        <v>47</v>
      </c>
      <c r="J137" s="32" t="n">
        <v>1.0</v>
      </c>
      <c r="K137" s="33" t="n">
        <f>3882</f>
        <v>3882.0</v>
      </c>
      <c r="L137" s="34" t="s">
        <v>48</v>
      </c>
      <c r="M137" s="33" t="n">
        <f>3899</f>
        <v>3899.0</v>
      </c>
      <c r="N137" s="34" t="s">
        <v>66</v>
      </c>
      <c r="O137" s="33" t="n">
        <f>3636</f>
        <v>3636.0</v>
      </c>
      <c r="P137" s="34" t="s">
        <v>286</v>
      </c>
      <c r="Q137" s="33" t="n">
        <f>3655</f>
        <v>3655.0</v>
      </c>
      <c r="R137" s="34" t="s">
        <v>50</v>
      </c>
      <c r="S137" s="35" t="n">
        <f>3719.63</f>
        <v>3719.63</v>
      </c>
      <c r="T137" s="32" t="n">
        <f>103426</f>
        <v>103426.0</v>
      </c>
      <c r="U137" s="32" t="n">
        <f>23000</f>
        <v>23000.0</v>
      </c>
      <c r="V137" s="32" t="n">
        <f>386111761</f>
        <v>3.86111761E8</v>
      </c>
      <c r="W137" s="32" t="n">
        <f>85875730</f>
        <v>8.587573E7</v>
      </c>
      <c r="X137" s="36" t="n">
        <f>19</f>
        <v>19.0</v>
      </c>
    </row>
    <row r="138">
      <c r="A138" s="27" t="s">
        <v>42</v>
      </c>
      <c r="B138" s="27" t="s">
        <v>457</v>
      </c>
      <c r="C138" s="27" t="s">
        <v>458</v>
      </c>
      <c r="D138" s="27" t="s">
        <v>459</v>
      </c>
      <c r="E138" s="28" t="s">
        <v>46</v>
      </c>
      <c r="F138" s="29" t="s">
        <v>46</v>
      </c>
      <c r="G138" s="30" t="s">
        <v>46</v>
      </c>
      <c r="H138" s="31"/>
      <c r="I138" s="31" t="s">
        <v>47</v>
      </c>
      <c r="J138" s="32" t="n">
        <v>1.0</v>
      </c>
      <c r="K138" s="33" t="n">
        <f>10570</f>
        <v>10570.0</v>
      </c>
      <c r="L138" s="34" t="s">
        <v>48</v>
      </c>
      <c r="M138" s="33" t="n">
        <f>10580</f>
        <v>10580.0</v>
      </c>
      <c r="N138" s="34" t="s">
        <v>48</v>
      </c>
      <c r="O138" s="33" t="n">
        <f>10075</f>
        <v>10075.0</v>
      </c>
      <c r="P138" s="34" t="s">
        <v>50</v>
      </c>
      <c r="Q138" s="33" t="n">
        <f>10140</f>
        <v>10140.0</v>
      </c>
      <c r="R138" s="34" t="s">
        <v>50</v>
      </c>
      <c r="S138" s="35" t="n">
        <f>10347.37</f>
        <v>10347.37</v>
      </c>
      <c r="T138" s="32" t="n">
        <f>151631</f>
        <v>151631.0</v>
      </c>
      <c r="U138" s="32" t="n">
        <f>89801</f>
        <v>89801.0</v>
      </c>
      <c r="V138" s="32" t="n">
        <f>1564497210</f>
        <v>1.56449721E9</v>
      </c>
      <c r="W138" s="32" t="n">
        <f>926027615</f>
        <v>9.26027615E8</v>
      </c>
      <c r="X138" s="36" t="n">
        <f>19</f>
        <v>19.0</v>
      </c>
    </row>
    <row r="139">
      <c r="A139" s="27" t="s">
        <v>42</v>
      </c>
      <c r="B139" s="27" t="s">
        <v>460</v>
      </c>
      <c r="C139" s="27" t="s">
        <v>461</v>
      </c>
      <c r="D139" s="27" t="s">
        <v>462</v>
      </c>
      <c r="E139" s="28" t="s">
        <v>46</v>
      </c>
      <c r="F139" s="29" t="s">
        <v>46</v>
      </c>
      <c r="G139" s="30" t="s">
        <v>46</v>
      </c>
      <c r="H139" s="31"/>
      <c r="I139" s="31" t="s">
        <v>47</v>
      </c>
      <c r="J139" s="32" t="n">
        <v>1.0</v>
      </c>
      <c r="K139" s="33" t="n">
        <f>5500</f>
        <v>5500.0</v>
      </c>
      <c r="L139" s="34" t="s">
        <v>48</v>
      </c>
      <c r="M139" s="33" t="n">
        <f>6352</f>
        <v>6352.0</v>
      </c>
      <c r="N139" s="34" t="s">
        <v>67</v>
      </c>
      <c r="O139" s="33" t="n">
        <f>5486</f>
        <v>5486.0</v>
      </c>
      <c r="P139" s="34" t="s">
        <v>48</v>
      </c>
      <c r="Q139" s="33" t="n">
        <f>5885</f>
        <v>5885.0</v>
      </c>
      <c r="R139" s="34" t="s">
        <v>50</v>
      </c>
      <c r="S139" s="35" t="n">
        <f>5918.21</f>
        <v>5918.21</v>
      </c>
      <c r="T139" s="32" t="n">
        <f>4756679</f>
        <v>4756679.0</v>
      </c>
      <c r="U139" s="32" t="n">
        <f>317</f>
        <v>317.0</v>
      </c>
      <c r="V139" s="32" t="n">
        <f>28411410074</f>
        <v>2.8411410074E10</v>
      </c>
      <c r="W139" s="32" t="n">
        <f>1904177</f>
        <v>1904177.0</v>
      </c>
      <c r="X139" s="36" t="n">
        <f>19</f>
        <v>19.0</v>
      </c>
    </row>
    <row r="140">
      <c r="A140" s="27" t="s">
        <v>42</v>
      </c>
      <c r="B140" s="27" t="s">
        <v>463</v>
      </c>
      <c r="C140" s="27" t="s">
        <v>464</v>
      </c>
      <c r="D140" s="27" t="s">
        <v>465</v>
      </c>
      <c r="E140" s="28" t="s">
        <v>46</v>
      </c>
      <c r="F140" s="29" t="s">
        <v>46</v>
      </c>
      <c r="G140" s="30" t="s">
        <v>46</v>
      </c>
      <c r="H140" s="31"/>
      <c r="I140" s="31" t="s">
        <v>47</v>
      </c>
      <c r="J140" s="32" t="n">
        <v>1.0</v>
      </c>
      <c r="K140" s="33" t="n">
        <f>65950</f>
        <v>65950.0</v>
      </c>
      <c r="L140" s="34" t="s">
        <v>48</v>
      </c>
      <c r="M140" s="33" t="n">
        <f>66030</f>
        <v>66030.0</v>
      </c>
      <c r="N140" s="34" t="s">
        <v>48</v>
      </c>
      <c r="O140" s="33" t="n">
        <f>60060</f>
        <v>60060.0</v>
      </c>
      <c r="P140" s="34" t="s">
        <v>78</v>
      </c>
      <c r="Q140" s="33" t="n">
        <f>60850</f>
        <v>60850.0</v>
      </c>
      <c r="R140" s="34" t="s">
        <v>50</v>
      </c>
      <c r="S140" s="35" t="n">
        <f>62722.63</f>
        <v>62722.63</v>
      </c>
      <c r="T140" s="32" t="n">
        <f>4682</f>
        <v>4682.0</v>
      </c>
      <c r="U140" s="32" t="str">
        <f>"－"</f>
        <v>－</v>
      </c>
      <c r="V140" s="32" t="n">
        <f>294341350</f>
        <v>2.9434135E8</v>
      </c>
      <c r="W140" s="32" t="str">
        <f>"－"</f>
        <v>－</v>
      </c>
      <c r="X140" s="36" t="n">
        <f>19</f>
        <v>19.0</v>
      </c>
    </row>
    <row r="141">
      <c r="A141" s="27" t="s">
        <v>42</v>
      </c>
      <c r="B141" s="27" t="s">
        <v>466</v>
      </c>
      <c r="C141" s="27" t="s">
        <v>467</v>
      </c>
      <c r="D141" s="27" t="s">
        <v>468</v>
      </c>
      <c r="E141" s="28" t="s">
        <v>46</v>
      </c>
      <c r="F141" s="29" t="s">
        <v>46</v>
      </c>
      <c r="G141" s="30" t="s">
        <v>46</v>
      </c>
      <c r="H141" s="31"/>
      <c r="I141" s="31" t="s">
        <v>47</v>
      </c>
      <c r="J141" s="32" t="n">
        <v>10.0</v>
      </c>
      <c r="K141" s="33" t="n">
        <f>9654</f>
        <v>9654.0</v>
      </c>
      <c r="L141" s="34" t="s">
        <v>48</v>
      </c>
      <c r="M141" s="33" t="n">
        <f>9701</f>
        <v>9701.0</v>
      </c>
      <c r="N141" s="34" t="s">
        <v>48</v>
      </c>
      <c r="O141" s="33" t="n">
        <f>8656</f>
        <v>8656.0</v>
      </c>
      <c r="P141" s="34" t="s">
        <v>78</v>
      </c>
      <c r="Q141" s="33" t="n">
        <f>8702</f>
        <v>8702.0</v>
      </c>
      <c r="R141" s="34" t="s">
        <v>50</v>
      </c>
      <c r="S141" s="35" t="n">
        <f>9148</f>
        <v>9148.0</v>
      </c>
      <c r="T141" s="32" t="n">
        <f>90240</f>
        <v>90240.0</v>
      </c>
      <c r="U141" s="32" t="n">
        <f>2120</f>
        <v>2120.0</v>
      </c>
      <c r="V141" s="32" t="n">
        <f>832772776</f>
        <v>8.32772776E8</v>
      </c>
      <c r="W141" s="32" t="n">
        <f>19727946</f>
        <v>1.9727946E7</v>
      </c>
      <c r="X141" s="36" t="n">
        <f>19</f>
        <v>19.0</v>
      </c>
    </row>
    <row r="142">
      <c r="A142" s="27" t="s">
        <v>42</v>
      </c>
      <c r="B142" s="27" t="s">
        <v>469</v>
      </c>
      <c r="C142" s="27" t="s">
        <v>470</v>
      </c>
      <c r="D142" s="27" t="s">
        <v>471</v>
      </c>
      <c r="E142" s="28" t="s">
        <v>46</v>
      </c>
      <c r="F142" s="29" t="s">
        <v>46</v>
      </c>
      <c r="G142" s="30" t="s">
        <v>46</v>
      </c>
      <c r="H142" s="31"/>
      <c r="I142" s="31" t="s">
        <v>47</v>
      </c>
      <c r="J142" s="32" t="n">
        <v>1.0</v>
      </c>
      <c r="K142" s="33" t="n">
        <f>26000</f>
        <v>26000.0</v>
      </c>
      <c r="L142" s="34" t="s">
        <v>48</v>
      </c>
      <c r="M142" s="33" t="n">
        <f>26390</f>
        <v>26390.0</v>
      </c>
      <c r="N142" s="34" t="s">
        <v>217</v>
      </c>
      <c r="O142" s="33" t="n">
        <f>24140</f>
        <v>24140.0</v>
      </c>
      <c r="P142" s="34" t="s">
        <v>78</v>
      </c>
      <c r="Q142" s="33" t="n">
        <f>24325</f>
        <v>24325.0</v>
      </c>
      <c r="R142" s="34" t="s">
        <v>50</v>
      </c>
      <c r="S142" s="35" t="n">
        <f>25221.84</f>
        <v>25221.84</v>
      </c>
      <c r="T142" s="32" t="n">
        <f>7841</f>
        <v>7841.0</v>
      </c>
      <c r="U142" s="32" t="str">
        <f>"－"</f>
        <v>－</v>
      </c>
      <c r="V142" s="32" t="n">
        <f>198270250</f>
        <v>1.9827025E8</v>
      </c>
      <c r="W142" s="32" t="str">
        <f>"－"</f>
        <v>－</v>
      </c>
      <c r="X142" s="36" t="n">
        <f>19</f>
        <v>19.0</v>
      </c>
    </row>
    <row r="143">
      <c r="A143" s="27" t="s">
        <v>42</v>
      </c>
      <c r="B143" s="27" t="s">
        <v>472</v>
      </c>
      <c r="C143" s="27" t="s">
        <v>473</v>
      </c>
      <c r="D143" s="27" t="s">
        <v>474</v>
      </c>
      <c r="E143" s="28" t="s">
        <v>46</v>
      </c>
      <c r="F143" s="29" t="s">
        <v>46</v>
      </c>
      <c r="G143" s="30" t="s">
        <v>46</v>
      </c>
      <c r="H143" s="31"/>
      <c r="I143" s="31" t="s">
        <v>47</v>
      </c>
      <c r="J143" s="32" t="n">
        <v>1.0</v>
      </c>
      <c r="K143" s="33" t="n">
        <f>20095</f>
        <v>20095.0</v>
      </c>
      <c r="L143" s="34" t="s">
        <v>48</v>
      </c>
      <c r="M143" s="33" t="n">
        <f>20190</f>
        <v>20190.0</v>
      </c>
      <c r="N143" s="34" t="s">
        <v>270</v>
      </c>
      <c r="O143" s="33" t="n">
        <f>17210</f>
        <v>17210.0</v>
      </c>
      <c r="P143" s="34" t="s">
        <v>78</v>
      </c>
      <c r="Q143" s="33" t="n">
        <f>17530</f>
        <v>17530.0</v>
      </c>
      <c r="R143" s="34" t="s">
        <v>50</v>
      </c>
      <c r="S143" s="35" t="n">
        <f>18690.26</f>
        <v>18690.26</v>
      </c>
      <c r="T143" s="32" t="n">
        <f>5268</f>
        <v>5268.0</v>
      </c>
      <c r="U143" s="32" t="str">
        <f>"－"</f>
        <v>－</v>
      </c>
      <c r="V143" s="32" t="n">
        <f>96952845</f>
        <v>9.6952845E7</v>
      </c>
      <c r="W143" s="32" t="str">
        <f>"－"</f>
        <v>－</v>
      </c>
      <c r="X143" s="36" t="n">
        <f>19</f>
        <v>19.0</v>
      </c>
    </row>
    <row r="144">
      <c r="A144" s="27" t="s">
        <v>42</v>
      </c>
      <c r="B144" s="27" t="s">
        <v>475</v>
      </c>
      <c r="C144" s="27" t="s">
        <v>476</v>
      </c>
      <c r="D144" s="27" t="s">
        <v>477</v>
      </c>
      <c r="E144" s="28" t="s">
        <v>46</v>
      </c>
      <c r="F144" s="29" t="s">
        <v>46</v>
      </c>
      <c r="G144" s="30" t="s">
        <v>46</v>
      </c>
      <c r="H144" s="31"/>
      <c r="I144" s="31" t="s">
        <v>47</v>
      </c>
      <c r="J144" s="32" t="n">
        <v>1.0</v>
      </c>
      <c r="K144" s="33" t="n">
        <f>44900</f>
        <v>44900.0</v>
      </c>
      <c r="L144" s="34" t="s">
        <v>48</v>
      </c>
      <c r="M144" s="33" t="n">
        <f>44900</f>
        <v>44900.0</v>
      </c>
      <c r="N144" s="34" t="s">
        <v>48</v>
      </c>
      <c r="O144" s="33" t="n">
        <f>40410</f>
        <v>40410.0</v>
      </c>
      <c r="P144" s="34" t="s">
        <v>78</v>
      </c>
      <c r="Q144" s="33" t="n">
        <f>40620</f>
        <v>40620.0</v>
      </c>
      <c r="R144" s="34" t="s">
        <v>50</v>
      </c>
      <c r="S144" s="35" t="n">
        <f>42012.63</f>
        <v>42012.63</v>
      </c>
      <c r="T144" s="32" t="n">
        <f>801</f>
        <v>801.0</v>
      </c>
      <c r="U144" s="32" t="str">
        <f>"－"</f>
        <v>－</v>
      </c>
      <c r="V144" s="32" t="n">
        <f>33310750</f>
        <v>3.331075E7</v>
      </c>
      <c r="W144" s="32" t="str">
        <f>"－"</f>
        <v>－</v>
      </c>
      <c r="X144" s="36" t="n">
        <f>19</f>
        <v>19.0</v>
      </c>
    </row>
    <row r="145">
      <c r="A145" s="27" t="s">
        <v>42</v>
      </c>
      <c r="B145" s="27" t="s">
        <v>478</v>
      </c>
      <c r="C145" s="27" t="s">
        <v>479</v>
      </c>
      <c r="D145" s="27" t="s">
        <v>480</v>
      </c>
      <c r="E145" s="28" t="s">
        <v>46</v>
      </c>
      <c r="F145" s="29" t="s">
        <v>46</v>
      </c>
      <c r="G145" s="30" t="s">
        <v>46</v>
      </c>
      <c r="H145" s="31"/>
      <c r="I145" s="31" t="s">
        <v>47</v>
      </c>
      <c r="J145" s="32" t="n">
        <v>10.0</v>
      </c>
      <c r="K145" s="33" t="n">
        <f>60040</f>
        <v>60040.0</v>
      </c>
      <c r="L145" s="34" t="s">
        <v>48</v>
      </c>
      <c r="M145" s="33" t="n">
        <f>60170</f>
        <v>60170.0</v>
      </c>
      <c r="N145" s="34" t="s">
        <v>66</v>
      </c>
      <c r="O145" s="33" t="n">
        <f>57250</f>
        <v>57250.0</v>
      </c>
      <c r="P145" s="34" t="s">
        <v>308</v>
      </c>
      <c r="Q145" s="33" t="n">
        <f>57580</f>
        <v>57580.0</v>
      </c>
      <c r="R145" s="34" t="s">
        <v>50</v>
      </c>
      <c r="S145" s="35" t="n">
        <f>58189.47</f>
        <v>58189.47</v>
      </c>
      <c r="T145" s="32" t="n">
        <f>6190</f>
        <v>6190.0</v>
      </c>
      <c r="U145" s="32" t="n">
        <f>90</f>
        <v>90.0</v>
      </c>
      <c r="V145" s="32" t="n">
        <f>361469909</f>
        <v>3.61469909E8</v>
      </c>
      <c r="W145" s="32" t="n">
        <f>5223609</f>
        <v>5223609.0</v>
      </c>
      <c r="X145" s="36" t="n">
        <f>19</f>
        <v>19.0</v>
      </c>
    </row>
    <row r="146">
      <c r="A146" s="27" t="s">
        <v>42</v>
      </c>
      <c r="B146" s="27" t="s">
        <v>481</v>
      </c>
      <c r="C146" s="27" t="s">
        <v>482</v>
      </c>
      <c r="D146" s="27" t="s">
        <v>483</v>
      </c>
      <c r="E146" s="28" t="s">
        <v>46</v>
      </c>
      <c r="F146" s="29" t="s">
        <v>46</v>
      </c>
      <c r="G146" s="30" t="s">
        <v>46</v>
      </c>
      <c r="H146" s="31"/>
      <c r="I146" s="31" t="s">
        <v>47</v>
      </c>
      <c r="J146" s="32" t="n">
        <v>10.0</v>
      </c>
      <c r="K146" s="33" t="n">
        <f>310.7</f>
        <v>310.7</v>
      </c>
      <c r="L146" s="34" t="s">
        <v>48</v>
      </c>
      <c r="M146" s="33" t="n">
        <f>313.4</f>
        <v>313.4</v>
      </c>
      <c r="N146" s="34" t="s">
        <v>48</v>
      </c>
      <c r="O146" s="33" t="n">
        <f>286.3</f>
        <v>286.3</v>
      </c>
      <c r="P146" s="34" t="s">
        <v>78</v>
      </c>
      <c r="Q146" s="33" t="n">
        <f>288</f>
        <v>288.0</v>
      </c>
      <c r="R146" s="34" t="s">
        <v>50</v>
      </c>
      <c r="S146" s="35" t="n">
        <f>296.45</f>
        <v>296.45</v>
      </c>
      <c r="T146" s="32" t="n">
        <f>11027050</f>
        <v>1.102705E7</v>
      </c>
      <c r="U146" s="32" t="n">
        <f>266590</f>
        <v>266590.0</v>
      </c>
      <c r="V146" s="32" t="n">
        <f>3270489576</f>
        <v>3.270489576E9</v>
      </c>
      <c r="W146" s="32" t="n">
        <f>78860975</f>
        <v>7.8860975E7</v>
      </c>
      <c r="X146" s="36" t="n">
        <f>19</f>
        <v>19.0</v>
      </c>
    </row>
    <row r="147">
      <c r="A147" s="27" t="s">
        <v>42</v>
      </c>
      <c r="B147" s="27" t="s">
        <v>484</v>
      </c>
      <c r="C147" s="27" t="s">
        <v>485</v>
      </c>
      <c r="D147" s="27" t="s">
        <v>486</v>
      </c>
      <c r="E147" s="28" t="s">
        <v>46</v>
      </c>
      <c r="F147" s="29" t="s">
        <v>46</v>
      </c>
      <c r="G147" s="30" t="s">
        <v>46</v>
      </c>
      <c r="H147" s="31"/>
      <c r="I147" s="31" t="s">
        <v>47</v>
      </c>
      <c r="J147" s="32" t="n">
        <v>10.0</v>
      </c>
      <c r="K147" s="33" t="n">
        <f>67270</f>
        <v>67270.0</v>
      </c>
      <c r="L147" s="34" t="s">
        <v>270</v>
      </c>
      <c r="M147" s="33" t="n">
        <f>67270</f>
        <v>67270.0</v>
      </c>
      <c r="N147" s="34" t="s">
        <v>270</v>
      </c>
      <c r="O147" s="33" t="n">
        <f>64470</f>
        <v>64470.0</v>
      </c>
      <c r="P147" s="34" t="s">
        <v>71</v>
      </c>
      <c r="Q147" s="33" t="n">
        <f>64830</f>
        <v>64830.0</v>
      </c>
      <c r="R147" s="34" t="s">
        <v>50</v>
      </c>
      <c r="S147" s="35" t="n">
        <f>65082.22</f>
        <v>65082.22</v>
      </c>
      <c r="T147" s="32" t="n">
        <f>540</f>
        <v>540.0</v>
      </c>
      <c r="U147" s="32" t="str">
        <f>"－"</f>
        <v>－</v>
      </c>
      <c r="V147" s="32" t="n">
        <f>34978000</f>
        <v>3.4978E7</v>
      </c>
      <c r="W147" s="32" t="str">
        <f>"－"</f>
        <v>－</v>
      </c>
      <c r="X147" s="36" t="n">
        <f>9</f>
        <v>9.0</v>
      </c>
    </row>
    <row r="148">
      <c r="A148" s="27" t="s">
        <v>42</v>
      </c>
      <c r="B148" s="27" t="s">
        <v>487</v>
      </c>
      <c r="C148" s="27" t="s">
        <v>488</v>
      </c>
      <c r="D148" s="27" t="s">
        <v>489</v>
      </c>
      <c r="E148" s="28" t="s">
        <v>46</v>
      </c>
      <c r="F148" s="29" t="s">
        <v>46</v>
      </c>
      <c r="G148" s="30" t="s">
        <v>46</v>
      </c>
      <c r="H148" s="31"/>
      <c r="I148" s="31" t="s">
        <v>47</v>
      </c>
      <c r="J148" s="32" t="n">
        <v>1.0</v>
      </c>
      <c r="K148" s="33" t="n">
        <f>8470</f>
        <v>8470.0</v>
      </c>
      <c r="L148" s="34" t="s">
        <v>48</v>
      </c>
      <c r="M148" s="33" t="n">
        <f>8470</f>
        <v>8470.0</v>
      </c>
      <c r="N148" s="34" t="s">
        <v>48</v>
      </c>
      <c r="O148" s="33" t="n">
        <f>8005</f>
        <v>8005.0</v>
      </c>
      <c r="P148" s="34" t="s">
        <v>71</v>
      </c>
      <c r="Q148" s="33" t="n">
        <f>8229</f>
        <v>8229.0</v>
      </c>
      <c r="R148" s="34" t="s">
        <v>50</v>
      </c>
      <c r="S148" s="35" t="n">
        <f>8207.79</f>
        <v>8207.79</v>
      </c>
      <c r="T148" s="32" t="n">
        <f>44499</f>
        <v>44499.0</v>
      </c>
      <c r="U148" s="32" t="n">
        <f>4904</f>
        <v>4904.0</v>
      </c>
      <c r="V148" s="32" t="n">
        <f>367667865</f>
        <v>3.67667865E8</v>
      </c>
      <c r="W148" s="32" t="n">
        <f>40790605</f>
        <v>4.0790605E7</v>
      </c>
      <c r="X148" s="36" t="n">
        <f>19</f>
        <v>19.0</v>
      </c>
    </row>
    <row r="149">
      <c r="A149" s="27" t="s">
        <v>42</v>
      </c>
      <c r="B149" s="27" t="s">
        <v>490</v>
      </c>
      <c r="C149" s="27" t="s">
        <v>491</v>
      </c>
      <c r="D149" s="27" t="s">
        <v>492</v>
      </c>
      <c r="E149" s="28" t="s">
        <v>46</v>
      </c>
      <c r="F149" s="29" t="s">
        <v>46</v>
      </c>
      <c r="G149" s="30" t="s">
        <v>46</v>
      </c>
      <c r="H149" s="31"/>
      <c r="I149" s="31" t="s">
        <v>47</v>
      </c>
      <c r="J149" s="32" t="n">
        <v>1.0</v>
      </c>
      <c r="K149" s="33" t="n">
        <f>3420</f>
        <v>3420.0</v>
      </c>
      <c r="L149" s="34" t="s">
        <v>48</v>
      </c>
      <c r="M149" s="33" t="n">
        <f>3450</f>
        <v>3450.0</v>
      </c>
      <c r="N149" s="34" t="s">
        <v>48</v>
      </c>
      <c r="O149" s="33" t="n">
        <f>3251</f>
        <v>3251.0</v>
      </c>
      <c r="P149" s="34" t="s">
        <v>71</v>
      </c>
      <c r="Q149" s="33" t="n">
        <f>3355</f>
        <v>3355.0</v>
      </c>
      <c r="R149" s="34" t="s">
        <v>50</v>
      </c>
      <c r="S149" s="35" t="n">
        <f>3360.63</f>
        <v>3360.63</v>
      </c>
      <c r="T149" s="32" t="n">
        <f>114314</f>
        <v>114314.0</v>
      </c>
      <c r="U149" s="32" t="n">
        <f>410</f>
        <v>410.0</v>
      </c>
      <c r="V149" s="32" t="n">
        <f>385552842</f>
        <v>3.85552842E8</v>
      </c>
      <c r="W149" s="32" t="n">
        <f>1391837</f>
        <v>1391837.0</v>
      </c>
      <c r="X149" s="36" t="n">
        <f>19</f>
        <v>19.0</v>
      </c>
    </row>
    <row r="150">
      <c r="A150" s="27" t="s">
        <v>42</v>
      </c>
      <c r="B150" s="27" t="s">
        <v>493</v>
      </c>
      <c r="C150" s="27" t="s">
        <v>494</v>
      </c>
      <c r="D150" s="27" t="s">
        <v>495</v>
      </c>
      <c r="E150" s="28" t="s">
        <v>46</v>
      </c>
      <c r="F150" s="29" t="s">
        <v>46</v>
      </c>
      <c r="G150" s="30" t="s">
        <v>46</v>
      </c>
      <c r="H150" s="31"/>
      <c r="I150" s="31" t="s">
        <v>47</v>
      </c>
      <c r="J150" s="32" t="n">
        <v>10.0</v>
      </c>
      <c r="K150" s="33" t="n">
        <f>2719.5</f>
        <v>2719.5</v>
      </c>
      <c r="L150" s="34" t="s">
        <v>48</v>
      </c>
      <c r="M150" s="33" t="n">
        <f>2999.5</f>
        <v>2999.5</v>
      </c>
      <c r="N150" s="34" t="s">
        <v>286</v>
      </c>
      <c r="O150" s="33" t="n">
        <f>2626</f>
        <v>2626.0</v>
      </c>
      <c r="P150" s="34" t="s">
        <v>98</v>
      </c>
      <c r="Q150" s="33" t="n">
        <f>2680</f>
        <v>2680.0</v>
      </c>
      <c r="R150" s="34" t="s">
        <v>50</v>
      </c>
      <c r="S150" s="35" t="n">
        <f>2724.88</f>
        <v>2724.88</v>
      </c>
      <c r="T150" s="32" t="n">
        <f>3620</f>
        <v>3620.0</v>
      </c>
      <c r="U150" s="32" t="str">
        <f>"－"</f>
        <v>－</v>
      </c>
      <c r="V150" s="32" t="n">
        <f>10078310</f>
        <v>1.007831E7</v>
      </c>
      <c r="W150" s="32" t="str">
        <f>"－"</f>
        <v>－</v>
      </c>
      <c r="X150" s="36" t="n">
        <f>16</f>
        <v>16.0</v>
      </c>
    </row>
    <row r="151">
      <c r="A151" s="27" t="s">
        <v>42</v>
      </c>
      <c r="B151" s="27" t="s">
        <v>496</v>
      </c>
      <c r="C151" s="27" t="s">
        <v>497</v>
      </c>
      <c r="D151" s="27" t="s">
        <v>498</v>
      </c>
      <c r="E151" s="28" t="s">
        <v>46</v>
      </c>
      <c r="F151" s="29" t="s">
        <v>46</v>
      </c>
      <c r="G151" s="30" t="s">
        <v>46</v>
      </c>
      <c r="H151" s="31"/>
      <c r="I151" s="31" t="s">
        <v>47</v>
      </c>
      <c r="J151" s="32" t="n">
        <v>10.0</v>
      </c>
      <c r="K151" s="33" t="n">
        <f>823.6</f>
        <v>823.6</v>
      </c>
      <c r="L151" s="34" t="s">
        <v>48</v>
      </c>
      <c r="M151" s="33" t="n">
        <f>999.9</f>
        <v>999.9</v>
      </c>
      <c r="N151" s="34" t="s">
        <v>157</v>
      </c>
      <c r="O151" s="33" t="n">
        <f>823.6</f>
        <v>823.6</v>
      </c>
      <c r="P151" s="34" t="s">
        <v>48</v>
      </c>
      <c r="Q151" s="33" t="n">
        <f>909</f>
        <v>909.0</v>
      </c>
      <c r="R151" s="34" t="s">
        <v>50</v>
      </c>
      <c r="S151" s="35" t="n">
        <f>926.51</f>
        <v>926.51</v>
      </c>
      <c r="T151" s="32" t="n">
        <f>33850</f>
        <v>33850.0</v>
      </c>
      <c r="U151" s="32" t="str">
        <f>"－"</f>
        <v>－</v>
      </c>
      <c r="V151" s="32" t="n">
        <f>31468670</f>
        <v>3.146867E7</v>
      </c>
      <c r="W151" s="32" t="str">
        <f>"－"</f>
        <v>－</v>
      </c>
      <c r="X151" s="36" t="n">
        <f>18</f>
        <v>18.0</v>
      </c>
    </row>
    <row r="152">
      <c r="A152" s="27" t="s">
        <v>42</v>
      </c>
      <c r="B152" s="27" t="s">
        <v>499</v>
      </c>
      <c r="C152" s="27" t="s">
        <v>500</v>
      </c>
      <c r="D152" s="27" t="s">
        <v>501</v>
      </c>
      <c r="E152" s="28" t="s">
        <v>46</v>
      </c>
      <c r="F152" s="29" t="s">
        <v>46</v>
      </c>
      <c r="G152" s="30" t="s">
        <v>46</v>
      </c>
      <c r="H152" s="31"/>
      <c r="I152" s="31" t="s">
        <v>47</v>
      </c>
      <c r="J152" s="32" t="n">
        <v>10.0</v>
      </c>
      <c r="K152" s="33" t="n">
        <f>3010</f>
        <v>3010.0</v>
      </c>
      <c r="L152" s="34" t="s">
        <v>48</v>
      </c>
      <c r="M152" s="33" t="n">
        <f>3150</f>
        <v>3150.0</v>
      </c>
      <c r="N152" s="34" t="s">
        <v>66</v>
      </c>
      <c r="O152" s="33" t="n">
        <f>3001</f>
        <v>3001.0</v>
      </c>
      <c r="P152" s="34" t="s">
        <v>67</v>
      </c>
      <c r="Q152" s="33" t="n">
        <f>3041</f>
        <v>3041.0</v>
      </c>
      <c r="R152" s="34" t="s">
        <v>50</v>
      </c>
      <c r="S152" s="35" t="n">
        <f>3070.89</f>
        <v>3070.89</v>
      </c>
      <c r="T152" s="32" t="n">
        <f>1540</f>
        <v>1540.0</v>
      </c>
      <c r="U152" s="32" t="str">
        <f>"－"</f>
        <v>－</v>
      </c>
      <c r="V152" s="32" t="n">
        <f>4747080</f>
        <v>4747080.0</v>
      </c>
      <c r="W152" s="32" t="str">
        <f>"－"</f>
        <v>－</v>
      </c>
      <c r="X152" s="36" t="n">
        <f>18</f>
        <v>18.0</v>
      </c>
    </row>
    <row r="153">
      <c r="A153" s="27" t="s">
        <v>42</v>
      </c>
      <c r="B153" s="27" t="s">
        <v>502</v>
      </c>
      <c r="C153" s="27" t="s">
        <v>503</v>
      </c>
      <c r="D153" s="27" t="s">
        <v>504</v>
      </c>
      <c r="E153" s="28" t="s">
        <v>46</v>
      </c>
      <c r="F153" s="29" t="s">
        <v>46</v>
      </c>
      <c r="G153" s="30" t="s">
        <v>46</v>
      </c>
      <c r="H153" s="31"/>
      <c r="I153" s="31" t="s">
        <v>47</v>
      </c>
      <c r="J153" s="32" t="n">
        <v>10.0</v>
      </c>
      <c r="K153" s="33" t="n">
        <f>1159</f>
        <v>1159.0</v>
      </c>
      <c r="L153" s="34" t="s">
        <v>48</v>
      </c>
      <c r="M153" s="33" t="n">
        <f>1198</f>
        <v>1198.0</v>
      </c>
      <c r="N153" s="34" t="s">
        <v>82</v>
      </c>
      <c r="O153" s="33" t="n">
        <f>1067.5</f>
        <v>1067.5</v>
      </c>
      <c r="P153" s="34" t="s">
        <v>217</v>
      </c>
      <c r="Q153" s="33" t="n">
        <f>1083.5</f>
        <v>1083.5</v>
      </c>
      <c r="R153" s="34" t="s">
        <v>50</v>
      </c>
      <c r="S153" s="35" t="n">
        <f>1108</f>
        <v>1108.0</v>
      </c>
      <c r="T153" s="32" t="n">
        <f>75520</f>
        <v>75520.0</v>
      </c>
      <c r="U153" s="32" t="str">
        <f>"－"</f>
        <v>－</v>
      </c>
      <c r="V153" s="32" t="n">
        <f>84813590</f>
        <v>8.481359E7</v>
      </c>
      <c r="W153" s="32" t="str">
        <f>"－"</f>
        <v>－</v>
      </c>
      <c r="X153" s="36" t="n">
        <f>19</f>
        <v>19.0</v>
      </c>
    </row>
    <row r="154">
      <c r="A154" s="27" t="s">
        <v>42</v>
      </c>
      <c r="B154" s="27" t="s">
        <v>505</v>
      </c>
      <c r="C154" s="27" t="s">
        <v>506</v>
      </c>
      <c r="D154" s="27" t="s">
        <v>507</v>
      </c>
      <c r="E154" s="28" t="s">
        <v>46</v>
      </c>
      <c r="F154" s="29" t="s">
        <v>46</v>
      </c>
      <c r="G154" s="30" t="s">
        <v>46</v>
      </c>
      <c r="H154" s="31"/>
      <c r="I154" s="31" t="s">
        <v>47</v>
      </c>
      <c r="J154" s="32" t="n">
        <v>10.0</v>
      </c>
      <c r="K154" s="33" t="n">
        <f>643.1</f>
        <v>643.1</v>
      </c>
      <c r="L154" s="34" t="s">
        <v>48</v>
      </c>
      <c r="M154" s="33" t="n">
        <f>663</f>
        <v>663.0</v>
      </c>
      <c r="N154" s="34" t="s">
        <v>66</v>
      </c>
      <c r="O154" s="33" t="n">
        <f>583.1</f>
        <v>583.1</v>
      </c>
      <c r="P154" s="34" t="s">
        <v>508</v>
      </c>
      <c r="Q154" s="33" t="n">
        <f>606</f>
        <v>606.0</v>
      </c>
      <c r="R154" s="34" t="s">
        <v>50</v>
      </c>
      <c r="S154" s="35" t="n">
        <f>619.68</f>
        <v>619.68</v>
      </c>
      <c r="T154" s="32" t="n">
        <f>243320</f>
        <v>243320.0</v>
      </c>
      <c r="U154" s="32" t="str">
        <f>"－"</f>
        <v>－</v>
      </c>
      <c r="V154" s="32" t="n">
        <f>151076314</f>
        <v>1.51076314E8</v>
      </c>
      <c r="W154" s="32" t="str">
        <f>"－"</f>
        <v>－</v>
      </c>
      <c r="X154" s="36" t="n">
        <f>19</f>
        <v>19.0</v>
      </c>
    </row>
    <row r="155">
      <c r="A155" s="27" t="s">
        <v>42</v>
      </c>
      <c r="B155" s="27" t="s">
        <v>509</v>
      </c>
      <c r="C155" s="27" t="s">
        <v>510</v>
      </c>
      <c r="D155" s="27" t="s">
        <v>511</v>
      </c>
      <c r="E155" s="28" t="s">
        <v>46</v>
      </c>
      <c r="F155" s="29" t="s">
        <v>46</v>
      </c>
      <c r="G155" s="30" t="s">
        <v>46</v>
      </c>
      <c r="H155" s="31"/>
      <c r="I155" s="31" t="s">
        <v>47</v>
      </c>
      <c r="J155" s="32" t="n">
        <v>1.0</v>
      </c>
      <c r="K155" s="33" t="n">
        <f>747</f>
        <v>747.0</v>
      </c>
      <c r="L155" s="34" t="s">
        <v>48</v>
      </c>
      <c r="M155" s="33" t="n">
        <f>794</f>
        <v>794.0</v>
      </c>
      <c r="N155" s="34" t="s">
        <v>200</v>
      </c>
      <c r="O155" s="33" t="n">
        <f>684</f>
        <v>684.0</v>
      </c>
      <c r="P155" s="34" t="s">
        <v>217</v>
      </c>
      <c r="Q155" s="33" t="n">
        <f>728</f>
        <v>728.0</v>
      </c>
      <c r="R155" s="34" t="s">
        <v>50</v>
      </c>
      <c r="S155" s="35" t="n">
        <f>731.74</f>
        <v>731.74</v>
      </c>
      <c r="T155" s="32" t="n">
        <f>1306187</f>
        <v>1306187.0</v>
      </c>
      <c r="U155" s="32" t="str">
        <f>"－"</f>
        <v>－</v>
      </c>
      <c r="V155" s="32" t="n">
        <f>961725072</f>
        <v>9.61725072E8</v>
      </c>
      <c r="W155" s="32" t="str">
        <f>"－"</f>
        <v>－</v>
      </c>
      <c r="X155" s="36" t="n">
        <f>19</f>
        <v>19.0</v>
      </c>
    </row>
    <row r="156">
      <c r="A156" s="27" t="s">
        <v>42</v>
      </c>
      <c r="B156" s="27" t="s">
        <v>512</v>
      </c>
      <c r="C156" s="27" t="s">
        <v>513</v>
      </c>
      <c r="D156" s="27" t="s">
        <v>514</v>
      </c>
      <c r="E156" s="28" t="s">
        <v>46</v>
      </c>
      <c r="F156" s="29" t="s">
        <v>46</v>
      </c>
      <c r="G156" s="30" t="s">
        <v>46</v>
      </c>
      <c r="H156" s="31"/>
      <c r="I156" s="31" t="s">
        <v>47</v>
      </c>
      <c r="J156" s="32" t="n">
        <v>10.0</v>
      </c>
      <c r="K156" s="33" t="n">
        <f>2460</f>
        <v>2460.0</v>
      </c>
      <c r="L156" s="34" t="s">
        <v>48</v>
      </c>
      <c r="M156" s="33" t="n">
        <f>2800</f>
        <v>2800.0</v>
      </c>
      <c r="N156" s="34" t="s">
        <v>67</v>
      </c>
      <c r="O156" s="33" t="n">
        <f>2411</f>
        <v>2411.0</v>
      </c>
      <c r="P156" s="34" t="s">
        <v>98</v>
      </c>
      <c r="Q156" s="33" t="n">
        <f>2635</f>
        <v>2635.0</v>
      </c>
      <c r="R156" s="34" t="s">
        <v>50</v>
      </c>
      <c r="S156" s="35" t="n">
        <f>2608.32</f>
        <v>2608.32</v>
      </c>
      <c r="T156" s="32" t="n">
        <f>34290</f>
        <v>34290.0</v>
      </c>
      <c r="U156" s="32" t="str">
        <f>"－"</f>
        <v>－</v>
      </c>
      <c r="V156" s="32" t="n">
        <f>89739590</f>
        <v>8.973959E7</v>
      </c>
      <c r="W156" s="32" t="str">
        <f>"－"</f>
        <v>－</v>
      </c>
      <c r="X156" s="36" t="n">
        <f>19</f>
        <v>19.0</v>
      </c>
    </row>
    <row r="157">
      <c r="A157" s="27" t="s">
        <v>42</v>
      </c>
      <c r="B157" s="27" t="s">
        <v>515</v>
      </c>
      <c r="C157" s="27" t="s">
        <v>516</v>
      </c>
      <c r="D157" s="27" t="s">
        <v>517</v>
      </c>
      <c r="E157" s="28" t="s">
        <v>46</v>
      </c>
      <c r="F157" s="29" t="s">
        <v>46</v>
      </c>
      <c r="G157" s="30" t="s">
        <v>46</v>
      </c>
      <c r="H157" s="31"/>
      <c r="I157" s="31" t="s">
        <v>47</v>
      </c>
      <c r="J157" s="32" t="n">
        <v>1.0</v>
      </c>
      <c r="K157" s="33" t="n">
        <f>15670</f>
        <v>15670.0</v>
      </c>
      <c r="L157" s="34" t="s">
        <v>48</v>
      </c>
      <c r="M157" s="33" t="n">
        <f>19550</f>
        <v>19550.0</v>
      </c>
      <c r="N157" s="34" t="s">
        <v>67</v>
      </c>
      <c r="O157" s="33" t="n">
        <f>14930</f>
        <v>14930.0</v>
      </c>
      <c r="P157" s="34" t="s">
        <v>82</v>
      </c>
      <c r="Q157" s="33" t="n">
        <f>16270</f>
        <v>16270.0</v>
      </c>
      <c r="R157" s="34" t="s">
        <v>50</v>
      </c>
      <c r="S157" s="35" t="n">
        <f>16136.05</f>
        <v>16136.05</v>
      </c>
      <c r="T157" s="32" t="n">
        <f>982</f>
        <v>982.0</v>
      </c>
      <c r="U157" s="32" t="str">
        <f>"－"</f>
        <v>－</v>
      </c>
      <c r="V157" s="32" t="n">
        <f>16290990</f>
        <v>1.629099E7</v>
      </c>
      <c r="W157" s="32" t="str">
        <f>"－"</f>
        <v>－</v>
      </c>
      <c r="X157" s="36" t="n">
        <f>19</f>
        <v>19.0</v>
      </c>
    </row>
    <row r="158">
      <c r="A158" s="27" t="s">
        <v>42</v>
      </c>
      <c r="B158" s="27" t="s">
        <v>518</v>
      </c>
      <c r="C158" s="27" t="s">
        <v>519</v>
      </c>
      <c r="D158" s="27" t="s">
        <v>520</v>
      </c>
      <c r="E158" s="28" t="s">
        <v>46</v>
      </c>
      <c r="F158" s="29" t="s">
        <v>46</v>
      </c>
      <c r="G158" s="30" t="s">
        <v>46</v>
      </c>
      <c r="H158" s="31"/>
      <c r="I158" s="31" t="s">
        <v>47</v>
      </c>
      <c r="J158" s="32" t="n">
        <v>100.0</v>
      </c>
      <c r="K158" s="33" t="n">
        <f>697.2</f>
        <v>697.2</v>
      </c>
      <c r="L158" s="34" t="s">
        <v>48</v>
      </c>
      <c r="M158" s="33" t="n">
        <f>705.9</f>
        <v>705.9</v>
      </c>
      <c r="N158" s="34" t="s">
        <v>48</v>
      </c>
      <c r="O158" s="33" t="n">
        <f>660</f>
        <v>660.0</v>
      </c>
      <c r="P158" s="34" t="s">
        <v>98</v>
      </c>
      <c r="Q158" s="33" t="n">
        <f>677.3</f>
        <v>677.3</v>
      </c>
      <c r="R158" s="34" t="s">
        <v>50</v>
      </c>
      <c r="S158" s="35" t="n">
        <f>682.69</f>
        <v>682.69</v>
      </c>
      <c r="T158" s="32" t="n">
        <f>44200</f>
        <v>44200.0</v>
      </c>
      <c r="U158" s="32" t="str">
        <f>"－"</f>
        <v>－</v>
      </c>
      <c r="V158" s="32" t="n">
        <f>30174250</f>
        <v>3.017425E7</v>
      </c>
      <c r="W158" s="32" t="str">
        <f>"－"</f>
        <v>－</v>
      </c>
      <c r="X158" s="36" t="n">
        <f>18</f>
        <v>18.0</v>
      </c>
    </row>
    <row r="159">
      <c r="A159" s="27" t="s">
        <v>42</v>
      </c>
      <c r="B159" s="27" t="s">
        <v>521</v>
      </c>
      <c r="C159" s="27" t="s">
        <v>522</v>
      </c>
      <c r="D159" s="27" t="s">
        <v>523</v>
      </c>
      <c r="E159" s="28" t="s">
        <v>46</v>
      </c>
      <c r="F159" s="29" t="s">
        <v>46</v>
      </c>
      <c r="G159" s="30" t="s">
        <v>46</v>
      </c>
      <c r="H159" s="31"/>
      <c r="I159" s="31" t="s">
        <v>47</v>
      </c>
      <c r="J159" s="32" t="n">
        <v>10.0</v>
      </c>
      <c r="K159" s="33" t="n">
        <f>9086</f>
        <v>9086.0</v>
      </c>
      <c r="L159" s="34" t="s">
        <v>48</v>
      </c>
      <c r="M159" s="33" t="n">
        <f>9183</f>
        <v>9183.0</v>
      </c>
      <c r="N159" s="34" t="s">
        <v>48</v>
      </c>
      <c r="O159" s="33" t="n">
        <f>8381</f>
        <v>8381.0</v>
      </c>
      <c r="P159" s="34" t="s">
        <v>308</v>
      </c>
      <c r="Q159" s="33" t="n">
        <f>8838</f>
        <v>8838.0</v>
      </c>
      <c r="R159" s="34" t="s">
        <v>50</v>
      </c>
      <c r="S159" s="35" t="n">
        <f>8811.32</f>
        <v>8811.32</v>
      </c>
      <c r="T159" s="32" t="n">
        <f>155690</f>
        <v>155690.0</v>
      </c>
      <c r="U159" s="32" t="str">
        <f>"－"</f>
        <v>－</v>
      </c>
      <c r="V159" s="32" t="n">
        <f>1368371960</f>
        <v>1.36837196E9</v>
      </c>
      <c r="W159" s="32" t="str">
        <f>"－"</f>
        <v>－</v>
      </c>
      <c r="X159" s="36" t="n">
        <f>19</f>
        <v>19.0</v>
      </c>
    </row>
    <row r="160">
      <c r="A160" s="27" t="s">
        <v>42</v>
      </c>
      <c r="B160" s="27" t="s">
        <v>524</v>
      </c>
      <c r="C160" s="27" t="s">
        <v>525</v>
      </c>
      <c r="D160" s="27" t="s">
        <v>526</v>
      </c>
      <c r="E160" s="28" t="s">
        <v>46</v>
      </c>
      <c r="F160" s="29" t="s">
        <v>46</v>
      </c>
      <c r="G160" s="30" t="s">
        <v>46</v>
      </c>
      <c r="H160" s="31"/>
      <c r="I160" s="31" t="s">
        <v>47</v>
      </c>
      <c r="J160" s="32" t="n">
        <v>10.0</v>
      </c>
      <c r="K160" s="33" t="n">
        <f>2385</f>
        <v>2385.0</v>
      </c>
      <c r="L160" s="34" t="s">
        <v>48</v>
      </c>
      <c r="M160" s="33" t="n">
        <f>2385</f>
        <v>2385.0</v>
      </c>
      <c r="N160" s="34" t="s">
        <v>48</v>
      </c>
      <c r="O160" s="33" t="n">
        <f>2090</f>
        <v>2090.0</v>
      </c>
      <c r="P160" s="34" t="s">
        <v>67</v>
      </c>
      <c r="Q160" s="33" t="n">
        <f>2170</f>
        <v>2170.0</v>
      </c>
      <c r="R160" s="34" t="s">
        <v>50</v>
      </c>
      <c r="S160" s="35" t="n">
        <f>2242.42</f>
        <v>2242.42</v>
      </c>
      <c r="T160" s="32" t="n">
        <f>3200</f>
        <v>3200.0</v>
      </c>
      <c r="U160" s="32" t="str">
        <f>"－"</f>
        <v>－</v>
      </c>
      <c r="V160" s="32" t="n">
        <f>7065035</f>
        <v>7065035.0</v>
      </c>
      <c r="W160" s="32" t="str">
        <f>"－"</f>
        <v>－</v>
      </c>
      <c r="X160" s="36" t="n">
        <f>18</f>
        <v>18.0</v>
      </c>
    </row>
    <row r="161">
      <c r="A161" s="27" t="s">
        <v>42</v>
      </c>
      <c r="B161" s="27" t="s">
        <v>527</v>
      </c>
      <c r="C161" s="27" t="s">
        <v>528</v>
      </c>
      <c r="D161" s="27" t="s">
        <v>529</v>
      </c>
      <c r="E161" s="28" t="s">
        <v>46</v>
      </c>
      <c r="F161" s="29" t="s">
        <v>46</v>
      </c>
      <c r="G161" s="30" t="s">
        <v>46</v>
      </c>
      <c r="H161" s="31"/>
      <c r="I161" s="31" t="s">
        <v>47</v>
      </c>
      <c r="J161" s="32" t="n">
        <v>1.0</v>
      </c>
      <c r="K161" s="33" t="n">
        <f>3911</f>
        <v>3911.0</v>
      </c>
      <c r="L161" s="34" t="s">
        <v>48</v>
      </c>
      <c r="M161" s="33" t="n">
        <f>3970</f>
        <v>3970.0</v>
      </c>
      <c r="N161" s="34" t="s">
        <v>66</v>
      </c>
      <c r="O161" s="33" t="n">
        <f>3387</f>
        <v>3387.0</v>
      </c>
      <c r="P161" s="34" t="s">
        <v>78</v>
      </c>
      <c r="Q161" s="33" t="n">
        <f>3437</f>
        <v>3437.0</v>
      </c>
      <c r="R161" s="34" t="s">
        <v>50</v>
      </c>
      <c r="S161" s="35" t="n">
        <f>3578.05</f>
        <v>3578.05</v>
      </c>
      <c r="T161" s="32" t="n">
        <f>175770</f>
        <v>175770.0</v>
      </c>
      <c r="U161" s="32" t="str">
        <f>"－"</f>
        <v>－</v>
      </c>
      <c r="V161" s="32" t="n">
        <f>638408131</f>
        <v>6.38408131E8</v>
      </c>
      <c r="W161" s="32" t="str">
        <f>"－"</f>
        <v>－</v>
      </c>
      <c r="X161" s="36" t="n">
        <f>19</f>
        <v>19.0</v>
      </c>
    </row>
    <row r="162">
      <c r="A162" s="27" t="s">
        <v>42</v>
      </c>
      <c r="B162" s="27" t="s">
        <v>530</v>
      </c>
      <c r="C162" s="27" t="s">
        <v>531</v>
      </c>
      <c r="D162" s="27" t="s">
        <v>532</v>
      </c>
      <c r="E162" s="28" t="s">
        <v>46</v>
      </c>
      <c r="F162" s="29" t="s">
        <v>46</v>
      </c>
      <c r="G162" s="30" t="s">
        <v>46</v>
      </c>
      <c r="H162" s="31"/>
      <c r="I162" s="31" t="s">
        <v>47</v>
      </c>
      <c r="J162" s="32" t="n">
        <v>1.0</v>
      </c>
      <c r="K162" s="33" t="n">
        <f>3350</f>
        <v>3350.0</v>
      </c>
      <c r="L162" s="34" t="s">
        <v>48</v>
      </c>
      <c r="M162" s="33" t="n">
        <f>3374</f>
        <v>3374.0</v>
      </c>
      <c r="N162" s="34" t="s">
        <v>66</v>
      </c>
      <c r="O162" s="33" t="n">
        <f>3104</f>
        <v>3104.0</v>
      </c>
      <c r="P162" s="34" t="s">
        <v>217</v>
      </c>
      <c r="Q162" s="33" t="n">
        <f>3192</f>
        <v>3192.0</v>
      </c>
      <c r="R162" s="34" t="s">
        <v>50</v>
      </c>
      <c r="S162" s="35" t="n">
        <f>3211.42</f>
        <v>3211.42</v>
      </c>
      <c r="T162" s="32" t="n">
        <f>93612</f>
        <v>93612.0</v>
      </c>
      <c r="U162" s="32" t="str">
        <f>"－"</f>
        <v>－</v>
      </c>
      <c r="V162" s="32" t="n">
        <f>303628332</f>
        <v>3.03628332E8</v>
      </c>
      <c r="W162" s="32" t="str">
        <f>"－"</f>
        <v>－</v>
      </c>
      <c r="X162" s="36" t="n">
        <f>19</f>
        <v>19.0</v>
      </c>
    </row>
    <row r="163">
      <c r="A163" s="27" t="s">
        <v>42</v>
      </c>
      <c r="B163" s="27" t="s">
        <v>533</v>
      </c>
      <c r="C163" s="27" t="s">
        <v>534</v>
      </c>
      <c r="D163" s="27" t="s">
        <v>535</v>
      </c>
      <c r="E163" s="28" t="s">
        <v>46</v>
      </c>
      <c r="F163" s="29" t="s">
        <v>46</v>
      </c>
      <c r="G163" s="30" t="s">
        <v>46</v>
      </c>
      <c r="H163" s="31"/>
      <c r="I163" s="31" t="s">
        <v>47</v>
      </c>
      <c r="J163" s="32" t="n">
        <v>10.0</v>
      </c>
      <c r="K163" s="33" t="n">
        <f>4995</f>
        <v>4995.0</v>
      </c>
      <c r="L163" s="34" t="s">
        <v>48</v>
      </c>
      <c r="M163" s="33" t="n">
        <f>5077</f>
        <v>5077.0</v>
      </c>
      <c r="N163" s="34" t="s">
        <v>66</v>
      </c>
      <c r="O163" s="33" t="n">
        <f>4667</f>
        <v>4667.0</v>
      </c>
      <c r="P163" s="34" t="s">
        <v>217</v>
      </c>
      <c r="Q163" s="33" t="n">
        <f>4799</f>
        <v>4799.0</v>
      </c>
      <c r="R163" s="34" t="s">
        <v>50</v>
      </c>
      <c r="S163" s="35" t="n">
        <f>4847.37</f>
        <v>4847.37</v>
      </c>
      <c r="T163" s="32" t="n">
        <f>8100</f>
        <v>8100.0</v>
      </c>
      <c r="U163" s="32" t="str">
        <f>"－"</f>
        <v>－</v>
      </c>
      <c r="V163" s="32" t="n">
        <f>39358480</f>
        <v>3.935848E7</v>
      </c>
      <c r="W163" s="32" t="str">
        <f>"－"</f>
        <v>－</v>
      </c>
      <c r="X163" s="36" t="n">
        <f>19</f>
        <v>19.0</v>
      </c>
    </row>
    <row r="164">
      <c r="A164" s="27" t="s">
        <v>42</v>
      </c>
      <c r="B164" s="27" t="s">
        <v>536</v>
      </c>
      <c r="C164" s="27" t="s">
        <v>537</v>
      </c>
      <c r="D164" s="27" t="s">
        <v>538</v>
      </c>
      <c r="E164" s="28" t="s">
        <v>46</v>
      </c>
      <c r="F164" s="29" t="s">
        <v>46</v>
      </c>
      <c r="G164" s="30" t="s">
        <v>46</v>
      </c>
      <c r="H164" s="31"/>
      <c r="I164" s="31" t="s">
        <v>47</v>
      </c>
      <c r="J164" s="32" t="n">
        <v>1.0</v>
      </c>
      <c r="K164" s="33" t="n">
        <f>4440</f>
        <v>4440.0</v>
      </c>
      <c r="L164" s="34" t="s">
        <v>48</v>
      </c>
      <c r="M164" s="33" t="n">
        <f>4519</f>
        <v>4519.0</v>
      </c>
      <c r="N164" s="34" t="s">
        <v>48</v>
      </c>
      <c r="O164" s="33" t="n">
        <f>4270</f>
        <v>4270.0</v>
      </c>
      <c r="P164" s="34" t="s">
        <v>49</v>
      </c>
      <c r="Q164" s="33" t="n">
        <f>4376</f>
        <v>4376.0</v>
      </c>
      <c r="R164" s="34" t="s">
        <v>50</v>
      </c>
      <c r="S164" s="35" t="n">
        <f>4384.16</f>
        <v>4384.16</v>
      </c>
      <c r="T164" s="32" t="n">
        <f>1155154</f>
        <v>1155154.0</v>
      </c>
      <c r="U164" s="32" t="n">
        <f>129390</f>
        <v>129390.0</v>
      </c>
      <c r="V164" s="32" t="n">
        <f>5072976715</f>
        <v>5.072976715E9</v>
      </c>
      <c r="W164" s="32" t="n">
        <f>572001251</f>
        <v>5.72001251E8</v>
      </c>
      <c r="X164" s="36" t="n">
        <f>19</f>
        <v>19.0</v>
      </c>
    </row>
    <row r="165">
      <c r="A165" s="27" t="s">
        <v>42</v>
      </c>
      <c r="B165" s="27" t="s">
        <v>539</v>
      </c>
      <c r="C165" s="27" t="s">
        <v>540</v>
      </c>
      <c r="D165" s="27" t="s">
        <v>541</v>
      </c>
      <c r="E165" s="28" t="s">
        <v>46</v>
      </c>
      <c r="F165" s="29" t="s">
        <v>46</v>
      </c>
      <c r="G165" s="30" t="s">
        <v>46</v>
      </c>
      <c r="H165" s="31"/>
      <c r="I165" s="31" t="s">
        <v>47</v>
      </c>
      <c r="J165" s="32" t="n">
        <v>10.0</v>
      </c>
      <c r="K165" s="33" t="n">
        <f>654</f>
        <v>654.0</v>
      </c>
      <c r="L165" s="34" t="s">
        <v>48</v>
      </c>
      <c r="M165" s="33" t="n">
        <f>725.5</f>
        <v>725.5</v>
      </c>
      <c r="N165" s="34" t="s">
        <v>67</v>
      </c>
      <c r="O165" s="33" t="n">
        <f>649.2</f>
        <v>649.2</v>
      </c>
      <c r="P165" s="34" t="s">
        <v>270</v>
      </c>
      <c r="Q165" s="33" t="n">
        <f>689.2</f>
        <v>689.2</v>
      </c>
      <c r="R165" s="34" t="s">
        <v>50</v>
      </c>
      <c r="S165" s="35" t="n">
        <f>684.88</f>
        <v>684.88</v>
      </c>
      <c r="T165" s="32" t="n">
        <f>18356240</f>
        <v>1.835624E7</v>
      </c>
      <c r="U165" s="32" t="n">
        <f>96200</f>
        <v>96200.0</v>
      </c>
      <c r="V165" s="32" t="n">
        <f>12810383786</f>
        <v>1.2810383786E10</v>
      </c>
      <c r="W165" s="32" t="n">
        <f>66591607</f>
        <v>6.6591607E7</v>
      </c>
      <c r="X165" s="36" t="n">
        <f>19</f>
        <v>19.0</v>
      </c>
    </row>
    <row r="166">
      <c r="A166" s="27" t="s">
        <v>42</v>
      </c>
      <c r="B166" s="27" t="s">
        <v>542</v>
      </c>
      <c r="C166" s="27" t="s">
        <v>543</v>
      </c>
      <c r="D166" s="27" t="s">
        <v>544</v>
      </c>
      <c r="E166" s="28" t="s">
        <v>46</v>
      </c>
      <c r="F166" s="29" t="s">
        <v>46</v>
      </c>
      <c r="G166" s="30" t="s">
        <v>46</v>
      </c>
      <c r="H166" s="31"/>
      <c r="I166" s="31" t="s">
        <v>47</v>
      </c>
      <c r="J166" s="32" t="n">
        <v>1.0</v>
      </c>
      <c r="K166" s="33" t="n">
        <f>3175</f>
        <v>3175.0</v>
      </c>
      <c r="L166" s="34" t="s">
        <v>48</v>
      </c>
      <c r="M166" s="33" t="n">
        <f>3184</f>
        <v>3184.0</v>
      </c>
      <c r="N166" s="34" t="s">
        <v>48</v>
      </c>
      <c r="O166" s="33" t="n">
        <f>3015</f>
        <v>3015.0</v>
      </c>
      <c r="P166" s="34" t="s">
        <v>49</v>
      </c>
      <c r="Q166" s="33" t="n">
        <f>3150</f>
        <v>3150.0</v>
      </c>
      <c r="R166" s="34" t="s">
        <v>50</v>
      </c>
      <c r="S166" s="35" t="n">
        <f>3109.79</f>
        <v>3109.79</v>
      </c>
      <c r="T166" s="32" t="n">
        <f>3589</f>
        <v>3589.0</v>
      </c>
      <c r="U166" s="32" t="str">
        <f>"－"</f>
        <v>－</v>
      </c>
      <c r="V166" s="32" t="n">
        <f>11154896</f>
        <v>1.1154896E7</v>
      </c>
      <c r="W166" s="32" t="str">
        <f>"－"</f>
        <v>－</v>
      </c>
      <c r="X166" s="36" t="n">
        <f>19</f>
        <v>19.0</v>
      </c>
    </row>
    <row r="167">
      <c r="A167" s="27" t="s">
        <v>42</v>
      </c>
      <c r="B167" s="27" t="s">
        <v>545</v>
      </c>
      <c r="C167" s="27" t="s">
        <v>546</v>
      </c>
      <c r="D167" s="27" t="s">
        <v>547</v>
      </c>
      <c r="E167" s="28" t="s">
        <v>46</v>
      </c>
      <c r="F167" s="29" t="s">
        <v>46</v>
      </c>
      <c r="G167" s="30" t="s">
        <v>46</v>
      </c>
      <c r="H167" s="31"/>
      <c r="I167" s="31" t="s">
        <v>47</v>
      </c>
      <c r="J167" s="32" t="n">
        <v>1.0</v>
      </c>
      <c r="K167" s="33" t="n">
        <f>1680</f>
        <v>1680.0</v>
      </c>
      <c r="L167" s="34" t="s">
        <v>48</v>
      </c>
      <c r="M167" s="33" t="n">
        <f>1682</f>
        <v>1682.0</v>
      </c>
      <c r="N167" s="34" t="s">
        <v>48</v>
      </c>
      <c r="O167" s="33" t="n">
        <f>1515</f>
        <v>1515.0</v>
      </c>
      <c r="P167" s="34" t="s">
        <v>221</v>
      </c>
      <c r="Q167" s="33" t="n">
        <f>1664</f>
        <v>1664.0</v>
      </c>
      <c r="R167" s="34" t="s">
        <v>50</v>
      </c>
      <c r="S167" s="35" t="n">
        <f>1626.95</f>
        <v>1626.95</v>
      </c>
      <c r="T167" s="32" t="n">
        <f>206721</f>
        <v>206721.0</v>
      </c>
      <c r="U167" s="32" t="str">
        <f>"－"</f>
        <v>－</v>
      </c>
      <c r="V167" s="32" t="n">
        <f>333019044</f>
        <v>3.33019044E8</v>
      </c>
      <c r="W167" s="32" t="str">
        <f>"－"</f>
        <v>－</v>
      </c>
      <c r="X167" s="36" t="n">
        <f>19</f>
        <v>19.0</v>
      </c>
    </row>
    <row r="168">
      <c r="A168" s="27" t="s">
        <v>42</v>
      </c>
      <c r="B168" s="27" t="s">
        <v>548</v>
      </c>
      <c r="C168" s="27" t="s">
        <v>549</v>
      </c>
      <c r="D168" s="27" t="s">
        <v>550</v>
      </c>
      <c r="E168" s="28" t="s">
        <v>46</v>
      </c>
      <c r="F168" s="29" t="s">
        <v>46</v>
      </c>
      <c r="G168" s="30" t="s">
        <v>46</v>
      </c>
      <c r="H168" s="31"/>
      <c r="I168" s="31" t="s">
        <v>47</v>
      </c>
      <c r="J168" s="32" t="n">
        <v>10.0</v>
      </c>
      <c r="K168" s="33" t="n">
        <f>239.8</f>
        <v>239.8</v>
      </c>
      <c r="L168" s="34" t="s">
        <v>48</v>
      </c>
      <c r="M168" s="33" t="n">
        <f>240.9</f>
        <v>240.9</v>
      </c>
      <c r="N168" s="34" t="s">
        <v>217</v>
      </c>
      <c r="O168" s="33" t="n">
        <f>228.8</f>
        <v>228.8</v>
      </c>
      <c r="P168" s="34" t="s">
        <v>78</v>
      </c>
      <c r="Q168" s="33" t="n">
        <f>228.8</f>
        <v>228.8</v>
      </c>
      <c r="R168" s="34" t="s">
        <v>50</v>
      </c>
      <c r="S168" s="35" t="n">
        <f>236.54</f>
        <v>236.54</v>
      </c>
      <c r="T168" s="32" t="n">
        <f>1613460</f>
        <v>1613460.0</v>
      </c>
      <c r="U168" s="32" t="str">
        <f>"－"</f>
        <v>－</v>
      </c>
      <c r="V168" s="32" t="n">
        <f>384946341</f>
        <v>3.84946341E8</v>
      </c>
      <c r="W168" s="32" t="str">
        <f>"－"</f>
        <v>－</v>
      </c>
      <c r="X168" s="36" t="n">
        <f>19</f>
        <v>19.0</v>
      </c>
    </row>
    <row r="169">
      <c r="A169" s="27" t="s">
        <v>42</v>
      </c>
      <c r="B169" s="27" t="s">
        <v>551</v>
      </c>
      <c r="C169" s="27" t="s">
        <v>552</v>
      </c>
      <c r="D169" s="27" t="s">
        <v>553</v>
      </c>
      <c r="E169" s="28" t="s">
        <v>46</v>
      </c>
      <c r="F169" s="29" t="s">
        <v>46</v>
      </c>
      <c r="G169" s="30" t="s">
        <v>46</v>
      </c>
      <c r="H169" s="31"/>
      <c r="I169" s="31" t="s">
        <v>47</v>
      </c>
      <c r="J169" s="32" t="n">
        <v>10.0</v>
      </c>
      <c r="K169" s="33" t="n">
        <f>282.2</f>
        <v>282.2</v>
      </c>
      <c r="L169" s="34" t="s">
        <v>48</v>
      </c>
      <c r="M169" s="33" t="n">
        <f>282.2</f>
        <v>282.2</v>
      </c>
      <c r="N169" s="34" t="s">
        <v>48</v>
      </c>
      <c r="O169" s="33" t="n">
        <f>265</f>
        <v>265.0</v>
      </c>
      <c r="P169" s="34" t="s">
        <v>50</v>
      </c>
      <c r="Q169" s="33" t="n">
        <f>267.2</f>
        <v>267.2</v>
      </c>
      <c r="R169" s="34" t="s">
        <v>50</v>
      </c>
      <c r="S169" s="35" t="n">
        <f>272.59</f>
        <v>272.59</v>
      </c>
      <c r="T169" s="32" t="n">
        <f>4408110</f>
        <v>4408110.0</v>
      </c>
      <c r="U169" s="32" t="str">
        <f>"－"</f>
        <v>－</v>
      </c>
      <c r="V169" s="32" t="n">
        <f>1200044855</f>
        <v>1.200044855E9</v>
      </c>
      <c r="W169" s="32" t="str">
        <f>"－"</f>
        <v>－</v>
      </c>
      <c r="X169" s="36" t="n">
        <f>19</f>
        <v>19.0</v>
      </c>
    </row>
    <row r="170">
      <c r="A170" s="27" t="s">
        <v>42</v>
      </c>
      <c r="B170" s="27" t="s">
        <v>554</v>
      </c>
      <c r="C170" s="27" t="s">
        <v>555</v>
      </c>
      <c r="D170" s="27" t="s">
        <v>556</v>
      </c>
      <c r="E170" s="28" t="s">
        <v>46</v>
      </c>
      <c r="F170" s="29" t="s">
        <v>46</v>
      </c>
      <c r="G170" s="30" t="s">
        <v>46</v>
      </c>
      <c r="H170" s="31"/>
      <c r="I170" s="31" t="s">
        <v>47</v>
      </c>
      <c r="J170" s="32" t="n">
        <v>10.0</v>
      </c>
      <c r="K170" s="33" t="n">
        <f>534</f>
        <v>534.0</v>
      </c>
      <c r="L170" s="34" t="s">
        <v>48</v>
      </c>
      <c r="M170" s="33" t="n">
        <f>534</f>
        <v>534.0</v>
      </c>
      <c r="N170" s="34" t="s">
        <v>48</v>
      </c>
      <c r="O170" s="33" t="n">
        <f>511.2</f>
        <v>511.2</v>
      </c>
      <c r="P170" s="34" t="s">
        <v>98</v>
      </c>
      <c r="Q170" s="33" t="n">
        <f>520</f>
        <v>520.0</v>
      </c>
      <c r="R170" s="34" t="s">
        <v>50</v>
      </c>
      <c r="S170" s="35" t="n">
        <f>519.62</f>
        <v>519.62</v>
      </c>
      <c r="T170" s="32" t="n">
        <f>7145980</f>
        <v>7145980.0</v>
      </c>
      <c r="U170" s="32" t="n">
        <f>5867900</f>
        <v>5867900.0</v>
      </c>
      <c r="V170" s="32" t="n">
        <f>3682434653</f>
        <v>3.682434653E9</v>
      </c>
      <c r="W170" s="32" t="n">
        <f>3024862889</f>
        <v>3.024862889E9</v>
      </c>
      <c r="X170" s="36" t="n">
        <f>17</f>
        <v>17.0</v>
      </c>
    </row>
    <row r="171">
      <c r="A171" s="27" t="s">
        <v>42</v>
      </c>
      <c r="B171" s="27" t="s">
        <v>557</v>
      </c>
      <c r="C171" s="27" t="s">
        <v>558</v>
      </c>
      <c r="D171" s="27" t="s">
        <v>559</v>
      </c>
      <c r="E171" s="28" t="s">
        <v>46</v>
      </c>
      <c r="F171" s="29" t="s">
        <v>46</v>
      </c>
      <c r="G171" s="30" t="s">
        <v>46</v>
      </c>
      <c r="H171" s="31"/>
      <c r="I171" s="31" t="s">
        <v>47</v>
      </c>
      <c r="J171" s="32" t="n">
        <v>10.0</v>
      </c>
      <c r="K171" s="33" t="n">
        <f>488.6</f>
        <v>488.6</v>
      </c>
      <c r="L171" s="34" t="s">
        <v>48</v>
      </c>
      <c r="M171" s="33" t="n">
        <f>488.6</f>
        <v>488.6</v>
      </c>
      <c r="N171" s="34" t="s">
        <v>48</v>
      </c>
      <c r="O171" s="33" t="n">
        <f>459.2</f>
        <v>459.2</v>
      </c>
      <c r="P171" s="34" t="s">
        <v>50</v>
      </c>
      <c r="Q171" s="33" t="n">
        <f>461.1</f>
        <v>461.1</v>
      </c>
      <c r="R171" s="34" t="s">
        <v>50</v>
      </c>
      <c r="S171" s="35" t="n">
        <f>471.77</f>
        <v>471.77</v>
      </c>
      <c r="T171" s="32" t="n">
        <f>352860</f>
        <v>352860.0</v>
      </c>
      <c r="U171" s="32" t="str">
        <f>"－"</f>
        <v>－</v>
      </c>
      <c r="V171" s="32" t="n">
        <f>167371308</f>
        <v>1.67371308E8</v>
      </c>
      <c r="W171" s="32" t="str">
        <f>"－"</f>
        <v>－</v>
      </c>
      <c r="X171" s="36" t="n">
        <f>19</f>
        <v>19.0</v>
      </c>
    </row>
    <row r="172">
      <c r="A172" s="27" t="s">
        <v>42</v>
      </c>
      <c r="B172" s="27" t="s">
        <v>560</v>
      </c>
      <c r="C172" s="27" t="s">
        <v>561</v>
      </c>
      <c r="D172" s="27" t="s">
        <v>562</v>
      </c>
      <c r="E172" s="28" t="s">
        <v>46</v>
      </c>
      <c r="F172" s="29" t="s">
        <v>46</v>
      </c>
      <c r="G172" s="30" t="s">
        <v>46</v>
      </c>
      <c r="H172" s="31"/>
      <c r="I172" s="31" t="s">
        <v>47</v>
      </c>
      <c r="J172" s="32" t="n">
        <v>10.0</v>
      </c>
      <c r="K172" s="33" t="n">
        <f>427.5</f>
        <v>427.5</v>
      </c>
      <c r="L172" s="34" t="s">
        <v>66</v>
      </c>
      <c r="M172" s="33" t="n">
        <f>430.1</f>
        <v>430.1</v>
      </c>
      <c r="N172" s="34" t="s">
        <v>98</v>
      </c>
      <c r="O172" s="33" t="n">
        <f>408.9</f>
        <v>408.9</v>
      </c>
      <c r="P172" s="34" t="s">
        <v>50</v>
      </c>
      <c r="Q172" s="33" t="n">
        <f>409.8</f>
        <v>409.8</v>
      </c>
      <c r="R172" s="34" t="s">
        <v>50</v>
      </c>
      <c r="S172" s="35" t="n">
        <f>422.63</f>
        <v>422.63</v>
      </c>
      <c r="T172" s="32" t="n">
        <f>953260</f>
        <v>953260.0</v>
      </c>
      <c r="U172" s="32" t="str">
        <f>"－"</f>
        <v>－</v>
      </c>
      <c r="V172" s="32" t="n">
        <f>399108344</f>
        <v>3.99108344E8</v>
      </c>
      <c r="W172" s="32" t="str">
        <f>"－"</f>
        <v>－</v>
      </c>
      <c r="X172" s="36" t="n">
        <f>15</f>
        <v>15.0</v>
      </c>
    </row>
    <row r="173">
      <c r="A173" s="27" t="s">
        <v>42</v>
      </c>
      <c r="B173" s="27" t="s">
        <v>563</v>
      </c>
      <c r="C173" s="27" t="s">
        <v>564</v>
      </c>
      <c r="D173" s="27" t="s">
        <v>565</v>
      </c>
      <c r="E173" s="28" t="s">
        <v>46</v>
      </c>
      <c r="F173" s="29" t="s">
        <v>46</v>
      </c>
      <c r="G173" s="30" t="s">
        <v>46</v>
      </c>
      <c r="H173" s="31"/>
      <c r="I173" s="31" t="s">
        <v>47</v>
      </c>
      <c r="J173" s="32" t="n">
        <v>1.0</v>
      </c>
      <c r="K173" s="33" t="n">
        <f>883</f>
        <v>883.0</v>
      </c>
      <c r="L173" s="34" t="s">
        <v>48</v>
      </c>
      <c r="M173" s="33" t="n">
        <f>890</f>
        <v>890.0</v>
      </c>
      <c r="N173" s="34" t="s">
        <v>48</v>
      </c>
      <c r="O173" s="33" t="n">
        <f>798</f>
        <v>798.0</v>
      </c>
      <c r="P173" s="34" t="s">
        <v>50</v>
      </c>
      <c r="Q173" s="33" t="n">
        <f>801</f>
        <v>801.0</v>
      </c>
      <c r="R173" s="34" t="s">
        <v>50</v>
      </c>
      <c r="S173" s="35" t="n">
        <f>831.42</f>
        <v>831.42</v>
      </c>
      <c r="T173" s="32" t="n">
        <f>121957</f>
        <v>121957.0</v>
      </c>
      <c r="U173" s="32" t="str">
        <f>"－"</f>
        <v>－</v>
      </c>
      <c r="V173" s="32" t="n">
        <f>100720684</f>
        <v>1.00720684E8</v>
      </c>
      <c r="W173" s="32" t="str">
        <f>"－"</f>
        <v>－</v>
      </c>
      <c r="X173" s="36" t="n">
        <f>19</f>
        <v>19.0</v>
      </c>
    </row>
    <row r="174">
      <c r="A174" s="27" t="s">
        <v>42</v>
      </c>
      <c r="B174" s="27" t="s">
        <v>566</v>
      </c>
      <c r="C174" s="27" t="s">
        <v>567</v>
      </c>
      <c r="D174" s="27" t="s">
        <v>568</v>
      </c>
      <c r="E174" s="28" t="s">
        <v>46</v>
      </c>
      <c r="F174" s="29" t="s">
        <v>46</v>
      </c>
      <c r="G174" s="30" t="s">
        <v>46</v>
      </c>
      <c r="H174" s="31"/>
      <c r="I174" s="31" t="s">
        <v>47</v>
      </c>
      <c r="J174" s="32" t="n">
        <v>1.0</v>
      </c>
      <c r="K174" s="33" t="n">
        <f>4251</f>
        <v>4251.0</v>
      </c>
      <c r="L174" s="34" t="s">
        <v>48</v>
      </c>
      <c r="M174" s="33" t="n">
        <f>4599</f>
        <v>4599.0</v>
      </c>
      <c r="N174" s="34" t="s">
        <v>98</v>
      </c>
      <c r="O174" s="33" t="n">
        <f>3966</f>
        <v>3966.0</v>
      </c>
      <c r="P174" s="34" t="s">
        <v>71</v>
      </c>
      <c r="Q174" s="33" t="n">
        <f>4515</f>
        <v>4515.0</v>
      </c>
      <c r="R174" s="34" t="s">
        <v>50</v>
      </c>
      <c r="S174" s="35" t="n">
        <f>4303.95</f>
        <v>4303.95</v>
      </c>
      <c r="T174" s="32" t="n">
        <f>29418658</f>
        <v>2.9418658E7</v>
      </c>
      <c r="U174" s="32" t="n">
        <f>710288</f>
        <v>710288.0</v>
      </c>
      <c r="V174" s="32" t="n">
        <f>126251961017</f>
        <v>1.26251961017E11</v>
      </c>
      <c r="W174" s="32" t="n">
        <f>3060330173</f>
        <v>3.060330173E9</v>
      </c>
      <c r="X174" s="36" t="n">
        <f>19</f>
        <v>19.0</v>
      </c>
    </row>
    <row r="175">
      <c r="A175" s="27" t="s">
        <v>42</v>
      </c>
      <c r="B175" s="27" t="s">
        <v>569</v>
      </c>
      <c r="C175" s="27" t="s">
        <v>570</v>
      </c>
      <c r="D175" s="27" t="s">
        <v>571</v>
      </c>
      <c r="E175" s="28" t="s">
        <v>46</v>
      </c>
      <c r="F175" s="29" t="s">
        <v>46</v>
      </c>
      <c r="G175" s="30" t="s">
        <v>46</v>
      </c>
      <c r="H175" s="31"/>
      <c r="I175" s="31" t="s">
        <v>47</v>
      </c>
      <c r="J175" s="32" t="n">
        <v>10.0</v>
      </c>
      <c r="K175" s="33" t="n">
        <f>868.8</f>
        <v>868.8</v>
      </c>
      <c r="L175" s="34" t="s">
        <v>48</v>
      </c>
      <c r="M175" s="33" t="n">
        <f>888</f>
        <v>888.0</v>
      </c>
      <c r="N175" s="34" t="s">
        <v>48</v>
      </c>
      <c r="O175" s="33" t="n">
        <f>832.6</f>
        <v>832.6</v>
      </c>
      <c r="P175" s="34" t="s">
        <v>49</v>
      </c>
      <c r="Q175" s="33" t="n">
        <f>869.5</f>
        <v>869.5</v>
      </c>
      <c r="R175" s="34" t="s">
        <v>50</v>
      </c>
      <c r="S175" s="35" t="n">
        <f>858.29</f>
        <v>858.29</v>
      </c>
      <c r="T175" s="32" t="n">
        <f>888110</f>
        <v>888110.0</v>
      </c>
      <c r="U175" s="32" t="n">
        <f>406570</f>
        <v>406570.0</v>
      </c>
      <c r="V175" s="32" t="n">
        <f>762196479</f>
        <v>7.62196479E8</v>
      </c>
      <c r="W175" s="32" t="n">
        <f>351016064</f>
        <v>3.51016064E8</v>
      </c>
      <c r="X175" s="36" t="n">
        <f>19</f>
        <v>19.0</v>
      </c>
    </row>
    <row r="176">
      <c r="A176" s="27" t="s">
        <v>42</v>
      </c>
      <c r="B176" s="27" t="s">
        <v>572</v>
      </c>
      <c r="C176" s="27" t="s">
        <v>573</v>
      </c>
      <c r="D176" s="27" t="s">
        <v>574</v>
      </c>
      <c r="E176" s="28" t="s">
        <v>46</v>
      </c>
      <c r="F176" s="29" t="s">
        <v>46</v>
      </c>
      <c r="G176" s="30" t="s">
        <v>46</v>
      </c>
      <c r="H176" s="31"/>
      <c r="I176" s="31" t="s">
        <v>47</v>
      </c>
      <c r="J176" s="32" t="n">
        <v>10.0</v>
      </c>
      <c r="K176" s="33" t="n">
        <f>243.2</f>
        <v>243.2</v>
      </c>
      <c r="L176" s="34" t="s">
        <v>48</v>
      </c>
      <c r="M176" s="33" t="n">
        <f>244.2</f>
        <v>244.2</v>
      </c>
      <c r="N176" s="34" t="s">
        <v>66</v>
      </c>
      <c r="O176" s="33" t="n">
        <f>232.8</f>
        <v>232.8</v>
      </c>
      <c r="P176" s="34" t="s">
        <v>98</v>
      </c>
      <c r="Q176" s="33" t="n">
        <f>239.2</f>
        <v>239.2</v>
      </c>
      <c r="R176" s="34" t="s">
        <v>50</v>
      </c>
      <c r="S176" s="35" t="n">
        <f>238.11</f>
        <v>238.11</v>
      </c>
      <c r="T176" s="32" t="n">
        <f>16487050</f>
        <v>1.648705E7</v>
      </c>
      <c r="U176" s="32" t="n">
        <f>10823700</f>
        <v>1.08237E7</v>
      </c>
      <c r="V176" s="32" t="n">
        <f>3883268189</f>
        <v>3.883268189E9</v>
      </c>
      <c r="W176" s="32" t="n">
        <f>2539938070</f>
        <v>2.53993807E9</v>
      </c>
      <c r="X176" s="36" t="n">
        <f>19</f>
        <v>19.0</v>
      </c>
    </row>
    <row r="177">
      <c r="A177" s="27" t="s">
        <v>42</v>
      </c>
      <c r="B177" s="27" t="s">
        <v>575</v>
      </c>
      <c r="C177" s="27" t="s">
        <v>576</v>
      </c>
      <c r="D177" s="27" t="s">
        <v>577</v>
      </c>
      <c r="E177" s="28" t="s">
        <v>46</v>
      </c>
      <c r="F177" s="29" t="s">
        <v>46</v>
      </c>
      <c r="G177" s="30" t="s">
        <v>46</v>
      </c>
      <c r="H177" s="31"/>
      <c r="I177" s="31" t="s">
        <v>47</v>
      </c>
      <c r="J177" s="32" t="n">
        <v>10.0</v>
      </c>
      <c r="K177" s="33" t="n">
        <f>316.9</f>
        <v>316.9</v>
      </c>
      <c r="L177" s="34" t="s">
        <v>48</v>
      </c>
      <c r="M177" s="33" t="n">
        <f>319.5</f>
        <v>319.5</v>
      </c>
      <c r="N177" s="34" t="s">
        <v>66</v>
      </c>
      <c r="O177" s="33" t="n">
        <f>297.7</f>
        <v>297.7</v>
      </c>
      <c r="P177" s="34" t="s">
        <v>50</v>
      </c>
      <c r="Q177" s="33" t="n">
        <f>298.7</f>
        <v>298.7</v>
      </c>
      <c r="R177" s="34" t="s">
        <v>50</v>
      </c>
      <c r="S177" s="35" t="n">
        <f>305.21</f>
        <v>305.21</v>
      </c>
      <c r="T177" s="32" t="n">
        <f>4823610</f>
        <v>4823610.0</v>
      </c>
      <c r="U177" s="32" t="n">
        <f>511120</f>
        <v>511120.0</v>
      </c>
      <c r="V177" s="32" t="n">
        <f>1471475175</f>
        <v>1.471475175E9</v>
      </c>
      <c r="W177" s="32" t="n">
        <f>157595596</f>
        <v>1.57595596E8</v>
      </c>
      <c r="X177" s="36" t="n">
        <f>19</f>
        <v>19.0</v>
      </c>
    </row>
    <row r="178">
      <c r="A178" s="27" t="s">
        <v>42</v>
      </c>
      <c r="B178" s="27" t="s">
        <v>578</v>
      </c>
      <c r="C178" s="27" t="s">
        <v>579</v>
      </c>
      <c r="D178" s="27" t="s">
        <v>580</v>
      </c>
      <c r="E178" s="28" t="s">
        <v>46</v>
      </c>
      <c r="F178" s="29" t="s">
        <v>46</v>
      </c>
      <c r="G178" s="30" t="s">
        <v>46</v>
      </c>
      <c r="H178" s="31"/>
      <c r="I178" s="31" t="s">
        <v>47</v>
      </c>
      <c r="J178" s="32" t="n">
        <v>10.0</v>
      </c>
      <c r="K178" s="33" t="n">
        <f>322.1</f>
        <v>322.1</v>
      </c>
      <c r="L178" s="34" t="s">
        <v>48</v>
      </c>
      <c r="M178" s="33" t="n">
        <f>322.9</f>
        <v>322.9</v>
      </c>
      <c r="N178" s="34" t="s">
        <v>48</v>
      </c>
      <c r="O178" s="33" t="n">
        <f>305.6</f>
        <v>305.6</v>
      </c>
      <c r="P178" s="34" t="s">
        <v>508</v>
      </c>
      <c r="Q178" s="33" t="n">
        <f>306.7</f>
        <v>306.7</v>
      </c>
      <c r="R178" s="34" t="s">
        <v>50</v>
      </c>
      <c r="S178" s="35" t="n">
        <f>311.21</f>
        <v>311.21</v>
      </c>
      <c r="T178" s="32" t="n">
        <f>2857480</f>
        <v>2857480.0</v>
      </c>
      <c r="U178" s="32" t="n">
        <f>165500</f>
        <v>165500.0</v>
      </c>
      <c r="V178" s="32" t="n">
        <f>893236731</f>
        <v>8.93236731E8</v>
      </c>
      <c r="W178" s="32" t="n">
        <f>50892240</f>
        <v>5.089224E7</v>
      </c>
      <c r="X178" s="36" t="n">
        <f>19</f>
        <v>19.0</v>
      </c>
    </row>
    <row r="179">
      <c r="A179" s="27" t="s">
        <v>42</v>
      </c>
      <c r="B179" s="27" t="s">
        <v>581</v>
      </c>
      <c r="C179" s="27" t="s">
        <v>582</v>
      </c>
      <c r="D179" s="27" t="s">
        <v>583</v>
      </c>
      <c r="E179" s="28" t="s">
        <v>46</v>
      </c>
      <c r="F179" s="29" t="s">
        <v>46</v>
      </c>
      <c r="G179" s="30" t="s">
        <v>46</v>
      </c>
      <c r="H179" s="31"/>
      <c r="I179" s="31" t="s">
        <v>47</v>
      </c>
      <c r="J179" s="32" t="n">
        <v>1.0</v>
      </c>
      <c r="K179" s="33" t="n">
        <f>2130</f>
        <v>2130.0</v>
      </c>
      <c r="L179" s="34" t="s">
        <v>48</v>
      </c>
      <c r="M179" s="33" t="n">
        <f>2131</f>
        <v>2131.0</v>
      </c>
      <c r="N179" s="34" t="s">
        <v>48</v>
      </c>
      <c r="O179" s="33" t="n">
        <f>2019</f>
        <v>2019.0</v>
      </c>
      <c r="P179" s="34" t="s">
        <v>71</v>
      </c>
      <c r="Q179" s="33" t="n">
        <f>2030</f>
        <v>2030.0</v>
      </c>
      <c r="R179" s="34" t="s">
        <v>50</v>
      </c>
      <c r="S179" s="35" t="n">
        <f>2056.89</f>
        <v>2056.89</v>
      </c>
      <c r="T179" s="32" t="n">
        <f>120869</f>
        <v>120869.0</v>
      </c>
      <c r="U179" s="32" t="n">
        <f>94600</f>
        <v>94600.0</v>
      </c>
      <c r="V179" s="32" t="n">
        <f>253983944</f>
        <v>2.53983944E8</v>
      </c>
      <c r="W179" s="32" t="n">
        <f>200077826</f>
        <v>2.00077826E8</v>
      </c>
      <c r="X179" s="36" t="n">
        <f>19</f>
        <v>19.0</v>
      </c>
    </row>
    <row r="180">
      <c r="A180" s="27" t="s">
        <v>42</v>
      </c>
      <c r="B180" s="27" t="s">
        <v>584</v>
      </c>
      <c r="C180" s="27" t="s">
        <v>585</v>
      </c>
      <c r="D180" s="27" t="s">
        <v>586</v>
      </c>
      <c r="E180" s="28" t="s">
        <v>46</v>
      </c>
      <c r="F180" s="29" t="s">
        <v>46</v>
      </c>
      <c r="G180" s="30" t="s">
        <v>46</v>
      </c>
      <c r="H180" s="31"/>
      <c r="I180" s="31" t="s">
        <v>47</v>
      </c>
      <c r="J180" s="32" t="n">
        <v>1.0</v>
      </c>
      <c r="K180" s="33" t="n">
        <f>1744</f>
        <v>1744.0</v>
      </c>
      <c r="L180" s="34" t="s">
        <v>48</v>
      </c>
      <c r="M180" s="33" t="n">
        <f>1746</f>
        <v>1746.0</v>
      </c>
      <c r="N180" s="34" t="s">
        <v>270</v>
      </c>
      <c r="O180" s="33" t="n">
        <f>1684</f>
        <v>1684.0</v>
      </c>
      <c r="P180" s="34" t="s">
        <v>78</v>
      </c>
      <c r="Q180" s="33" t="n">
        <f>1687</f>
        <v>1687.0</v>
      </c>
      <c r="R180" s="34" t="s">
        <v>50</v>
      </c>
      <c r="S180" s="35" t="n">
        <f>1720.58</f>
        <v>1720.58</v>
      </c>
      <c r="T180" s="32" t="n">
        <f>1737426</f>
        <v>1737426.0</v>
      </c>
      <c r="U180" s="32" t="str">
        <f>"－"</f>
        <v>－</v>
      </c>
      <c r="V180" s="32" t="n">
        <f>2980906175</f>
        <v>2.980906175E9</v>
      </c>
      <c r="W180" s="32" t="str">
        <f>"－"</f>
        <v>－</v>
      </c>
      <c r="X180" s="36" t="n">
        <f>19</f>
        <v>19.0</v>
      </c>
    </row>
    <row r="181">
      <c r="A181" s="27" t="s">
        <v>42</v>
      </c>
      <c r="B181" s="27" t="s">
        <v>587</v>
      </c>
      <c r="C181" s="27" t="s">
        <v>588</v>
      </c>
      <c r="D181" s="27" t="s">
        <v>589</v>
      </c>
      <c r="E181" s="28" t="s">
        <v>46</v>
      </c>
      <c r="F181" s="29" t="s">
        <v>46</v>
      </c>
      <c r="G181" s="30" t="s">
        <v>46</v>
      </c>
      <c r="H181" s="31"/>
      <c r="I181" s="31" t="s">
        <v>47</v>
      </c>
      <c r="J181" s="32" t="n">
        <v>1.0</v>
      </c>
      <c r="K181" s="33" t="n">
        <f>1543</f>
        <v>1543.0</v>
      </c>
      <c r="L181" s="34" t="s">
        <v>48</v>
      </c>
      <c r="M181" s="33" t="n">
        <f>1557</f>
        <v>1557.0</v>
      </c>
      <c r="N181" s="34" t="s">
        <v>48</v>
      </c>
      <c r="O181" s="33" t="n">
        <f>1480</f>
        <v>1480.0</v>
      </c>
      <c r="P181" s="34" t="s">
        <v>49</v>
      </c>
      <c r="Q181" s="33" t="n">
        <f>1529</f>
        <v>1529.0</v>
      </c>
      <c r="R181" s="34" t="s">
        <v>50</v>
      </c>
      <c r="S181" s="35" t="n">
        <f>1523.11</f>
        <v>1523.11</v>
      </c>
      <c r="T181" s="32" t="n">
        <f>1204204</f>
        <v>1204204.0</v>
      </c>
      <c r="U181" s="32" t="n">
        <f>661091</f>
        <v>661091.0</v>
      </c>
      <c r="V181" s="32" t="n">
        <f>1823923211</f>
        <v>1.823923211E9</v>
      </c>
      <c r="W181" s="32" t="n">
        <f>1000071294</f>
        <v>1.000071294E9</v>
      </c>
      <c r="X181" s="36" t="n">
        <f>19</f>
        <v>19.0</v>
      </c>
    </row>
    <row r="182">
      <c r="A182" s="27" t="s">
        <v>42</v>
      </c>
      <c r="B182" s="27" t="s">
        <v>590</v>
      </c>
      <c r="C182" s="27" t="s">
        <v>591</v>
      </c>
      <c r="D182" s="27" t="s">
        <v>592</v>
      </c>
      <c r="E182" s="28" t="s">
        <v>46</v>
      </c>
      <c r="F182" s="29" t="s">
        <v>46</v>
      </c>
      <c r="G182" s="30" t="s">
        <v>46</v>
      </c>
      <c r="H182" s="31"/>
      <c r="I182" s="31" t="s">
        <v>47</v>
      </c>
      <c r="J182" s="32" t="n">
        <v>1.0</v>
      </c>
      <c r="K182" s="33" t="n">
        <f>1283</f>
        <v>1283.0</v>
      </c>
      <c r="L182" s="34" t="s">
        <v>48</v>
      </c>
      <c r="M182" s="33" t="n">
        <f>1287</f>
        <v>1287.0</v>
      </c>
      <c r="N182" s="34" t="s">
        <v>48</v>
      </c>
      <c r="O182" s="33" t="n">
        <f>1200</f>
        <v>1200.0</v>
      </c>
      <c r="P182" s="34" t="s">
        <v>78</v>
      </c>
      <c r="Q182" s="33" t="n">
        <f>1204</f>
        <v>1204.0</v>
      </c>
      <c r="R182" s="34" t="s">
        <v>50</v>
      </c>
      <c r="S182" s="35" t="n">
        <f>1229.58</f>
        <v>1229.58</v>
      </c>
      <c r="T182" s="32" t="n">
        <f>29808</f>
        <v>29808.0</v>
      </c>
      <c r="U182" s="32" t="str">
        <f>"－"</f>
        <v>－</v>
      </c>
      <c r="V182" s="32" t="n">
        <f>36894869</f>
        <v>3.6894869E7</v>
      </c>
      <c r="W182" s="32" t="str">
        <f>"－"</f>
        <v>－</v>
      </c>
      <c r="X182" s="36" t="n">
        <f>19</f>
        <v>19.0</v>
      </c>
    </row>
    <row r="183">
      <c r="A183" s="27" t="s">
        <v>42</v>
      </c>
      <c r="B183" s="27" t="s">
        <v>593</v>
      </c>
      <c r="C183" s="27" t="s">
        <v>594</v>
      </c>
      <c r="D183" s="27" t="s">
        <v>595</v>
      </c>
      <c r="E183" s="28" t="s">
        <v>46</v>
      </c>
      <c r="F183" s="29" t="s">
        <v>46</v>
      </c>
      <c r="G183" s="30" t="s">
        <v>46</v>
      </c>
      <c r="H183" s="31"/>
      <c r="I183" s="31" t="s">
        <v>47</v>
      </c>
      <c r="J183" s="32" t="n">
        <v>1.0</v>
      </c>
      <c r="K183" s="33" t="n">
        <f>1021</f>
        <v>1021.0</v>
      </c>
      <c r="L183" s="34" t="s">
        <v>48</v>
      </c>
      <c r="M183" s="33" t="n">
        <f>1027</f>
        <v>1027.0</v>
      </c>
      <c r="N183" s="34" t="s">
        <v>48</v>
      </c>
      <c r="O183" s="33" t="n">
        <f>951</f>
        <v>951.0</v>
      </c>
      <c r="P183" s="34" t="s">
        <v>50</v>
      </c>
      <c r="Q183" s="33" t="n">
        <f>953</f>
        <v>953.0</v>
      </c>
      <c r="R183" s="34" t="s">
        <v>50</v>
      </c>
      <c r="S183" s="35" t="n">
        <f>981.16</f>
        <v>981.16</v>
      </c>
      <c r="T183" s="32" t="n">
        <f>178439</f>
        <v>178439.0</v>
      </c>
      <c r="U183" s="32" t="n">
        <f>6</f>
        <v>6.0</v>
      </c>
      <c r="V183" s="32" t="n">
        <f>175131637</f>
        <v>1.75131637E8</v>
      </c>
      <c r="W183" s="32" t="n">
        <f>5796</f>
        <v>5796.0</v>
      </c>
      <c r="X183" s="36" t="n">
        <f>19</f>
        <v>19.0</v>
      </c>
    </row>
    <row r="184">
      <c r="A184" s="27" t="s">
        <v>42</v>
      </c>
      <c r="B184" s="27" t="s">
        <v>596</v>
      </c>
      <c r="C184" s="27" t="s">
        <v>597</v>
      </c>
      <c r="D184" s="27" t="s">
        <v>598</v>
      </c>
      <c r="E184" s="28" t="s">
        <v>46</v>
      </c>
      <c r="F184" s="29" t="s">
        <v>46</v>
      </c>
      <c r="G184" s="30" t="s">
        <v>46</v>
      </c>
      <c r="H184" s="31"/>
      <c r="I184" s="31" t="s">
        <v>47</v>
      </c>
      <c r="J184" s="32" t="n">
        <v>10.0</v>
      </c>
      <c r="K184" s="33" t="n">
        <f>181.1</f>
        <v>181.1</v>
      </c>
      <c r="L184" s="34" t="s">
        <v>48</v>
      </c>
      <c r="M184" s="33" t="n">
        <f>183.9</f>
        <v>183.9</v>
      </c>
      <c r="N184" s="34" t="s">
        <v>48</v>
      </c>
      <c r="O184" s="33" t="n">
        <f>168.7</f>
        <v>168.7</v>
      </c>
      <c r="P184" s="34" t="s">
        <v>78</v>
      </c>
      <c r="Q184" s="33" t="n">
        <f>169.5</f>
        <v>169.5</v>
      </c>
      <c r="R184" s="34" t="s">
        <v>50</v>
      </c>
      <c r="S184" s="35" t="n">
        <f>173.57</f>
        <v>173.57</v>
      </c>
      <c r="T184" s="32" t="n">
        <f>2659570</f>
        <v>2659570.0</v>
      </c>
      <c r="U184" s="32" t="n">
        <f>57260</f>
        <v>57260.0</v>
      </c>
      <c r="V184" s="32" t="n">
        <f>461689771</f>
        <v>4.61689771E8</v>
      </c>
      <c r="W184" s="32" t="n">
        <f>9991870</f>
        <v>9991870.0</v>
      </c>
      <c r="X184" s="36" t="n">
        <f>19</f>
        <v>19.0</v>
      </c>
    </row>
    <row r="185">
      <c r="A185" s="27" t="s">
        <v>42</v>
      </c>
      <c r="B185" s="27" t="s">
        <v>599</v>
      </c>
      <c r="C185" s="27" t="s">
        <v>600</v>
      </c>
      <c r="D185" s="27" t="s">
        <v>601</v>
      </c>
      <c r="E185" s="28" t="s">
        <v>46</v>
      </c>
      <c r="F185" s="29" t="s">
        <v>46</v>
      </c>
      <c r="G185" s="30" t="s">
        <v>46</v>
      </c>
      <c r="H185" s="31"/>
      <c r="I185" s="31" t="s">
        <v>414</v>
      </c>
      <c r="J185" s="32" t="n">
        <v>1.0</v>
      </c>
      <c r="K185" s="33" t="n">
        <f>8111</f>
        <v>8111.0</v>
      </c>
      <c r="L185" s="34" t="s">
        <v>48</v>
      </c>
      <c r="M185" s="33" t="n">
        <f>8111</f>
        <v>8111.0</v>
      </c>
      <c r="N185" s="34" t="s">
        <v>48</v>
      </c>
      <c r="O185" s="33" t="n">
        <f>7100</f>
        <v>7100.0</v>
      </c>
      <c r="P185" s="34" t="s">
        <v>50</v>
      </c>
      <c r="Q185" s="33" t="n">
        <f>7281</f>
        <v>7281.0</v>
      </c>
      <c r="R185" s="34" t="s">
        <v>50</v>
      </c>
      <c r="S185" s="35" t="n">
        <f>7468.84</f>
        <v>7468.84</v>
      </c>
      <c r="T185" s="32" t="n">
        <f>5960</f>
        <v>5960.0</v>
      </c>
      <c r="U185" s="32" t="str">
        <f>"－"</f>
        <v>－</v>
      </c>
      <c r="V185" s="32" t="n">
        <f>46106488</f>
        <v>4.6106488E7</v>
      </c>
      <c r="W185" s="32" t="str">
        <f>"－"</f>
        <v>－</v>
      </c>
      <c r="X185" s="36" t="n">
        <f>19</f>
        <v>19.0</v>
      </c>
    </row>
    <row r="186">
      <c r="A186" s="27" t="s">
        <v>42</v>
      </c>
      <c r="B186" s="27" t="s">
        <v>602</v>
      </c>
      <c r="C186" s="27" t="s">
        <v>603</v>
      </c>
      <c r="D186" s="27" t="s">
        <v>604</v>
      </c>
      <c r="E186" s="28" t="s">
        <v>46</v>
      </c>
      <c r="F186" s="29" t="s">
        <v>46</v>
      </c>
      <c r="G186" s="30" t="s">
        <v>46</v>
      </c>
      <c r="H186" s="31"/>
      <c r="I186" s="31" t="s">
        <v>414</v>
      </c>
      <c r="J186" s="32" t="n">
        <v>1.0</v>
      </c>
      <c r="K186" s="33" t="n">
        <f>6067</f>
        <v>6067.0</v>
      </c>
      <c r="L186" s="34" t="s">
        <v>48</v>
      </c>
      <c r="M186" s="33" t="n">
        <f>6293</f>
        <v>6293.0</v>
      </c>
      <c r="N186" s="34" t="s">
        <v>200</v>
      </c>
      <c r="O186" s="33" t="n">
        <f>5829</f>
        <v>5829.0</v>
      </c>
      <c r="P186" s="34" t="s">
        <v>508</v>
      </c>
      <c r="Q186" s="33" t="n">
        <f>6144</f>
        <v>6144.0</v>
      </c>
      <c r="R186" s="34" t="s">
        <v>50</v>
      </c>
      <c r="S186" s="35" t="n">
        <f>6058.74</f>
        <v>6058.74</v>
      </c>
      <c r="T186" s="32" t="n">
        <f>2323</f>
        <v>2323.0</v>
      </c>
      <c r="U186" s="32" t="str">
        <f>"－"</f>
        <v>－</v>
      </c>
      <c r="V186" s="32" t="n">
        <f>14198414</f>
        <v>1.4198414E7</v>
      </c>
      <c r="W186" s="32" t="str">
        <f>"－"</f>
        <v>－</v>
      </c>
      <c r="X186" s="36" t="n">
        <f>19</f>
        <v>19.0</v>
      </c>
    </row>
    <row r="187">
      <c r="A187" s="27" t="s">
        <v>42</v>
      </c>
      <c r="B187" s="27" t="s">
        <v>605</v>
      </c>
      <c r="C187" s="27" t="s">
        <v>606</v>
      </c>
      <c r="D187" s="27" t="s">
        <v>607</v>
      </c>
      <c r="E187" s="28" t="s">
        <v>46</v>
      </c>
      <c r="F187" s="29" t="s">
        <v>46</v>
      </c>
      <c r="G187" s="30" t="s">
        <v>46</v>
      </c>
      <c r="H187" s="31"/>
      <c r="I187" s="31" t="s">
        <v>414</v>
      </c>
      <c r="J187" s="32" t="n">
        <v>1.0</v>
      </c>
      <c r="K187" s="33" t="n">
        <f>76200</f>
        <v>76200.0</v>
      </c>
      <c r="L187" s="34" t="s">
        <v>48</v>
      </c>
      <c r="M187" s="33" t="n">
        <f>82180</f>
        <v>82180.0</v>
      </c>
      <c r="N187" s="34" t="s">
        <v>98</v>
      </c>
      <c r="O187" s="33" t="n">
        <f>68500</f>
        <v>68500.0</v>
      </c>
      <c r="P187" s="34" t="s">
        <v>82</v>
      </c>
      <c r="Q187" s="33" t="n">
        <f>77770</f>
        <v>77770.0</v>
      </c>
      <c r="R187" s="34" t="s">
        <v>50</v>
      </c>
      <c r="S187" s="35" t="n">
        <f>75709.47</f>
        <v>75709.47</v>
      </c>
      <c r="T187" s="32" t="n">
        <f>50934</f>
        <v>50934.0</v>
      </c>
      <c r="U187" s="32" t="n">
        <f>1</f>
        <v>1.0</v>
      </c>
      <c r="V187" s="32" t="n">
        <f>3882717640</f>
        <v>3.88271764E9</v>
      </c>
      <c r="W187" s="32" t="n">
        <f>78590</f>
        <v>78590.0</v>
      </c>
      <c r="X187" s="36" t="n">
        <f>19</f>
        <v>19.0</v>
      </c>
    </row>
    <row r="188">
      <c r="A188" s="27" t="s">
        <v>42</v>
      </c>
      <c r="B188" s="27" t="s">
        <v>608</v>
      </c>
      <c r="C188" s="27" t="s">
        <v>609</v>
      </c>
      <c r="D188" s="27" t="s">
        <v>610</v>
      </c>
      <c r="E188" s="28" t="s">
        <v>46</v>
      </c>
      <c r="F188" s="29" t="s">
        <v>46</v>
      </c>
      <c r="G188" s="30" t="s">
        <v>46</v>
      </c>
      <c r="H188" s="31"/>
      <c r="I188" s="31" t="s">
        <v>414</v>
      </c>
      <c r="J188" s="32" t="n">
        <v>1.0</v>
      </c>
      <c r="K188" s="33" t="n">
        <f>1976</f>
        <v>1976.0</v>
      </c>
      <c r="L188" s="34" t="s">
        <v>48</v>
      </c>
      <c r="M188" s="33" t="n">
        <f>2047</f>
        <v>2047.0</v>
      </c>
      <c r="N188" s="34" t="s">
        <v>82</v>
      </c>
      <c r="O188" s="33" t="n">
        <f>1810</f>
        <v>1810.0</v>
      </c>
      <c r="P188" s="34" t="s">
        <v>98</v>
      </c>
      <c r="Q188" s="33" t="n">
        <f>1901</f>
        <v>1901.0</v>
      </c>
      <c r="R188" s="34" t="s">
        <v>50</v>
      </c>
      <c r="S188" s="35" t="n">
        <f>1912.05</f>
        <v>1912.05</v>
      </c>
      <c r="T188" s="32" t="n">
        <f>328226</f>
        <v>328226.0</v>
      </c>
      <c r="U188" s="32" t="n">
        <f>4</f>
        <v>4.0</v>
      </c>
      <c r="V188" s="32" t="n">
        <f>629888351</f>
        <v>6.29888351E8</v>
      </c>
      <c r="W188" s="32" t="n">
        <f>8070</f>
        <v>8070.0</v>
      </c>
      <c r="X188" s="36" t="n">
        <f>19</f>
        <v>19.0</v>
      </c>
    </row>
    <row r="189">
      <c r="A189" s="27" t="s">
        <v>42</v>
      </c>
      <c r="B189" s="27" t="s">
        <v>611</v>
      </c>
      <c r="C189" s="27" t="s">
        <v>612</v>
      </c>
      <c r="D189" s="27" t="s">
        <v>613</v>
      </c>
      <c r="E189" s="28" t="s">
        <v>46</v>
      </c>
      <c r="F189" s="29" t="s">
        <v>46</v>
      </c>
      <c r="G189" s="30" t="s">
        <v>46</v>
      </c>
      <c r="H189" s="31"/>
      <c r="I189" s="31" t="s">
        <v>414</v>
      </c>
      <c r="J189" s="32" t="n">
        <v>1.0</v>
      </c>
      <c r="K189" s="33" t="n">
        <f>170750</f>
        <v>170750.0</v>
      </c>
      <c r="L189" s="34" t="s">
        <v>48</v>
      </c>
      <c r="M189" s="33" t="n">
        <f>172000</f>
        <v>172000.0</v>
      </c>
      <c r="N189" s="34" t="s">
        <v>48</v>
      </c>
      <c r="O189" s="33" t="n">
        <f>140000</f>
        <v>140000.0</v>
      </c>
      <c r="P189" s="34" t="s">
        <v>78</v>
      </c>
      <c r="Q189" s="33" t="n">
        <f>143400</f>
        <v>143400.0</v>
      </c>
      <c r="R189" s="34" t="s">
        <v>50</v>
      </c>
      <c r="S189" s="35" t="n">
        <f>153507.89</f>
        <v>153507.89</v>
      </c>
      <c r="T189" s="32" t="n">
        <f>84354</f>
        <v>84354.0</v>
      </c>
      <c r="U189" s="32" t="n">
        <f>2579</f>
        <v>2579.0</v>
      </c>
      <c r="V189" s="32" t="n">
        <f>13044134400</f>
        <v>1.30441344E10</v>
      </c>
      <c r="W189" s="32" t="n">
        <f>425217600</f>
        <v>4.252176E8</v>
      </c>
      <c r="X189" s="36" t="n">
        <f>19</f>
        <v>19.0</v>
      </c>
    </row>
    <row r="190">
      <c r="A190" s="27" t="s">
        <v>42</v>
      </c>
      <c r="B190" s="27" t="s">
        <v>614</v>
      </c>
      <c r="C190" s="27" t="s">
        <v>615</v>
      </c>
      <c r="D190" s="27" t="s">
        <v>616</v>
      </c>
      <c r="E190" s="28" t="s">
        <v>46</v>
      </c>
      <c r="F190" s="29" t="s">
        <v>46</v>
      </c>
      <c r="G190" s="30" t="s">
        <v>46</v>
      </c>
      <c r="H190" s="31"/>
      <c r="I190" s="31" t="s">
        <v>414</v>
      </c>
      <c r="J190" s="32" t="n">
        <v>1.0</v>
      </c>
      <c r="K190" s="33" t="n">
        <f>1207</f>
        <v>1207.0</v>
      </c>
      <c r="L190" s="34" t="s">
        <v>48</v>
      </c>
      <c r="M190" s="33" t="n">
        <f>1365</f>
        <v>1365.0</v>
      </c>
      <c r="N190" s="34" t="s">
        <v>78</v>
      </c>
      <c r="O190" s="33" t="n">
        <f>1205</f>
        <v>1205.0</v>
      </c>
      <c r="P190" s="34" t="s">
        <v>48</v>
      </c>
      <c r="Q190" s="33" t="n">
        <f>1320</f>
        <v>1320.0</v>
      </c>
      <c r="R190" s="34" t="s">
        <v>50</v>
      </c>
      <c r="S190" s="35" t="n">
        <f>1286.79</f>
        <v>1286.79</v>
      </c>
      <c r="T190" s="32" t="n">
        <f>95786</f>
        <v>95786.0</v>
      </c>
      <c r="U190" s="32" t="str">
        <f>"－"</f>
        <v>－</v>
      </c>
      <c r="V190" s="32" t="n">
        <f>123162259</f>
        <v>1.23162259E8</v>
      </c>
      <c r="W190" s="32" t="str">
        <f>"－"</f>
        <v>－</v>
      </c>
      <c r="X190" s="36" t="n">
        <f>19</f>
        <v>19.0</v>
      </c>
    </row>
    <row r="191">
      <c r="A191" s="27" t="s">
        <v>42</v>
      </c>
      <c r="B191" s="27" t="s">
        <v>617</v>
      </c>
      <c r="C191" s="27" t="s">
        <v>618</v>
      </c>
      <c r="D191" s="27" t="s">
        <v>619</v>
      </c>
      <c r="E191" s="28" t="s">
        <v>46</v>
      </c>
      <c r="F191" s="29" t="s">
        <v>46</v>
      </c>
      <c r="G191" s="30" t="s">
        <v>46</v>
      </c>
      <c r="H191" s="31"/>
      <c r="I191" s="31" t="s">
        <v>414</v>
      </c>
      <c r="J191" s="32" t="n">
        <v>1.0</v>
      </c>
      <c r="K191" s="33" t="n">
        <f>2345</f>
        <v>2345.0</v>
      </c>
      <c r="L191" s="34" t="s">
        <v>48</v>
      </c>
      <c r="M191" s="33" t="n">
        <f>3015</f>
        <v>3015.0</v>
      </c>
      <c r="N191" s="34" t="s">
        <v>78</v>
      </c>
      <c r="O191" s="33" t="n">
        <f>2258</f>
        <v>2258.0</v>
      </c>
      <c r="P191" s="34" t="s">
        <v>270</v>
      </c>
      <c r="Q191" s="33" t="n">
        <f>2879</f>
        <v>2879.0</v>
      </c>
      <c r="R191" s="34" t="s">
        <v>50</v>
      </c>
      <c r="S191" s="35" t="n">
        <f>2630.42</f>
        <v>2630.42</v>
      </c>
      <c r="T191" s="32" t="n">
        <f>2392347</f>
        <v>2392347.0</v>
      </c>
      <c r="U191" s="32" t="n">
        <f>63</f>
        <v>63.0</v>
      </c>
      <c r="V191" s="32" t="n">
        <f>6363619463</f>
        <v>6.363619463E9</v>
      </c>
      <c r="W191" s="32" t="n">
        <f>164487</f>
        <v>164487.0</v>
      </c>
      <c r="X191" s="36" t="n">
        <f>19</f>
        <v>19.0</v>
      </c>
    </row>
    <row r="192">
      <c r="A192" s="27" t="s">
        <v>42</v>
      </c>
      <c r="B192" s="27" t="s">
        <v>620</v>
      </c>
      <c r="C192" s="27" t="s">
        <v>621</v>
      </c>
      <c r="D192" s="27" t="s">
        <v>622</v>
      </c>
      <c r="E192" s="28" t="s">
        <v>46</v>
      </c>
      <c r="F192" s="29" t="s">
        <v>46</v>
      </c>
      <c r="G192" s="30" t="s">
        <v>46</v>
      </c>
      <c r="H192" s="31"/>
      <c r="I192" s="31" t="s">
        <v>414</v>
      </c>
      <c r="J192" s="32" t="n">
        <v>1.0</v>
      </c>
      <c r="K192" s="33" t="n">
        <f>517</f>
        <v>517.0</v>
      </c>
      <c r="L192" s="34" t="s">
        <v>48</v>
      </c>
      <c r="M192" s="33" t="n">
        <f>520</f>
        <v>520.0</v>
      </c>
      <c r="N192" s="34" t="s">
        <v>210</v>
      </c>
      <c r="O192" s="33" t="n">
        <f>450</f>
        <v>450.0</v>
      </c>
      <c r="P192" s="34" t="s">
        <v>78</v>
      </c>
      <c r="Q192" s="33" t="n">
        <f>462</f>
        <v>462.0</v>
      </c>
      <c r="R192" s="34" t="s">
        <v>50</v>
      </c>
      <c r="S192" s="35" t="n">
        <f>487.21</f>
        <v>487.21</v>
      </c>
      <c r="T192" s="32" t="n">
        <f>8738916</f>
        <v>8738916.0</v>
      </c>
      <c r="U192" s="32" t="n">
        <f>1010</f>
        <v>1010.0</v>
      </c>
      <c r="V192" s="32" t="n">
        <f>4170541680</f>
        <v>4.17054168E9</v>
      </c>
      <c r="W192" s="32" t="n">
        <f>483460</f>
        <v>483460.0</v>
      </c>
      <c r="X192" s="36" t="n">
        <f>19</f>
        <v>19.0</v>
      </c>
    </row>
    <row r="193">
      <c r="A193" s="27" t="s">
        <v>42</v>
      </c>
      <c r="B193" s="27" t="s">
        <v>623</v>
      </c>
      <c r="C193" s="27" t="s">
        <v>624</v>
      </c>
      <c r="D193" s="27" t="s">
        <v>625</v>
      </c>
      <c r="E193" s="28" t="s">
        <v>46</v>
      </c>
      <c r="F193" s="29" t="s">
        <v>46</v>
      </c>
      <c r="G193" s="30" t="s">
        <v>46</v>
      </c>
      <c r="H193" s="31"/>
      <c r="I193" s="31" t="s">
        <v>414</v>
      </c>
      <c r="J193" s="32" t="n">
        <v>1.0</v>
      </c>
      <c r="K193" s="33" t="n">
        <f>39570</f>
        <v>39570.0</v>
      </c>
      <c r="L193" s="34" t="s">
        <v>48</v>
      </c>
      <c r="M193" s="33" t="n">
        <f>40100</f>
        <v>40100.0</v>
      </c>
      <c r="N193" s="34" t="s">
        <v>270</v>
      </c>
      <c r="O193" s="33" t="n">
        <f>36570</f>
        <v>36570.0</v>
      </c>
      <c r="P193" s="34" t="s">
        <v>200</v>
      </c>
      <c r="Q193" s="33" t="n">
        <f>36970</f>
        <v>36970.0</v>
      </c>
      <c r="R193" s="34" t="s">
        <v>50</v>
      </c>
      <c r="S193" s="35" t="n">
        <f>38144.21</f>
        <v>38144.21</v>
      </c>
      <c r="T193" s="32" t="n">
        <f>6331</f>
        <v>6331.0</v>
      </c>
      <c r="U193" s="32" t="str">
        <f>"－"</f>
        <v>－</v>
      </c>
      <c r="V193" s="32" t="n">
        <f>238741140</f>
        <v>2.3874114E8</v>
      </c>
      <c r="W193" s="32" t="str">
        <f>"－"</f>
        <v>－</v>
      </c>
      <c r="X193" s="36" t="n">
        <f>19</f>
        <v>19.0</v>
      </c>
    </row>
    <row r="194">
      <c r="A194" s="27" t="s">
        <v>42</v>
      </c>
      <c r="B194" s="27" t="s">
        <v>626</v>
      </c>
      <c r="C194" s="27" t="s">
        <v>627</v>
      </c>
      <c r="D194" s="27" t="s">
        <v>628</v>
      </c>
      <c r="E194" s="28" t="s">
        <v>46</v>
      </c>
      <c r="F194" s="29" t="s">
        <v>46</v>
      </c>
      <c r="G194" s="30" t="s">
        <v>46</v>
      </c>
      <c r="H194" s="31"/>
      <c r="I194" s="31" t="s">
        <v>414</v>
      </c>
      <c r="J194" s="32" t="n">
        <v>1.0</v>
      </c>
      <c r="K194" s="33" t="n">
        <f>1936</f>
        <v>1936.0</v>
      </c>
      <c r="L194" s="34" t="s">
        <v>48</v>
      </c>
      <c r="M194" s="33" t="n">
        <f>2015</f>
        <v>2015.0</v>
      </c>
      <c r="N194" s="34" t="s">
        <v>157</v>
      </c>
      <c r="O194" s="33" t="n">
        <f>1923</f>
        <v>1923.0</v>
      </c>
      <c r="P194" s="34" t="s">
        <v>270</v>
      </c>
      <c r="Q194" s="33" t="n">
        <f>2004</f>
        <v>2004.0</v>
      </c>
      <c r="R194" s="34" t="s">
        <v>50</v>
      </c>
      <c r="S194" s="35" t="n">
        <f>1972.79</f>
        <v>1972.79</v>
      </c>
      <c r="T194" s="32" t="n">
        <f>76211</f>
        <v>76211.0</v>
      </c>
      <c r="U194" s="32" t="str">
        <f>"－"</f>
        <v>－</v>
      </c>
      <c r="V194" s="32" t="n">
        <f>150417542</f>
        <v>1.50417542E8</v>
      </c>
      <c r="W194" s="32" t="str">
        <f>"－"</f>
        <v>－</v>
      </c>
      <c r="X194" s="36" t="n">
        <f>19</f>
        <v>19.0</v>
      </c>
    </row>
    <row r="195">
      <c r="A195" s="27" t="s">
        <v>42</v>
      </c>
      <c r="B195" s="27" t="s">
        <v>629</v>
      </c>
      <c r="C195" s="27" t="s">
        <v>630</v>
      </c>
      <c r="D195" s="27" t="s">
        <v>631</v>
      </c>
      <c r="E195" s="28" t="s">
        <v>46</v>
      </c>
      <c r="F195" s="29" t="s">
        <v>46</v>
      </c>
      <c r="G195" s="30" t="s">
        <v>46</v>
      </c>
      <c r="H195" s="31"/>
      <c r="I195" s="31" t="s">
        <v>414</v>
      </c>
      <c r="J195" s="32" t="n">
        <v>1.0</v>
      </c>
      <c r="K195" s="33" t="n">
        <f>8332</f>
        <v>8332.0</v>
      </c>
      <c r="L195" s="34" t="s">
        <v>48</v>
      </c>
      <c r="M195" s="33" t="n">
        <f>8499</f>
        <v>8499.0</v>
      </c>
      <c r="N195" s="34" t="s">
        <v>157</v>
      </c>
      <c r="O195" s="33" t="n">
        <f>7976</f>
        <v>7976.0</v>
      </c>
      <c r="P195" s="34" t="s">
        <v>67</v>
      </c>
      <c r="Q195" s="33" t="n">
        <f>8223</f>
        <v>8223.0</v>
      </c>
      <c r="R195" s="34" t="s">
        <v>50</v>
      </c>
      <c r="S195" s="35" t="n">
        <f>8168.79</f>
        <v>8168.79</v>
      </c>
      <c r="T195" s="32" t="n">
        <f>5225</f>
        <v>5225.0</v>
      </c>
      <c r="U195" s="32" t="str">
        <f>"－"</f>
        <v>－</v>
      </c>
      <c r="V195" s="32" t="n">
        <f>42978762</f>
        <v>4.2978762E7</v>
      </c>
      <c r="W195" s="32" t="str">
        <f>"－"</f>
        <v>－</v>
      </c>
      <c r="X195" s="36" t="n">
        <f>19</f>
        <v>19.0</v>
      </c>
    </row>
    <row r="196">
      <c r="A196" s="27" t="s">
        <v>42</v>
      </c>
      <c r="B196" s="27" t="s">
        <v>632</v>
      </c>
      <c r="C196" s="27" t="s">
        <v>633</v>
      </c>
      <c r="D196" s="27" t="s">
        <v>634</v>
      </c>
      <c r="E196" s="28" t="s">
        <v>46</v>
      </c>
      <c r="F196" s="29" t="s">
        <v>46</v>
      </c>
      <c r="G196" s="30" t="s">
        <v>46</v>
      </c>
      <c r="H196" s="31"/>
      <c r="I196" s="31" t="s">
        <v>414</v>
      </c>
      <c r="J196" s="32" t="n">
        <v>1.0</v>
      </c>
      <c r="K196" s="33" t="n">
        <f>30660</f>
        <v>30660.0</v>
      </c>
      <c r="L196" s="34" t="s">
        <v>48</v>
      </c>
      <c r="M196" s="33" t="n">
        <f>31250</f>
        <v>31250.0</v>
      </c>
      <c r="N196" s="34" t="s">
        <v>48</v>
      </c>
      <c r="O196" s="33" t="n">
        <f>28765</f>
        <v>28765.0</v>
      </c>
      <c r="P196" s="34" t="s">
        <v>71</v>
      </c>
      <c r="Q196" s="33" t="n">
        <f>30000</f>
        <v>30000.0</v>
      </c>
      <c r="R196" s="34" t="s">
        <v>50</v>
      </c>
      <c r="S196" s="35" t="n">
        <f>30182.19</f>
        <v>30182.19</v>
      </c>
      <c r="T196" s="32" t="n">
        <f>360</f>
        <v>360.0</v>
      </c>
      <c r="U196" s="32" t="str">
        <f>"－"</f>
        <v>－</v>
      </c>
      <c r="V196" s="32" t="n">
        <f>10664270</f>
        <v>1.066427E7</v>
      </c>
      <c r="W196" s="32" t="str">
        <f>"－"</f>
        <v>－</v>
      </c>
      <c r="X196" s="36" t="n">
        <f>16</f>
        <v>16.0</v>
      </c>
    </row>
    <row r="197">
      <c r="A197" s="27" t="s">
        <v>42</v>
      </c>
      <c r="B197" s="27" t="s">
        <v>635</v>
      </c>
      <c r="C197" s="27" t="s">
        <v>636</v>
      </c>
      <c r="D197" s="27" t="s">
        <v>637</v>
      </c>
      <c r="E197" s="28" t="s">
        <v>46</v>
      </c>
      <c r="F197" s="29" t="s">
        <v>46</v>
      </c>
      <c r="G197" s="30" t="s">
        <v>46</v>
      </c>
      <c r="H197" s="31"/>
      <c r="I197" s="31" t="s">
        <v>414</v>
      </c>
      <c r="J197" s="32" t="n">
        <v>1.0</v>
      </c>
      <c r="K197" s="33" t="n">
        <f>35790</f>
        <v>35790.0</v>
      </c>
      <c r="L197" s="34" t="s">
        <v>48</v>
      </c>
      <c r="M197" s="33" t="n">
        <f>35940</f>
        <v>35940.0</v>
      </c>
      <c r="N197" s="34" t="s">
        <v>48</v>
      </c>
      <c r="O197" s="33" t="n">
        <f>32980</f>
        <v>32980.0</v>
      </c>
      <c r="P197" s="34" t="s">
        <v>50</v>
      </c>
      <c r="Q197" s="33" t="n">
        <f>33030</f>
        <v>33030.0</v>
      </c>
      <c r="R197" s="34" t="s">
        <v>50</v>
      </c>
      <c r="S197" s="35" t="n">
        <f>33957.37</f>
        <v>33957.37</v>
      </c>
      <c r="T197" s="32" t="n">
        <f>5617</f>
        <v>5617.0</v>
      </c>
      <c r="U197" s="32" t="str">
        <f>"－"</f>
        <v>－</v>
      </c>
      <c r="V197" s="32" t="n">
        <f>189281790</f>
        <v>1.8928179E8</v>
      </c>
      <c r="W197" s="32" t="str">
        <f>"－"</f>
        <v>－</v>
      </c>
      <c r="X197" s="36" t="n">
        <f>19</f>
        <v>19.0</v>
      </c>
    </row>
    <row r="198">
      <c r="A198" s="27" t="s">
        <v>42</v>
      </c>
      <c r="B198" s="27" t="s">
        <v>638</v>
      </c>
      <c r="C198" s="27" t="s">
        <v>639</v>
      </c>
      <c r="D198" s="27" t="s">
        <v>640</v>
      </c>
      <c r="E198" s="28" t="s">
        <v>46</v>
      </c>
      <c r="F198" s="29" t="s">
        <v>46</v>
      </c>
      <c r="G198" s="30" t="s">
        <v>46</v>
      </c>
      <c r="H198" s="31"/>
      <c r="I198" s="31" t="s">
        <v>414</v>
      </c>
      <c r="J198" s="32" t="n">
        <v>1.0</v>
      </c>
      <c r="K198" s="33" t="n">
        <f>20500</f>
        <v>20500.0</v>
      </c>
      <c r="L198" s="34" t="s">
        <v>48</v>
      </c>
      <c r="M198" s="33" t="n">
        <f>20500</f>
        <v>20500.0</v>
      </c>
      <c r="N198" s="34" t="s">
        <v>48</v>
      </c>
      <c r="O198" s="33" t="n">
        <f>18655</f>
        <v>18655.0</v>
      </c>
      <c r="P198" s="34" t="s">
        <v>221</v>
      </c>
      <c r="Q198" s="33" t="n">
        <f>18985</f>
        <v>18985.0</v>
      </c>
      <c r="R198" s="34" t="s">
        <v>78</v>
      </c>
      <c r="S198" s="35" t="n">
        <f>19434.23</f>
        <v>19434.23</v>
      </c>
      <c r="T198" s="32" t="n">
        <f>60</f>
        <v>60.0</v>
      </c>
      <c r="U198" s="32" t="str">
        <f>"－"</f>
        <v>－</v>
      </c>
      <c r="V198" s="32" t="n">
        <f>1171720</f>
        <v>1171720.0</v>
      </c>
      <c r="W198" s="32" t="str">
        <f>"－"</f>
        <v>－</v>
      </c>
      <c r="X198" s="36" t="n">
        <f>13</f>
        <v>13.0</v>
      </c>
    </row>
    <row r="199">
      <c r="A199" s="27" t="s">
        <v>42</v>
      </c>
      <c r="B199" s="27" t="s">
        <v>641</v>
      </c>
      <c r="C199" s="27" t="s">
        <v>642</v>
      </c>
      <c r="D199" s="27" t="s">
        <v>643</v>
      </c>
      <c r="E199" s="28" t="s">
        <v>46</v>
      </c>
      <c r="F199" s="29" t="s">
        <v>46</v>
      </c>
      <c r="G199" s="30" t="s">
        <v>46</v>
      </c>
      <c r="H199" s="31"/>
      <c r="I199" s="31" t="s">
        <v>414</v>
      </c>
      <c r="J199" s="32" t="n">
        <v>1.0</v>
      </c>
      <c r="K199" s="33" t="n">
        <f>24890</f>
        <v>24890.0</v>
      </c>
      <c r="L199" s="34" t="s">
        <v>48</v>
      </c>
      <c r="M199" s="33" t="n">
        <f>24890</f>
        <v>24890.0</v>
      </c>
      <c r="N199" s="34" t="s">
        <v>48</v>
      </c>
      <c r="O199" s="33" t="n">
        <f>21260</f>
        <v>21260.0</v>
      </c>
      <c r="P199" s="34" t="s">
        <v>78</v>
      </c>
      <c r="Q199" s="33" t="n">
        <f>21495</f>
        <v>21495.0</v>
      </c>
      <c r="R199" s="34" t="s">
        <v>50</v>
      </c>
      <c r="S199" s="35" t="n">
        <f>22937.63</f>
        <v>22937.63</v>
      </c>
      <c r="T199" s="32" t="n">
        <f>10305</f>
        <v>10305.0</v>
      </c>
      <c r="U199" s="32" t="n">
        <f>10</f>
        <v>10.0</v>
      </c>
      <c r="V199" s="32" t="n">
        <f>234178885</f>
        <v>2.34178885E8</v>
      </c>
      <c r="W199" s="32" t="n">
        <f>224000</f>
        <v>224000.0</v>
      </c>
      <c r="X199" s="36" t="n">
        <f>19</f>
        <v>19.0</v>
      </c>
    </row>
    <row r="200">
      <c r="A200" s="27" t="s">
        <v>42</v>
      </c>
      <c r="B200" s="27" t="s">
        <v>644</v>
      </c>
      <c r="C200" s="27" t="s">
        <v>645</v>
      </c>
      <c r="D200" s="27" t="s">
        <v>646</v>
      </c>
      <c r="E200" s="28" t="s">
        <v>46</v>
      </c>
      <c r="F200" s="29" t="s">
        <v>46</v>
      </c>
      <c r="G200" s="30" t="s">
        <v>46</v>
      </c>
      <c r="H200" s="31"/>
      <c r="I200" s="31" t="s">
        <v>414</v>
      </c>
      <c r="J200" s="32" t="n">
        <v>1.0</v>
      </c>
      <c r="K200" s="33" t="n">
        <f>3468</f>
        <v>3468.0</v>
      </c>
      <c r="L200" s="34" t="s">
        <v>48</v>
      </c>
      <c r="M200" s="33" t="n">
        <f>3609</f>
        <v>3609.0</v>
      </c>
      <c r="N200" s="34" t="s">
        <v>50</v>
      </c>
      <c r="O200" s="33" t="n">
        <f>3347</f>
        <v>3347.0</v>
      </c>
      <c r="P200" s="34" t="s">
        <v>210</v>
      </c>
      <c r="Q200" s="33" t="n">
        <f>3609</f>
        <v>3609.0</v>
      </c>
      <c r="R200" s="34" t="s">
        <v>50</v>
      </c>
      <c r="S200" s="35" t="n">
        <f>3463</f>
        <v>3463.0</v>
      </c>
      <c r="T200" s="32" t="n">
        <f>1354</f>
        <v>1354.0</v>
      </c>
      <c r="U200" s="32" t="str">
        <f>"－"</f>
        <v>－</v>
      </c>
      <c r="V200" s="32" t="n">
        <f>4733411</f>
        <v>4733411.0</v>
      </c>
      <c r="W200" s="32" t="str">
        <f>"－"</f>
        <v>－</v>
      </c>
      <c r="X200" s="36" t="n">
        <f>17</f>
        <v>17.0</v>
      </c>
    </row>
    <row r="201">
      <c r="A201" s="27" t="s">
        <v>42</v>
      </c>
      <c r="B201" s="27" t="s">
        <v>647</v>
      </c>
      <c r="C201" s="27" t="s">
        <v>648</v>
      </c>
      <c r="D201" s="27" t="s">
        <v>649</v>
      </c>
      <c r="E201" s="28" t="s">
        <v>46</v>
      </c>
      <c r="F201" s="29" t="s">
        <v>46</v>
      </c>
      <c r="G201" s="30" t="s">
        <v>46</v>
      </c>
      <c r="H201" s="31"/>
      <c r="I201" s="31" t="s">
        <v>414</v>
      </c>
      <c r="J201" s="32" t="n">
        <v>1.0</v>
      </c>
      <c r="K201" s="33" t="n">
        <f>56590</f>
        <v>56590.0</v>
      </c>
      <c r="L201" s="34" t="s">
        <v>48</v>
      </c>
      <c r="M201" s="33" t="n">
        <f>59990</f>
        <v>59990.0</v>
      </c>
      <c r="N201" s="34" t="s">
        <v>48</v>
      </c>
      <c r="O201" s="33" t="n">
        <f>53340</f>
        <v>53340.0</v>
      </c>
      <c r="P201" s="34" t="s">
        <v>508</v>
      </c>
      <c r="Q201" s="33" t="n">
        <f>57260</f>
        <v>57260.0</v>
      </c>
      <c r="R201" s="34" t="s">
        <v>78</v>
      </c>
      <c r="S201" s="35" t="n">
        <f>56031.54</f>
        <v>56031.54</v>
      </c>
      <c r="T201" s="32" t="n">
        <f>184</f>
        <v>184.0</v>
      </c>
      <c r="U201" s="32" t="str">
        <f>"－"</f>
        <v>－</v>
      </c>
      <c r="V201" s="32" t="n">
        <f>10286240</f>
        <v>1.028624E7</v>
      </c>
      <c r="W201" s="32" t="str">
        <f>"－"</f>
        <v>－</v>
      </c>
      <c r="X201" s="36" t="n">
        <f>13</f>
        <v>13.0</v>
      </c>
    </row>
    <row r="202">
      <c r="A202" s="27" t="s">
        <v>42</v>
      </c>
      <c r="B202" s="27" t="s">
        <v>650</v>
      </c>
      <c r="C202" s="27" t="s">
        <v>651</v>
      </c>
      <c r="D202" s="27" t="s">
        <v>652</v>
      </c>
      <c r="E202" s="28" t="s">
        <v>46</v>
      </c>
      <c r="F202" s="29" t="s">
        <v>46</v>
      </c>
      <c r="G202" s="30" t="s">
        <v>46</v>
      </c>
      <c r="H202" s="31"/>
      <c r="I202" s="31" t="s">
        <v>414</v>
      </c>
      <c r="J202" s="32" t="n">
        <v>1.0</v>
      </c>
      <c r="K202" s="33" t="n">
        <f>32500</f>
        <v>32500.0</v>
      </c>
      <c r="L202" s="34" t="s">
        <v>48</v>
      </c>
      <c r="M202" s="33" t="n">
        <f>33440</f>
        <v>33440.0</v>
      </c>
      <c r="N202" s="34" t="s">
        <v>286</v>
      </c>
      <c r="O202" s="33" t="n">
        <f>31390</f>
        <v>31390.0</v>
      </c>
      <c r="P202" s="34" t="s">
        <v>71</v>
      </c>
      <c r="Q202" s="33" t="n">
        <f>32720</f>
        <v>32720.0</v>
      </c>
      <c r="R202" s="34" t="s">
        <v>286</v>
      </c>
      <c r="S202" s="35" t="n">
        <f>32315</f>
        <v>32315.0</v>
      </c>
      <c r="T202" s="32" t="n">
        <f>60</f>
        <v>60.0</v>
      </c>
      <c r="U202" s="32" t="str">
        <f>"－"</f>
        <v>－</v>
      </c>
      <c r="V202" s="32" t="n">
        <f>1938800</f>
        <v>1938800.0</v>
      </c>
      <c r="W202" s="32" t="str">
        <f>"－"</f>
        <v>－</v>
      </c>
      <c r="X202" s="36" t="n">
        <f>8</f>
        <v>8.0</v>
      </c>
    </row>
    <row r="203">
      <c r="A203" s="27" t="s">
        <v>42</v>
      </c>
      <c r="B203" s="27" t="s">
        <v>653</v>
      </c>
      <c r="C203" s="27" t="s">
        <v>654</v>
      </c>
      <c r="D203" s="27" t="s">
        <v>655</v>
      </c>
      <c r="E203" s="28" t="s">
        <v>46</v>
      </c>
      <c r="F203" s="29" t="s">
        <v>46</v>
      </c>
      <c r="G203" s="30" t="s">
        <v>46</v>
      </c>
      <c r="H203" s="31"/>
      <c r="I203" s="31" t="s">
        <v>414</v>
      </c>
      <c r="J203" s="32" t="n">
        <v>1.0</v>
      </c>
      <c r="K203" s="33" t="n">
        <f>57690</f>
        <v>57690.0</v>
      </c>
      <c r="L203" s="34" t="s">
        <v>82</v>
      </c>
      <c r="M203" s="33" t="n">
        <f>59520</f>
        <v>59520.0</v>
      </c>
      <c r="N203" s="34" t="s">
        <v>157</v>
      </c>
      <c r="O203" s="33" t="n">
        <f>54830</f>
        <v>54830.0</v>
      </c>
      <c r="P203" s="34" t="s">
        <v>71</v>
      </c>
      <c r="Q203" s="33" t="n">
        <f>57170</f>
        <v>57170.0</v>
      </c>
      <c r="R203" s="34" t="s">
        <v>286</v>
      </c>
      <c r="S203" s="35" t="n">
        <f>57048</f>
        <v>57048.0</v>
      </c>
      <c r="T203" s="32" t="n">
        <f>30</f>
        <v>30.0</v>
      </c>
      <c r="U203" s="32" t="str">
        <f>"－"</f>
        <v>－</v>
      </c>
      <c r="V203" s="32" t="n">
        <f>1698320</f>
        <v>1698320.0</v>
      </c>
      <c r="W203" s="32" t="str">
        <f>"－"</f>
        <v>－</v>
      </c>
      <c r="X203" s="36" t="n">
        <f>5</f>
        <v>5.0</v>
      </c>
    </row>
    <row r="204">
      <c r="A204" s="27" t="s">
        <v>42</v>
      </c>
      <c r="B204" s="27" t="s">
        <v>656</v>
      </c>
      <c r="C204" s="27" t="s">
        <v>657</v>
      </c>
      <c r="D204" s="27" t="s">
        <v>658</v>
      </c>
      <c r="E204" s="28" t="s">
        <v>46</v>
      </c>
      <c r="F204" s="29" t="s">
        <v>46</v>
      </c>
      <c r="G204" s="30" t="s">
        <v>46</v>
      </c>
      <c r="H204" s="31"/>
      <c r="I204" s="31" t="s">
        <v>414</v>
      </c>
      <c r="J204" s="32" t="n">
        <v>1.0</v>
      </c>
      <c r="K204" s="33" t="n">
        <f>23400</f>
        <v>23400.0</v>
      </c>
      <c r="L204" s="34" t="s">
        <v>221</v>
      </c>
      <c r="M204" s="33" t="n">
        <f>23505</f>
        <v>23505.0</v>
      </c>
      <c r="N204" s="34" t="s">
        <v>200</v>
      </c>
      <c r="O204" s="33" t="n">
        <f>23400</f>
        <v>23400.0</v>
      </c>
      <c r="P204" s="34" t="s">
        <v>221</v>
      </c>
      <c r="Q204" s="33" t="n">
        <f>23500</f>
        <v>23500.0</v>
      </c>
      <c r="R204" s="34" t="s">
        <v>200</v>
      </c>
      <c r="S204" s="35" t="n">
        <f>23466.67</f>
        <v>23466.67</v>
      </c>
      <c r="T204" s="32" t="n">
        <f>120</f>
        <v>120.0</v>
      </c>
      <c r="U204" s="32" t="str">
        <f>"－"</f>
        <v>－</v>
      </c>
      <c r="V204" s="32" t="n">
        <f>2814235</f>
        <v>2814235.0</v>
      </c>
      <c r="W204" s="32" t="str">
        <f>"－"</f>
        <v>－</v>
      </c>
      <c r="X204" s="36" t="n">
        <f>3</f>
        <v>3.0</v>
      </c>
    </row>
    <row r="205">
      <c r="A205" s="27" t="s">
        <v>42</v>
      </c>
      <c r="B205" s="27" t="s">
        <v>659</v>
      </c>
      <c r="C205" s="27" t="s">
        <v>660</v>
      </c>
      <c r="D205" s="27" t="s">
        <v>661</v>
      </c>
      <c r="E205" s="28" t="s">
        <v>46</v>
      </c>
      <c r="F205" s="29" t="s">
        <v>46</v>
      </c>
      <c r="G205" s="30" t="s">
        <v>46</v>
      </c>
      <c r="H205" s="31"/>
      <c r="I205" s="31" t="s">
        <v>414</v>
      </c>
      <c r="J205" s="32" t="n">
        <v>1.0</v>
      </c>
      <c r="K205" s="33" t="n">
        <f>29235</f>
        <v>29235.0</v>
      </c>
      <c r="L205" s="34" t="s">
        <v>48</v>
      </c>
      <c r="M205" s="33" t="n">
        <f>29510</f>
        <v>29510.0</v>
      </c>
      <c r="N205" s="34" t="s">
        <v>66</v>
      </c>
      <c r="O205" s="33" t="n">
        <f>27850</f>
        <v>27850.0</v>
      </c>
      <c r="P205" s="34" t="s">
        <v>49</v>
      </c>
      <c r="Q205" s="33" t="n">
        <f>28525</f>
        <v>28525.0</v>
      </c>
      <c r="R205" s="34" t="s">
        <v>286</v>
      </c>
      <c r="S205" s="35" t="n">
        <f>28600</f>
        <v>28600.0</v>
      </c>
      <c r="T205" s="32" t="n">
        <f>237</f>
        <v>237.0</v>
      </c>
      <c r="U205" s="32" t="str">
        <f>"－"</f>
        <v>－</v>
      </c>
      <c r="V205" s="32" t="n">
        <f>6732910</f>
        <v>6732910.0</v>
      </c>
      <c r="W205" s="32" t="str">
        <f>"－"</f>
        <v>－</v>
      </c>
      <c r="X205" s="36" t="n">
        <f>12</f>
        <v>12.0</v>
      </c>
    </row>
    <row r="206">
      <c r="A206" s="27" t="s">
        <v>42</v>
      </c>
      <c r="B206" s="27" t="s">
        <v>662</v>
      </c>
      <c r="C206" s="27" t="s">
        <v>663</v>
      </c>
      <c r="D206" s="27" t="s">
        <v>664</v>
      </c>
      <c r="E206" s="28" t="s">
        <v>46</v>
      </c>
      <c r="F206" s="29" t="s">
        <v>46</v>
      </c>
      <c r="G206" s="30" t="s">
        <v>46</v>
      </c>
      <c r="H206" s="31"/>
      <c r="I206" s="31" t="s">
        <v>414</v>
      </c>
      <c r="J206" s="32" t="n">
        <v>1.0</v>
      </c>
      <c r="K206" s="33" t="n">
        <f>38400</f>
        <v>38400.0</v>
      </c>
      <c r="L206" s="34" t="s">
        <v>71</v>
      </c>
      <c r="M206" s="33" t="n">
        <f>39800</f>
        <v>39800.0</v>
      </c>
      <c r="N206" s="34" t="s">
        <v>50</v>
      </c>
      <c r="O206" s="33" t="n">
        <f>38400</f>
        <v>38400.0</v>
      </c>
      <c r="P206" s="34" t="s">
        <v>71</v>
      </c>
      <c r="Q206" s="33" t="n">
        <f>39800</f>
        <v>39800.0</v>
      </c>
      <c r="R206" s="34" t="s">
        <v>50</v>
      </c>
      <c r="S206" s="35" t="n">
        <f>39100</f>
        <v>39100.0</v>
      </c>
      <c r="T206" s="32" t="n">
        <f>5</f>
        <v>5.0</v>
      </c>
      <c r="U206" s="32" t="str">
        <f>"－"</f>
        <v>－</v>
      </c>
      <c r="V206" s="32" t="n">
        <f>196200</f>
        <v>196200.0</v>
      </c>
      <c r="W206" s="32" t="str">
        <f>"－"</f>
        <v>－</v>
      </c>
      <c r="X206" s="36" t="n">
        <f>3</f>
        <v>3.0</v>
      </c>
    </row>
    <row r="207">
      <c r="A207" s="27" t="s">
        <v>42</v>
      </c>
      <c r="B207" s="27" t="s">
        <v>665</v>
      </c>
      <c r="C207" s="27" t="s">
        <v>666</v>
      </c>
      <c r="D207" s="27" t="s">
        <v>667</v>
      </c>
      <c r="E207" s="28" t="s">
        <v>46</v>
      </c>
      <c r="F207" s="29" t="s">
        <v>46</v>
      </c>
      <c r="G207" s="30" t="s">
        <v>46</v>
      </c>
      <c r="H207" s="31"/>
      <c r="I207" s="31" t="s">
        <v>414</v>
      </c>
      <c r="J207" s="32" t="n">
        <v>1.0</v>
      </c>
      <c r="K207" s="33" t="n">
        <f>23225</f>
        <v>23225.0</v>
      </c>
      <c r="L207" s="34" t="s">
        <v>48</v>
      </c>
      <c r="M207" s="33" t="n">
        <f>23415</f>
        <v>23415.0</v>
      </c>
      <c r="N207" s="34" t="s">
        <v>308</v>
      </c>
      <c r="O207" s="33" t="n">
        <f>22585</f>
        <v>22585.0</v>
      </c>
      <c r="P207" s="34" t="s">
        <v>50</v>
      </c>
      <c r="Q207" s="33" t="n">
        <f>22585</f>
        <v>22585.0</v>
      </c>
      <c r="R207" s="34" t="s">
        <v>50</v>
      </c>
      <c r="S207" s="35" t="n">
        <f>22965</f>
        <v>22965.0</v>
      </c>
      <c r="T207" s="32" t="n">
        <f>17</f>
        <v>17.0</v>
      </c>
      <c r="U207" s="32" t="str">
        <f>"－"</f>
        <v>－</v>
      </c>
      <c r="V207" s="32" t="n">
        <f>395455</f>
        <v>395455.0</v>
      </c>
      <c r="W207" s="32" t="str">
        <f>"－"</f>
        <v>－</v>
      </c>
      <c r="X207" s="36" t="n">
        <f>3</f>
        <v>3.0</v>
      </c>
    </row>
    <row r="208">
      <c r="A208" s="27" t="s">
        <v>42</v>
      </c>
      <c r="B208" s="27" t="s">
        <v>668</v>
      </c>
      <c r="C208" s="27" t="s">
        <v>669</v>
      </c>
      <c r="D208" s="27" t="s">
        <v>670</v>
      </c>
      <c r="E208" s="28" t="s">
        <v>46</v>
      </c>
      <c r="F208" s="29" t="s">
        <v>46</v>
      </c>
      <c r="G208" s="30" t="s">
        <v>46</v>
      </c>
      <c r="H208" s="31"/>
      <c r="I208" s="31" t="s">
        <v>414</v>
      </c>
      <c r="J208" s="32" t="n">
        <v>1.0</v>
      </c>
      <c r="K208" s="33" t="n">
        <f>17120</f>
        <v>17120.0</v>
      </c>
      <c r="L208" s="34" t="s">
        <v>48</v>
      </c>
      <c r="M208" s="33" t="n">
        <f>17120</f>
        <v>17120.0</v>
      </c>
      <c r="N208" s="34" t="s">
        <v>48</v>
      </c>
      <c r="O208" s="33" t="n">
        <f>15825</f>
        <v>15825.0</v>
      </c>
      <c r="P208" s="34" t="s">
        <v>49</v>
      </c>
      <c r="Q208" s="33" t="n">
        <f>16810</f>
        <v>16810.0</v>
      </c>
      <c r="R208" s="34" t="s">
        <v>50</v>
      </c>
      <c r="S208" s="35" t="n">
        <f>16607.69</f>
        <v>16607.69</v>
      </c>
      <c r="T208" s="32" t="n">
        <f>645</f>
        <v>645.0</v>
      </c>
      <c r="U208" s="32" t="str">
        <f>"－"</f>
        <v>－</v>
      </c>
      <c r="V208" s="32" t="n">
        <f>10663315</f>
        <v>1.0663315E7</v>
      </c>
      <c r="W208" s="32" t="str">
        <f>"－"</f>
        <v>－</v>
      </c>
      <c r="X208" s="36" t="n">
        <f>13</f>
        <v>13.0</v>
      </c>
    </row>
    <row r="209">
      <c r="A209" s="27" t="s">
        <v>42</v>
      </c>
      <c r="B209" s="27" t="s">
        <v>671</v>
      </c>
      <c r="C209" s="27" t="s">
        <v>672</v>
      </c>
      <c r="D209" s="27" t="s">
        <v>673</v>
      </c>
      <c r="E209" s="28" t="s">
        <v>46</v>
      </c>
      <c r="F209" s="29" t="s">
        <v>46</v>
      </c>
      <c r="G209" s="30" t="s">
        <v>46</v>
      </c>
      <c r="H209" s="31"/>
      <c r="I209" s="31" t="s">
        <v>414</v>
      </c>
      <c r="J209" s="32" t="n">
        <v>1.0</v>
      </c>
      <c r="K209" s="33" t="n">
        <f>20810</f>
        <v>20810.0</v>
      </c>
      <c r="L209" s="34" t="s">
        <v>48</v>
      </c>
      <c r="M209" s="33" t="n">
        <f>20810</f>
        <v>20810.0</v>
      </c>
      <c r="N209" s="34" t="s">
        <v>48</v>
      </c>
      <c r="O209" s="33" t="n">
        <f>19210</f>
        <v>19210.0</v>
      </c>
      <c r="P209" s="34" t="s">
        <v>49</v>
      </c>
      <c r="Q209" s="33" t="n">
        <f>20080</f>
        <v>20080.0</v>
      </c>
      <c r="R209" s="34" t="s">
        <v>286</v>
      </c>
      <c r="S209" s="35" t="n">
        <f>19800</f>
        <v>19800.0</v>
      </c>
      <c r="T209" s="32" t="n">
        <f>2984</f>
        <v>2984.0</v>
      </c>
      <c r="U209" s="32" t="str">
        <f>"－"</f>
        <v>－</v>
      </c>
      <c r="V209" s="32" t="n">
        <f>59570860</f>
        <v>5.957086E7</v>
      </c>
      <c r="W209" s="32" t="str">
        <f>"－"</f>
        <v>－</v>
      </c>
      <c r="X209" s="36" t="n">
        <f>10</f>
        <v>10.0</v>
      </c>
    </row>
    <row r="210">
      <c r="A210" s="27" t="s">
        <v>42</v>
      </c>
      <c r="B210" s="27" t="s">
        <v>674</v>
      </c>
      <c r="C210" s="27" t="s">
        <v>675</v>
      </c>
      <c r="D210" s="27" t="s">
        <v>676</v>
      </c>
      <c r="E210" s="28" t="s">
        <v>46</v>
      </c>
      <c r="F210" s="29" t="s">
        <v>46</v>
      </c>
      <c r="G210" s="30" t="s">
        <v>46</v>
      </c>
      <c r="H210" s="31"/>
      <c r="I210" s="31" t="s">
        <v>414</v>
      </c>
      <c r="J210" s="32" t="n">
        <v>1.0</v>
      </c>
      <c r="K210" s="33" t="n">
        <f>21580</f>
        <v>21580.0</v>
      </c>
      <c r="L210" s="34" t="s">
        <v>67</v>
      </c>
      <c r="M210" s="33" t="n">
        <f>22315</f>
        <v>22315.0</v>
      </c>
      <c r="N210" s="34" t="s">
        <v>286</v>
      </c>
      <c r="O210" s="33" t="n">
        <f>21580</f>
        <v>21580.0</v>
      </c>
      <c r="P210" s="34" t="s">
        <v>67</v>
      </c>
      <c r="Q210" s="33" t="n">
        <f>21940</f>
        <v>21940.0</v>
      </c>
      <c r="R210" s="34" t="s">
        <v>286</v>
      </c>
      <c r="S210" s="35" t="n">
        <f>21837.5</f>
        <v>21837.5</v>
      </c>
      <c r="T210" s="32" t="n">
        <f>2257</f>
        <v>2257.0</v>
      </c>
      <c r="U210" s="32" t="str">
        <f>"－"</f>
        <v>－</v>
      </c>
      <c r="V210" s="32" t="n">
        <f>49399575</f>
        <v>4.9399575E7</v>
      </c>
      <c r="W210" s="32" t="str">
        <f>"－"</f>
        <v>－</v>
      </c>
      <c r="X210" s="36" t="n">
        <f>4</f>
        <v>4.0</v>
      </c>
    </row>
    <row r="211">
      <c r="A211" s="27" t="s">
        <v>42</v>
      </c>
      <c r="B211" s="27" t="s">
        <v>677</v>
      </c>
      <c r="C211" s="27" t="s">
        <v>678</v>
      </c>
      <c r="D211" s="27" t="s">
        <v>679</v>
      </c>
      <c r="E211" s="28" t="s">
        <v>46</v>
      </c>
      <c r="F211" s="29" t="s">
        <v>46</v>
      </c>
      <c r="G211" s="30" t="s">
        <v>46</v>
      </c>
      <c r="H211" s="31"/>
      <c r="I211" s="31" t="s">
        <v>414</v>
      </c>
      <c r="J211" s="32" t="n">
        <v>1.0</v>
      </c>
      <c r="K211" s="33" t="n">
        <f>15510</f>
        <v>15510.0</v>
      </c>
      <c r="L211" s="34" t="s">
        <v>49</v>
      </c>
      <c r="M211" s="33" t="n">
        <f>15860</f>
        <v>15860.0</v>
      </c>
      <c r="N211" s="34" t="s">
        <v>221</v>
      </c>
      <c r="O211" s="33" t="n">
        <f>15510</f>
        <v>15510.0</v>
      </c>
      <c r="P211" s="34" t="s">
        <v>49</v>
      </c>
      <c r="Q211" s="33" t="n">
        <f>15860</f>
        <v>15860.0</v>
      </c>
      <c r="R211" s="34" t="s">
        <v>221</v>
      </c>
      <c r="S211" s="35" t="n">
        <f>15685</f>
        <v>15685.0</v>
      </c>
      <c r="T211" s="32" t="n">
        <f>2</f>
        <v>2.0</v>
      </c>
      <c r="U211" s="32" t="str">
        <f>"－"</f>
        <v>－</v>
      </c>
      <c r="V211" s="32" t="n">
        <f>31370</f>
        <v>31370.0</v>
      </c>
      <c r="W211" s="32" t="str">
        <f>"－"</f>
        <v>－</v>
      </c>
      <c r="X211" s="36" t="n">
        <f>2</f>
        <v>2.0</v>
      </c>
    </row>
    <row r="212">
      <c r="A212" s="27" t="s">
        <v>42</v>
      </c>
      <c r="B212" s="27" t="s">
        <v>680</v>
      </c>
      <c r="C212" s="27" t="s">
        <v>681</v>
      </c>
      <c r="D212" s="27" t="s">
        <v>682</v>
      </c>
      <c r="E212" s="28" t="s">
        <v>46</v>
      </c>
      <c r="F212" s="29" t="s">
        <v>46</v>
      </c>
      <c r="G212" s="30" t="s">
        <v>46</v>
      </c>
      <c r="H212" s="31"/>
      <c r="I212" s="31" t="s">
        <v>47</v>
      </c>
      <c r="J212" s="32" t="n">
        <v>1.0</v>
      </c>
      <c r="K212" s="33" t="n">
        <f>2121</f>
        <v>2121.0</v>
      </c>
      <c r="L212" s="34" t="s">
        <v>48</v>
      </c>
      <c r="M212" s="33" t="n">
        <f>2150</f>
        <v>2150.0</v>
      </c>
      <c r="N212" s="34" t="s">
        <v>48</v>
      </c>
      <c r="O212" s="33" t="n">
        <f>2012</f>
        <v>2012.0</v>
      </c>
      <c r="P212" s="34" t="s">
        <v>49</v>
      </c>
      <c r="Q212" s="33" t="n">
        <f>2086</f>
        <v>2086.0</v>
      </c>
      <c r="R212" s="34" t="s">
        <v>50</v>
      </c>
      <c r="S212" s="35" t="n">
        <f>2080.16</f>
        <v>2080.16</v>
      </c>
      <c r="T212" s="32" t="n">
        <f>1749987</f>
        <v>1749987.0</v>
      </c>
      <c r="U212" s="32" t="n">
        <f>168763</f>
        <v>168763.0</v>
      </c>
      <c r="V212" s="32" t="n">
        <f>3628066709</f>
        <v>3.628066709E9</v>
      </c>
      <c r="W212" s="32" t="n">
        <f>346475696</f>
        <v>3.46475696E8</v>
      </c>
      <c r="X212" s="36" t="n">
        <f>19</f>
        <v>19.0</v>
      </c>
    </row>
    <row r="213">
      <c r="A213" s="27" t="s">
        <v>42</v>
      </c>
      <c r="B213" s="27" t="s">
        <v>683</v>
      </c>
      <c r="C213" s="27" t="s">
        <v>684</v>
      </c>
      <c r="D213" s="27" t="s">
        <v>685</v>
      </c>
      <c r="E213" s="28" t="s">
        <v>46</v>
      </c>
      <c r="F213" s="29" t="s">
        <v>46</v>
      </c>
      <c r="G213" s="30" t="s">
        <v>46</v>
      </c>
      <c r="H213" s="31"/>
      <c r="I213" s="31" t="s">
        <v>47</v>
      </c>
      <c r="J213" s="32" t="n">
        <v>1.0</v>
      </c>
      <c r="K213" s="33" t="n">
        <f>2220</f>
        <v>2220.0</v>
      </c>
      <c r="L213" s="34" t="s">
        <v>48</v>
      </c>
      <c r="M213" s="33" t="n">
        <f>2245</f>
        <v>2245.0</v>
      </c>
      <c r="N213" s="34" t="s">
        <v>66</v>
      </c>
      <c r="O213" s="33" t="n">
        <f>2095</f>
        <v>2095.0</v>
      </c>
      <c r="P213" s="34" t="s">
        <v>49</v>
      </c>
      <c r="Q213" s="33" t="n">
        <f>2202</f>
        <v>2202.0</v>
      </c>
      <c r="R213" s="34" t="s">
        <v>50</v>
      </c>
      <c r="S213" s="35" t="n">
        <f>2171.21</f>
        <v>2171.21</v>
      </c>
      <c r="T213" s="32" t="n">
        <f>27682</f>
        <v>27682.0</v>
      </c>
      <c r="U213" s="32" t="str">
        <f>"－"</f>
        <v>－</v>
      </c>
      <c r="V213" s="32" t="n">
        <f>59366662</f>
        <v>5.9366662E7</v>
      </c>
      <c r="W213" s="32" t="str">
        <f>"－"</f>
        <v>－</v>
      </c>
      <c r="X213" s="36" t="n">
        <f>19</f>
        <v>19.0</v>
      </c>
    </row>
    <row r="214">
      <c r="A214" s="27" t="s">
        <v>42</v>
      </c>
      <c r="B214" s="27" t="s">
        <v>686</v>
      </c>
      <c r="C214" s="27" t="s">
        <v>687</v>
      </c>
      <c r="D214" s="27" t="s">
        <v>688</v>
      </c>
      <c r="E214" s="28" t="s">
        <v>46</v>
      </c>
      <c r="F214" s="29" t="s">
        <v>46</v>
      </c>
      <c r="G214" s="30" t="s">
        <v>46</v>
      </c>
      <c r="H214" s="31"/>
      <c r="I214" s="31" t="s">
        <v>47</v>
      </c>
      <c r="J214" s="32" t="n">
        <v>1.0</v>
      </c>
      <c r="K214" s="33" t="n">
        <f>1287</f>
        <v>1287.0</v>
      </c>
      <c r="L214" s="34" t="s">
        <v>48</v>
      </c>
      <c r="M214" s="33" t="n">
        <f>1288</f>
        <v>1288.0</v>
      </c>
      <c r="N214" s="34" t="s">
        <v>66</v>
      </c>
      <c r="O214" s="33" t="n">
        <f>1200</f>
        <v>1200.0</v>
      </c>
      <c r="P214" s="34" t="s">
        <v>49</v>
      </c>
      <c r="Q214" s="33" t="n">
        <f>1255</f>
        <v>1255.0</v>
      </c>
      <c r="R214" s="34" t="s">
        <v>50</v>
      </c>
      <c r="S214" s="35" t="n">
        <f>1244.42</f>
        <v>1244.42</v>
      </c>
      <c r="T214" s="32" t="n">
        <f>2547</f>
        <v>2547.0</v>
      </c>
      <c r="U214" s="32" t="str">
        <f>"－"</f>
        <v>－</v>
      </c>
      <c r="V214" s="32" t="n">
        <f>3202477</f>
        <v>3202477.0</v>
      </c>
      <c r="W214" s="32" t="str">
        <f>"－"</f>
        <v>－</v>
      </c>
      <c r="X214" s="36" t="n">
        <f>19</f>
        <v>19.0</v>
      </c>
    </row>
    <row r="215">
      <c r="A215" s="27" t="s">
        <v>42</v>
      </c>
      <c r="B215" s="27" t="s">
        <v>689</v>
      </c>
      <c r="C215" s="27" t="s">
        <v>690</v>
      </c>
      <c r="D215" s="27" t="s">
        <v>691</v>
      </c>
      <c r="E215" s="28" t="s">
        <v>46</v>
      </c>
      <c r="F215" s="29" t="s">
        <v>46</v>
      </c>
      <c r="G215" s="30" t="s">
        <v>46</v>
      </c>
      <c r="H215" s="31"/>
      <c r="I215" s="31" t="s">
        <v>47</v>
      </c>
      <c r="J215" s="32" t="n">
        <v>1.0</v>
      </c>
      <c r="K215" s="33" t="n">
        <f>4047</f>
        <v>4047.0</v>
      </c>
      <c r="L215" s="34" t="s">
        <v>48</v>
      </c>
      <c r="M215" s="33" t="n">
        <f>4077</f>
        <v>4077.0</v>
      </c>
      <c r="N215" s="34" t="s">
        <v>48</v>
      </c>
      <c r="O215" s="33" t="n">
        <f>3817</f>
        <v>3817.0</v>
      </c>
      <c r="P215" s="34" t="s">
        <v>49</v>
      </c>
      <c r="Q215" s="33" t="n">
        <f>3975</f>
        <v>3975.0</v>
      </c>
      <c r="R215" s="34" t="s">
        <v>50</v>
      </c>
      <c r="S215" s="35" t="n">
        <f>3929.16</f>
        <v>3929.16</v>
      </c>
      <c r="T215" s="32" t="n">
        <f>166113</f>
        <v>166113.0</v>
      </c>
      <c r="U215" s="32" t="str">
        <f>"－"</f>
        <v>－</v>
      </c>
      <c r="V215" s="32" t="n">
        <f>654181055</f>
        <v>6.54181055E8</v>
      </c>
      <c r="W215" s="32" t="str">
        <f>"－"</f>
        <v>－</v>
      </c>
      <c r="X215" s="36" t="n">
        <f>19</f>
        <v>19.0</v>
      </c>
    </row>
    <row r="216">
      <c r="A216" s="27" t="s">
        <v>42</v>
      </c>
      <c r="B216" s="27" t="s">
        <v>692</v>
      </c>
      <c r="C216" s="27" t="s">
        <v>693</v>
      </c>
      <c r="D216" s="27" t="s">
        <v>694</v>
      </c>
      <c r="E216" s="28" t="s">
        <v>46</v>
      </c>
      <c r="F216" s="29" t="s">
        <v>46</v>
      </c>
      <c r="G216" s="30" t="s">
        <v>46</v>
      </c>
      <c r="H216" s="31"/>
      <c r="I216" s="31" t="s">
        <v>47</v>
      </c>
      <c r="J216" s="32" t="n">
        <v>1.0</v>
      </c>
      <c r="K216" s="33" t="n">
        <f>3910</f>
        <v>3910.0</v>
      </c>
      <c r="L216" s="34" t="s">
        <v>48</v>
      </c>
      <c r="M216" s="33" t="n">
        <f>3967</f>
        <v>3967.0</v>
      </c>
      <c r="N216" s="34" t="s">
        <v>48</v>
      </c>
      <c r="O216" s="33" t="n">
        <f>3760</f>
        <v>3760.0</v>
      </c>
      <c r="P216" s="34" t="s">
        <v>49</v>
      </c>
      <c r="Q216" s="33" t="n">
        <f>3913</f>
        <v>3913.0</v>
      </c>
      <c r="R216" s="34" t="s">
        <v>50</v>
      </c>
      <c r="S216" s="35" t="n">
        <f>3884.53</f>
        <v>3884.53</v>
      </c>
      <c r="T216" s="32" t="n">
        <f>270101</f>
        <v>270101.0</v>
      </c>
      <c r="U216" s="32" t="n">
        <f>29500</f>
        <v>29500.0</v>
      </c>
      <c r="V216" s="32" t="n">
        <f>1047199958</f>
        <v>1.047199958E9</v>
      </c>
      <c r="W216" s="32" t="n">
        <f>114133940</f>
        <v>1.1413394E8</v>
      </c>
      <c r="X216" s="36" t="n">
        <f>19</f>
        <v>19.0</v>
      </c>
    </row>
    <row r="217">
      <c r="A217" s="27" t="s">
        <v>42</v>
      </c>
      <c r="B217" s="27" t="s">
        <v>695</v>
      </c>
      <c r="C217" s="27" t="s">
        <v>696</v>
      </c>
      <c r="D217" s="27" t="s">
        <v>697</v>
      </c>
      <c r="E217" s="28" t="s">
        <v>46</v>
      </c>
      <c r="F217" s="29" t="s">
        <v>46</v>
      </c>
      <c r="G217" s="30" t="s">
        <v>46</v>
      </c>
      <c r="H217" s="31"/>
      <c r="I217" s="31" t="s">
        <v>47</v>
      </c>
      <c r="J217" s="32" t="n">
        <v>10.0</v>
      </c>
      <c r="K217" s="33" t="n">
        <f>800</f>
        <v>800.0</v>
      </c>
      <c r="L217" s="34" t="s">
        <v>48</v>
      </c>
      <c r="M217" s="33" t="n">
        <f>811</f>
        <v>811.0</v>
      </c>
      <c r="N217" s="34" t="s">
        <v>48</v>
      </c>
      <c r="O217" s="33" t="n">
        <f>766.1</f>
        <v>766.1</v>
      </c>
      <c r="P217" s="34" t="s">
        <v>217</v>
      </c>
      <c r="Q217" s="33" t="n">
        <f>785.2</f>
        <v>785.2</v>
      </c>
      <c r="R217" s="34" t="s">
        <v>50</v>
      </c>
      <c r="S217" s="35" t="n">
        <f>786.72</f>
        <v>786.72</v>
      </c>
      <c r="T217" s="32" t="n">
        <f>608280</f>
        <v>608280.0</v>
      </c>
      <c r="U217" s="32" t="n">
        <f>137970</f>
        <v>137970.0</v>
      </c>
      <c r="V217" s="32" t="n">
        <f>478788344</f>
        <v>4.78788344E8</v>
      </c>
      <c r="W217" s="32" t="n">
        <f>107713096</f>
        <v>1.07713096E8</v>
      </c>
      <c r="X217" s="36" t="n">
        <f>19</f>
        <v>19.0</v>
      </c>
    </row>
    <row r="218">
      <c r="A218" s="27" t="s">
        <v>42</v>
      </c>
      <c r="B218" s="27" t="s">
        <v>698</v>
      </c>
      <c r="C218" s="27" t="s">
        <v>699</v>
      </c>
      <c r="D218" s="27" t="s">
        <v>700</v>
      </c>
      <c r="E218" s="28" t="s">
        <v>46</v>
      </c>
      <c r="F218" s="29" t="s">
        <v>46</v>
      </c>
      <c r="G218" s="30" t="s">
        <v>46</v>
      </c>
      <c r="H218" s="31"/>
      <c r="I218" s="31" t="s">
        <v>47</v>
      </c>
      <c r="J218" s="32" t="n">
        <v>1.0</v>
      </c>
      <c r="K218" s="33" t="n">
        <f>3063</f>
        <v>3063.0</v>
      </c>
      <c r="L218" s="34" t="s">
        <v>48</v>
      </c>
      <c r="M218" s="33" t="n">
        <f>3090</f>
        <v>3090.0</v>
      </c>
      <c r="N218" s="34" t="s">
        <v>200</v>
      </c>
      <c r="O218" s="33" t="n">
        <f>3024</f>
        <v>3024.0</v>
      </c>
      <c r="P218" s="34" t="s">
        <v>67</v>
      </c>
      <c r="Q218" s="33" t="n">
        <f>3057</f>
        <v>3057.0</v>
      </c>
      <c r="R218" s="34" t="s">
        <v>50</v>
      </c>
      <c r="S218" s="35" t="n">
        <f>3053.75</f>
        <v>3053.75</v>
      </c>
      <c r="T218" s="32" t="n">
        <f>59839</f>
        <v>59839.0</v>
      </c>
      <c r="U218" s="32" t="str">
        <f>"－"</f>
        <v>－</v>
      </c>
      <c r="V218" s="32" t="n">
        <f>183182444</f>
        <v>1.83182444E8</v>
      </c>
      <c r="W218" s="32" t="str">
        <f>"－"</f>
        <v>－</v>
      </c>
      <c r="X218" s="36" t="n">
        <f>16</f>
        <v>16.0</v>
      </c>
    </row>
    <row r="219">
      <c r="A219" s="27" t="s">
        <v>42</v>
      </c>
      <c r="B219" s="27" t="s">
        <v>701</v>
      </c>
      <c r="C219" s="27" t="s">
        <v>702</v>
      </c>
      <c r="D219" s="27" t="s">
        <v>703</v>
      </c>
      <c r="E219" s="28" t="s">
        <v>46</v>
      </c>
      <c r="F219" s="29" t="s">
        <v>46</v>
      </c>
      <c r="G219" s="30" t="s">
        <v>46</v>
      </c>
      <c r="H219" s="31"/>
      <c r="I219" s="31" t="s">
        <v>47</v>
      </c>
      <c r="J219" s="32" t="n">
        <v>1.0</v>
      </c>
      <c r="K219" s="33" t="n">
        <f>3441</f>
        <v>3441.0</v>
      </c>
      <c r="L219" s="34" t="s">
        <v>48</v>
      </c>
      <c r="M219" s="33" t="n">
        <f>3572</f>
        <v>3572.0</v>
      </c>
      <c r="N219" s="34" t="s">
        <v>200</v>
      </c>
      <c r="O219" s="33" t="n">
        <f>3388</f>
        <v>3388.0</v>
      </c>
      <c r="P219" s="34" t="s">
        <v>67</v>
      </c>
      <c r="Q219" s="33" t="n">
        <f>3541</f>
        <v>3541.0</v>
      </c>
      <c r="R219" s="34" t="s">
        <v>50</v>
      </c>
      <c r="S219" s="35" t="n">
        <f>3456.82</f>
        <v>3456.82</v>
      </c>
      <c r="T219" s="32" t="n">
        <f>208671</f>
        <v>208671.0</v>
      </c>
      <c r="U219" s="32" t="n">
        <f>146975</f>
        <v>146975.0</v>
      </c>
      <c r="V219" s="32" t="n">
        <f>712639458</f>
        <v>7.12639458E8</v>
      </c>
      <c r="W219" s="32" t="n">
        <f>499998661</f>
        <v>4.99998661E8</v>
      </c>
      <c r="X219" s="36" t="n">
        <f>17</f>
        <v>17.0</v>
      </c>
    </row>
    <row r="220">
      <c r="A220" s="27" t="s">
        <v>42</v>
      </c>
      <c r="B220" s="27" t="s">
        <v>704</v>
      </c>
      <c r="C220" s="27" t="s">
        <v>705</v>
      </c>
      <c r="D220" s="27" t="s">
        <v>706</v>
      </c>
      <c r="E220" s="28" t="s">
        <v>46</v>
      </c>
      <c r="F220" s="29" t="s">
        <v>46</v>
      </c>
      <c r="G220" s="30" t="s">
        <v>46</v>
      </c>
      <c r="H220" s="31"/>
      <c r="I220" s="31" t="s">
        <v>47</v>
      </c>
      <c r="J220" s="32" t="n">
        <v>1.0</v>
      </c>
      <c r="K220" s="33" t="n">
        <f>2671</f>
        <v>2671.0</v>
      </c>
      <c r="L220" s="34" t="s">
        <v>48</v>
      </c>
      <c r="M220" s="33" t="n">
        <f>2692</f>
        <v>2692.0</v>
      </c>
      <c r="N220" s="34" t="s">
        <v>270</v>
      </c>
      <c r="O220" s="33" t="n">
        <f>2571</f>
        <v>2571.0</v>
      </c>
      <c r="P220" s="34" t="s">
        <v>200</v>
      </c>
      <c r="Q220" s="33" t="n">
        <f>2586</f>
        <v>2586.0</v>
      </c>
      <c r="R220" s="34" t="s">
        <v>50</v>
      </c>
      <c r="S220" s="35" t="n">
        <f>2625.28</f>
        <v>2625.28</v>
      </c>
      <c r="T220" s="32" t="n">
        <f>370505</f>
        <v>370505.0</v>
      </c>
      <c r="U220" s="32" t="n">
        <f>190914</f>
        <v>190914.0</v>
      </c>
      <c r="V220" s="32" t="n">
        <f>969721273</f>
        <v>9.69721273E8</v>
      </c>
      <c r="W220" s="32" t="n">
        <f>499998038</f>
        <v>4.99998038E8</v>
      </c>
      <c r="X220" s="36" t="n">
        <f>18</f>
        <v>18.0</v>
      </c>
    </row>
    <row r="221">
      <c r="A221" s="27" t="s">
        <v>42</v>
      </c>
      <c r="B221" s="27" t="s">
        <v>707</v>
      </c>
      <c r="C221" s="27" t="s">
        <v>708</v>
      </c>
      <c r="D221" s="27" t="s">
        <v>709</v>
      </c>
      <c r="E221" s="28" t="s">
        <v>46</v>
      </c>
      <c r="F221" s="29" t="s">
        <v>46</v>
      </c>
      <c r="G221" s="30" t="s">
        <v>46</v>
      </c>
      <c r="H221" s="31"/>
      <c r="I221" s="31" t="s">
        <v>47</v>
      </c>
      <c r="J221" s="32" t="n">
        <v>1.0</v>
      </c>
      <c r="K221" s="33" t="n">
        <f>2923</f>
        <v>2923.0</v>
      </c>
      <c r="L221" s="34" t="s">
        <v>48</v>
      </c>
      <c r="M221" s="33" t="n">
        <f>2923</f>
        <v>2923.0</v>
      </c>
      <c r="N221" s="34" t="s">
        <v>48</v>
      </c>
      <c r="O221" s="33" t="n">
        <f>2798</f>
        <v>2798.0</v>
      </c>
      <c r="P221" s="34" t="s">
        <v>157</v>
      </c>
      <c r="Q221" s="33" t="n">
        <f>2817</f>
        <v>2817.0</v>
      </c>
      <c r="R221" s="34" t="s">
        <v>50</v>
      </c>
      <c r="S221" s="35" t="n">
        <f>2838.44</f>
        <v>2838.44</v>
      </c>
      <c r="T221" s="32" t="n">
        <f>400600</f>
        <v>400600.0</v>
      </c>
      <c r="U221" s="32" t="str">
        <f>"－"</f>
        <v>－</v>
      </c>
      <c r="V221" s="32" t="n">
        <f>1149007574</f>
        <v>1.149007574E9</v>
      </c>
      <c r="W221" s="32" t="str">
        <f>"－"</f>
        <v>－</v>
      </c>
      <c r="X221" s="36" t="n">
        <f>16</f>
        <v>16.0</v>
      </c>
    </row>
    <row r="222">
      <c r="A222" s="27" t="s">
        <v>42</v>
      </c>
      <c r="B222" s="27" t="s">
        <v>710</v>
      </c>
      <c r="C222" s="27" t="s">
        <v>711</v>
      </c>
      <c r="D222" s="27" t="s">
        <v>712</v>
      </c>
      <c r="E222" s="28" t="s">
        <v>46</v>
      </c>
      <c r="F222" s="29" t="s">
        <v>46</v>
      </c>
      <c r="G222" s="30" t="s">
        <v>46</v>
      </c>
      <c r="H222" s="31"/>
      <c r="I222" s="31" t="s">
        <v>47</v>
      </c>
      <c r="J222" s="32" t="n">
        <v>1.0</v>
      </c>
      <c r="K222" s="33" t="n">
        <f>4295</f>
        <v>4295.0</v>
      </c>
      <c r="L222" s="34" t="s">
        <v>48</v>
      </c>
      <c r="M222" s="33" t="n">
        <f>4295</f>
        <v>4295.0</v>
      </c>
      <c r="N222" s="34" t="s">
        <v>48</v>
      </c>
      <c r="O222" s="33" t="n">
        <f>4154</f>
        <v>4154.0</v>
      </c>
      <c r="P222" s="34" t="s">
        <v>50</v>
      </c>
      <c r="Q222" s="33" t="n">
        <f>4154</f>
        <v>4154.0</v>
      </c>
      <c r="R222" s="34" t="s">
        <v>50</v>
      </c>
      <c r="S222" s="35" t="n">
        <f>4241.89</f>
        <v>4241.89</v>
      </c>
      <c r="T222" s="32" t="n">
        <f>741114</f>
        <v>741114.0</v>
      </c>
      <c r="U222" s="32" t="n">
        <f>367980</f>
        <v>367980.0</v>
      </c>
      <c r="V222" s="32" t="n">
        <f>3101009956</f>
        <v>3.101009956E9</v>
      </c>
      <c r="W222" s="32" t="n">
        <f>1538733079</f>
        <v>1.538733079E9</v>
      </c>
      <c r="X222" s="36" t="n">
        <f>18</f>
        <v>18.0</v>
      </c>
    </row>
    <row r="223">
      <c r="A223" s="27" t="s">
        <v>42</v>
      </c>
      <c r="B223" s="27" t="s">
        <v>713</v>
      </c>
      <c r="C223" s="27" t="s">
        <v>714</v>
      </c>
      <c r="D223" s="27" t="s">
        <v>715</v>
      </c>
      <c r="E223" s="28" t="s">
        <v>46</v>
      </c>
      <c r="F223" s="29" t="s">
        <v>46</v>
      </c>
      <c r="G223" s="30" t="s">
        <v>46</v>
      </c>
      <c r="H223" s="31"/>
      <c r="I223" s="31" t="s">
        <v>47</v>
      </c>
      <c r="J223" s="32" t="n">
        <v>1.0</v>
      </c>
      <c r="K223" s="33" t="n">
        <f>4476</f>
        <v>4476.0</v>
      </c>
      <c r="L223" s="34" t="s">
        <v>48</v>
      </c>
      <c r="M223" s="33" t="n">
        <f>4478</f>
        <v>4478.0</v>
      </c>
      <c r="N223" s="34" t="s">
        <v>71</v>
      </c>
      <c r="O223" s="33" t="n">
        <f>4352</f>
        <v>4352.0</v>
      </c>
      <c r="P223" s="34" t="s">
        <v>200</v>
      </c>
      <c r="Q223" s="33" t="n">
        <f>4387</f>
        <v>4387.0</v>
      </c>
      <c r="R223" s="34" t="s">
        <v>50</v>
      </c>
      <c r="S223" s="35" t="n">
        <f>4421.58</f>
        <v>4421.58</v>
      </c>
      <c r="T223" s="32" t="n">
        <f>51809</f>
        <v>51809.0</v>
      </c>
      <c r="U223" s="32" t="str">
        <f>"－"</f>
        <v>－</v>
      </c>
      <c r="V223" s="32" t="n">
        <f>229165753</f>
        <v>2.29165753E8</v>
      </c>
      <c r="W223" s="32" t="str">
        <f>"－"</f>
        <v>－</v>
      </c>
      <c r="X223" s="36" t="n">
        <f>19</f>
        <v>19.0</v>
      </c>
    </row>
    <row r="224">
      <c r="A224" s="27" t="s">
        <v>42</v>
      </c>
      <c r="B224" s="27" t="s">
        <v>716</v>
      </c>
      <c r="C224" s="27" t="s">
        <v>717</v>
      </c>
      <c r="D224" s="27" t="s">
        <v>718</v>
      </c>
      <c r="E224" s="28" t="s">
        <v>46</v>
      </c>
      <c r="F224" s="29" t="s">
        <v>46</v>
      </c>
      <c r="G224" s="30" t="s">
        <v>46</v>
      </c>
      <c r="H224" s="31"/>
      <c r="I224" s="31" t="s">
        <v>47</v>
      </c>
      <c r="J224" s="32" t="n">
        <v>1.0</v>
      </c>
      <c r="K224" s="33" t="n">
        <f>4532</f>
        <v>4532.0</v>
      </c>
      <c r="L224" s="34" t="s">
        <v>48</v>
      </c>
      <c r="M224" s="33" t="n">
        <f>4532</f>
        <v>4532.0</v>
      </c>
      <c r="N224" s="34" t="s">
        <v>48</v>
      </c>
      <c r="O224" s="33" t="n">
        <f>4340</f>
        <v>4340.0</v>
      </c>
      <c r="P224" s="34" t="s">
        <v>50</v>
      </c>
      <c r="Q224" s="33" t="n">
        <f>4340</f>
        <v>4340.0</v>
      </c>
      <c r="R224" s="34" t="s">
        <v>50</v>
      </c>
      <c r="S224" s="35" t="n">
        <f>4442.5</f>
        <v>4442.5</v>
      </c>
      <c r="T224" s="32" t="n">
        <f>265247</f>
        <v>265247.0</v>
      </c>
      <c r="U224" s="32" t="str">
        <f>"－"</f>
        <v>－</v>
      </c>
      <c r="V224" s="32" t="n">
        <f>1176028551</f>
        <v>1.176028551E9</v>
      </c>
      <c r="W224" s="32" t="str">
        <f>"－"</f>
        <v>－</v>
      </c>
      <c r="X224" s="36" t="n">
        <f>18</f>
        <v>18.0</v>
      </c>
    </row>
    <row r="225">
      <c r="A225" s="27" t="s">
        <v>42</v>
      </c>
      <c r="B225" s="27" t="s">
        <v>719</v>
      </c>
      <c r="C225" s="27" t="s">
        <v>720</v>
      </c>
      <c r="D225" s="27" t="s">
        <v>721</v>
      </c>
      <c r="E225" s="28" t="s">
        <v>46</v>
      </c>
      <c r="F225" s="29" t="s">
        <v>46</v>
      </c>
      <c r="G225" s="30" t="s">
        <v>46</v>
      </c>
      <c r="H225" s="31"/>
      <c r="I225" s="31" t="s">
        <v>47</v>
      </c>
      <c r="J225" s="32" t="n">
        <v>1.0</v>
      </c>
      <c r="K225" s="33" t="n">
        <f>5314</f>
        <v>5314.0</v>
      </c>
      <c r="L225" s="34" t="s">
        <v>48</v>
      </c>
      <c r="M225" s="33" t="n">
        <f>5329</f>
        <v>5329.0</v>
      </c>
      <c r="N225" s="34" t="s">
        <v>66</v>
      </c>
      <c r="O225" s="33" t="n">
        <f>5001</f>
        <v>5001.0</v>
      </c>
      <c r="P225" s="34" t="s">
        <v>98</v>
      </c>
      <c r="Q225" s="33" t="n">
        <f>5217</f>
        <v>5217.0</v>
      </c>
      <c r="R225" s="34" t="s">
        <v>50</v>
      </c>
      <c r="S225" s="35" t="n">
        <f>5195.32</f>
        <v>5195.32</v>
      </c>
      <c r="T225" s="32" t="n">
        <f>529353</f>
        <v>529353.0</v>
      </c>
      <c r="U225" s="32" t="n">
        <f>477000</f>
        <v>477000.0</v>
      </c>
      <c r="V225" s="32" t="n">
        <f>2705631270</f>
        <v>2.70563127E9</v>
      </c>
      <c r="W225" s="32" t="n">
        <f>2436320563</f>
        <v>2.436320563E9</v>
      </c>
      <c r="X225" s="36" t="n">
        <f>19</f>
        <v>19.0</v>
      </c>
    </row>
    <row r="226">
      <c r="A226" s="27" t="s">
        <v>42</v>
      </c>
      <c r="B226" s="27" t="s">
        <v>722</v>
      </c>
      <c r="C226" s="27" t="s">
        <v>723</v>
      </c>
      <c r="D226" s="27" t="s">
        <v>724</v>
      </c>
      <c r="E226" s="28" t="s">
        <v>46</v>
      </c>
      <c r="F226" s="29" t="s">
        <v>46</v>
      </c>
      <c r="G226" s="30" t="s">
        <v>46</v>
      </c>
      <c r="H226" s="31"/>
      <c r="I226" s="31" t="s">
        <v>47</v>
      </c>
      <c r="J226" s="32" t="n">
        <v>1.0</v>
      </c>
      <c r="K226" s="33" t="n">
        <f>783</f>
        <v>783.0</v>
      </c>
      <c r="L226" s="34" t="s">
        <v>48</v>
      </c>
      <c r="M226" s="33" t="n">
        <f>819</f>
        <v>819.0</v>
      </c>
      <c r="N226" s="34" t="s">
        <v>50</v>
      </c>
      <c r="O226" s="33" t="n">
        <f>778</f>
        <v>778.0</v>
      </c>
      <c r="P226" s="34" t="s">
        <v>48</v>
      </c>
      <c r="Q226" s="33" t="n">
        <f>819</f>
        <v>819.0</v>
      </c>
      <c r="R226" s="34" t="s">
        <v>50</v>
      </c>
      <c r="S226" s="35" t="n">
        <f>797.37</f>
        <v>797.37</v>
      </c>
      <c r="T226" s="32" t="n">
        <f>668848</f>
        <v>668848.0</v>
      </c>
      <c r="U226" s="32" t="str">
        <f>"－"</f>
        <v>－</v>
      </c>
      <c r="V226" s="32" t="n">
        <f>529951027</f>
        <v>5.29951027E8</v>
      </c>
      <c r="W226" s="32" t="str">
        <f>"－"</f>
        <v>－</v>
      </c>
      <c r="X226" s="36" t="n">
        <f>19</f>
        <v>19.0</v>
      </c>
    </row>
    <row r="227">
      <c r="A227" s="27" t="s">
        <v>42</v>
      </c>
      <c r="B227" s="27" t="s">
        <v>725</v>
      </c>
      <c r="C227" s="27" t="s">
        <v>726</v>
      </c>
      <c r="D227" s="27" t="s">
        <v>727</v>
      </c>
      <c r="E227" s="28" t="s">
        <v>46</v>
      </c>
      <c r="F227" s="29" t="s">
        <v>46</v>
      </c>
      <c r="G227" s="30" t="s">
        <v>46</v>
      </c>
      <c r="H227" s="31"/>
      <c r="I227" s="31" t="s">
        <v>47</v>
      </c>
      <c r="J227" s="32" t="n">
        <v>1.0</v>
      </c>
      <c r="K227" s="33" t="n">
        <f>1190</f>
        <v>1190.0</v>
      </c>
      <c r="L227" s="34" t="s">
        <v>48</v>
      </c>
      <c r="M227" s="33" t="n">
        <f>1190</f>
        <v>1190.0</v>
      </c>
      <c r="N227" s="34" t="s">
        <v>48</v>
      </c>
      <c r="O227" s="33" t="n">
        <f>1116</f>
        <v>1116.0</v>
      </c>
      <c r="P227" s="34" t="s">
        <v>200</v>
      </c>
      <c r="Q227" s="33" t="n">
        <f>1117</f>
        <v>1117.0</v>
      </c>
      <c r="R227" s="34" t="s">
        <v>50</v>
      </c>
      <c r="S227" s="35" t="n">
        <f>1154.05</f>
        <v>1154.05</v>
      </c>
      <c r="T227" s="32" t="n">
        <f>95347</f>
        <v>95347.0</v>
      </c>
      <c r="U227" s="32" t="str">
        <f>"－"</f>
        <v>－</v>
      </c>
      <c r="V227" s="32" t="n">
        <f>111328507</f>
        <v>1.11328507E8</v>
      </c>
      <c r="W227" s="32" t="str">
        <f>"－"</f>
        <v>－</v>
      </c>
      <c r="X227" s="36" t="n">
        <f>19</f>
        <v>19.0</v>
      </c>
    </row>
    <row r="228">
      <c r="A228" s="27" t="s">
        <v>42</v>
      </c>
      <c r="B228" s="27" t="s">
        <v>728</v>
      </c>
      <c r="C228" s="27" t="s">
        <v>729</v>
      </c>
      <c r="D228" s="27" t="s">
        <v>730</v>
      </c>
      <c r="E228" s="28" t="s">
        <v>46</v>
      </c>
      <c r="F228" s="29" t="s">
        <v>46</v>
      </c>
      <c r="G228" s="30" t="s">
        <v>46</v>
      </c>
      <c r="H228" s="31"/>
      <c r="I228" s="31" t="s">
        <v>47</v>
      </c>
      <c r="J228" s="32" t="n">
        <v>1.0</v>
      </c>
      <c r="K228" s="33" t="n">
        <f>1017</f>
        <v>1017.0</v>
      </c>
      <c r="L228" s="34" t="s">
        <v>48</v>
      </c>
      <c r="M228" s="33" t="n">
        <f>1032</f>
        <v>1032.0</v>
      </c>
      <c r="N228" s="34" t="s">
        <v>66</v>
      </c>
      <c r="O228" s="33" t="n">
        <f>962</f>
        <v>962.0</v>
      </c>
      <c r="P228" s="34" t="s">
        <v>78</v>
      </c>
      <c r="Q228" s="33" t="n">
        <f>969</f>
        <v>969.0</v>
      </c>
      <c r="R228" s="34" t="s">
        <v>50</v>
      </c>
      <c r="S228" s="35" t="n">
        <f>991.53</f>
        <v>991.53</v>
      </c>
      <c r="T228" s="32" t="n">
        <f>242675</f>
        <v>242675.0</v>
      </c>
      <c r="U228" s="32" t="str">
        <f>"－"</f>
        <v>－</v>
      </c>
      <c r="V228" s="32" t="n">
        <f>241263374</f>
        <v>2.41263374E8</v>
      </c>
      <c r="W228" s="32" t="str">
        <f>"－"</f>
        <v>－</v>
      </c>
      <c r="X228" s="36" t="n">
        <f>19</f>
        <v>19.0</v>
      </c>
    </row>
    <row r="229">
      <c r="A229" s="27" t="s">
        <v>42</v>
      </c>
      <c r="B229" s="27" t="s">
        <v>731</v>
      </c>
      <c r="C229" s="27" t="s">
        <v>732</v>
      </c>
      <c r="D229" s="27" t="s">
        <v>733</v>
      </c>
      <c r="E229" s="28" t="s">
        <v>46</v>
      </c>
      <c r="F229" s="29" t="s">
        <v>46</v>
      </c>
      <c r="G229" s="30" t="s">
        <v>46</v>
      </c>
      <c r="H229" s="31"/>
      <c r="I229" s="31" t="s">
        <v>47</v>
      </c>
      <c r="J229" s="32" t="n">
        <v>1.0</v>
      </c>
      <c r="K229" s="33" t="n">
        <f>946</f>
        <v>946.0</v>
      </c>
      <c r="L229" s="34" t="s">
        <v>48</v>
      </c>
      <c r="M229" s="33" t="n">
        <f>946</f>
        <v>946.0</v>
      </c>
      <c r="N229" s="34" t="s">
        <v>48</v>
      </c>
      <c r="O229" s="33" t="n">
        <f>901</f>
        <v>901.0</v>
      </c>
      <c r="P229" s="34" t="s">
        <v>50</v>
      </c>
      <c r="Q229" s="33" t="n">
        <f>905</f>
        <v>905.0</v>
      </c>
      <c r="R229" s="34" t="s">
        <v>50</v>
      </c>
      <c r="S229" s="35" t="n">
        <f>922.89</f>
        <v>922.89</v>
      </c>
      <c r="T229" s="32" t="n">
        <f>443882</f>
        <v>443882.0</v>
      </c>
      <c r="U229" s="32" t="str">
        <f>"－"</f>
        <v>－</v>
      </c>
      <c r="V229" s="32" t="n">
        <f>411806007</f>
        <v>4.11806007E8</v>
      </c>
      <c r="W229" s="32" t="str">
        <f>"－"</f>
        <v>－</v>
      </c>
      <c r="X229" s="36" t="n">
        <f>19</f>
        <v>19.0</v>
      </c>
    </row>
    <row r="230">
      <c r="A230" s="27" t="s">
        <v>42</v>
      </c>
      <c r="B230" s="27" t="s">
        <v>734</v>
      </c>
      <c r="C230" s="27" t="s">
        <v>735</v>
      </c>
      <c r="D230" s="27" t="s">
        <v>736</v>
      </c>
      <c r="E230" s="28" t="s">
        <v>46</v>
      </c>
      <c r="F230" s="29" t="s">
        <v>46</v>
      </c>
      <c r="G230" s="30" t="s">
        <v>46</v>
      </c>
      <c r="H230" s="31"/>
      <c r="I230" s="31" t="s">
        <v>47</v>
      </c>
      <c r="J230" s="32" t="n">
        <v>1.0</v>
      </c>
      <c r="K230" s="33" t="n">
        <f>990</f>
        <v>990.0</v>
      </c>
      <c r="L230" s="34" t="s">
        <v>48</v>
      </c>
      <c r="M230" s="33" t="n">
        <f>990</f>
        <v>990.0</v>
      </c>
      <c r="N230" s="34" t="s">
        <v>48</v>
      </c>
      <c r="O230" s="33" t="n">
        <f>941</f>
        <v>941.0</v>
      </c>
      <c r="P230" s="34" t="s">
        <v>50</v>
      </c>
      <c r="Q230" s="33" t="n">
        <f>942</f>
        <v>942.0</v>
      </c>
      <c r="R230" s="34" t="s">
        <v>50</v>
      </c>
      <c r="S230" s="35" t="n">
        <f>968.26</f>
        <v>968.26</v>
      </c>
      <c r="T230" s="32" t="n">
        <f>319101</f>
        <v>319101.0</v>
      </c>
      <c r="U230" s="32" t="n">
        <f>150000</f>
        <v>150000.0</v>
      </c>
      <c r="V230" s="32" t="n">
        <f>303982048</f>
        <v>3.03982048E8</v>
      </c>
      <c r="W230" s="32" t="n">
        <f>141436920</f>
        <v>1.4143692E8</v>
      </c>
      <c r="X230" s="36" t="n">
        <f>19</f>
        <v>19.0</v>
      </c>
    </row>
    <row r="231">
      <c r="A231" s="27" t="s">
        <v>42</v>
      </c>
      <c r="B231" s="27" t="s">
        <v>737</v>
      </c>
      <c r="C231" s="27" t="s">
        <v>738</v>
      </c>
      <c r="D231" s="27" t="s">
        <v>739</v>
      </c>
      <c r="E231" s="28" t="s">
        <v>46</v>
      </c>
      <c r="F231" s="29" t="s">
        <v>46</v>
      </c>
      <c r="G231" s="30" t="s">
        <v>46</v>
      </c>
      <c r="H231" s="31"/>
      <c r="I231" s="31" t="s">
        <v>47</v>
      </c>
      <c r="J231" s="32" t="n">
        <v>1.0</v>
      </c>
      <c r="K231" s="33" t="n">
        <f>1598</f>
        <v>1598.0</v>
      </c>
      <c r="L231" s="34" t="s">
        <v>48</v>
      </c>
      <c r="M231" s="33" t="n">
        <f>1686</f>
        <v>1686.0</v>
      </c>
      <c r="N231" s="34" t="s">
        <v>66</v>
      </c>
      <c r="O231" s="33" t="n">
        <f>1510</f>
        <v>1510.0</v>
      </c>
      <c r="P231" s="34" t="s">
        <v>78</v>
      </c>
      <c r="Q231" s="33" t="n">
        <f>1516</f>
        <v>1516.0</v>
      </c>
      <c r="R231" s="34" t="s">
        <v>50</v>
      </c>
      <c r="S231" s="35" t="n">
        <f>1548.95</f>
        <v>1548.95</v>
      </c>
      <c r="T231" s="32" t="n">
        <f>1165660</f>
        <v>1165660.0</v>
      </c>
      <c r="U231" s="32" t="n">
        <f>248100</f>
        <v>248100.0</v>
      </c>
      <c r="V231" s="32" t="n">
        <f>1796410784</f>
        <v>1.796410784E9</v>
      </c>
      <c r="W231" s="32" t="n">
        <f>380451426</f>
        <v>3.80451426E8</v>
      </c>
      <c r="X231" s="36" t="n">
        <f>19</f>
        <v>19.0</v>
      </c>
    </row>
    <row r="232">
      <c r="A232" s="27" t="s">
        <v>42</v>
      </c>
      <c r="B232" s="27" t="s">
        <v>740</v>
      </c>
      <c r="C232" s="27" t="s">
        <v>741</v>
      </c>
      <c r="D232" s="27" t="s">
        <v>742</v>
      </c>
      <c r="E232" s="28" t="s">
        <v>46</v>
      </c>
      <c r="F232" s="29" t="s">
        <v>46</v>
      </c>
      <c r="G232" s="30" t="s">
        <v>46</v>
      </c>
      <c r="H232" s="31"/>
      <c r="I232" s="31" t="s">
        <v>47</v>
      </c>
      <c r="J232" s="32" t="n">
        <v>10.0</v>
      </c>
      <c r="K232" s="33" t="n">
        <f>395</f>
        <v>395.0</v>
      </c>
      <c r="L232" s="34" t="s">
        <v>48</v>
      </c>
      <c r="M232" s="33" t="n">
        <f>424.3</f>
        <v>424.3</v>
      </c>
      <c r="N232" s="34" t="s">
        <v>98</v>
      </c>
      <c r="O232" s="33" t="n">
        <f>366.5</f>
        <v>366.5</v>
      </c>
      <c r="P232" s="34" t="s">
        <v>71</v>
      </c>
      <c r="Q232" s="33" t="n">
        <f>416.5</f>
        <v>416.5</v>
      </c>
      <c r="R232" s="34" t="s">
        <v>50</v>
      </c>
      <c r="S232" s="35" t="n">
        <f>396.86</f>
        <v>396.86</v>
      </c>
      <c r="T232" s="32" t="n">
        <f>11649110</f>
        <v>1.164911E7</v>
      </c>
      <c r="U232" s="32" t="n">
        <f>35150</f>
        <v>35150.0</v>
      </c>
      <c r="V232" s="32" t="n">
        <f>4633013123</f>
        <v>4.633013123E9</v>
      </c>
      <c r="W232" s="32" t="n">
        <f>13703335</f>
        <v>1.3703335E7</v>
      </c>
      <c r="X232" s="36" t="n">
        <f>19</f>
        <v>19.0</v>
      </c>
    </row>
    <row r="233">
      <c r="A233" s="27" t="s">
        <v>42</v>
      </c>
      <c r="B233" s="27" t="s">
        <v>743</v>
      </c>
      <c r="C233" s="27" t="s">
        <v>744</v>
      </c>
      <c r="D233" s="27" t="s">
        <v>745</v>
      </c>
      <c r="E233" s="28" t="s">
        <v>46</v>
      </c>
      <c r="F233" s="29" t="s">
        <v>46</v>
      </c>
      <c r="G233" s="30" t="s">
        <v>46</v>
      </c>
      <c r="H233" s="31"/>
      <c r="I233" s="31" t="s">
        <v>47</v>
      </c>
      <c r="J233" s="32" t="n">
        <v>10.0</v>
      </c>
      <c r="K233" s="33" t="n">
        <f>1108.5</f>
        <v>1108.5</v>
      </c>
      <c r="L233" s="34" t="s">
        <v>48</v>
      </c>
      <c r="M233" s="33" t="n">
        <f>1197.5</f>
        <v>1197.5</v>
      </c>
      <c r="N233" s="34" t="s">
        <v>98</v>
      </c>
      <c r="O233" s="33" t="n">
        <f>1031.5</f>
        <v>1031.5</v>
      </c>
      <c r="P233" s="34" t="s">
        <v>71</v>
      </c>
      <c r="Q233" s="33" t="n">
        <f>1176</f>
        <v>1176.0</v>
      </c>
      <c r="R233" s="34" t="s">
        <v>50</v>
      </c>
      <c r="S233" s="35" t="n">
        <f>1117.97</f>
        <v>1117.97</v>
      </c>
      <c r="T233" s="32" t="n">
        <f>1866460</f>
        <v>1866460.0</v>
      </c>
      <c r="U233" s="32" t="n">
        <f>30</f>
        <v>30.0</v>
      </c>
      <c r="V233" s="32" t="n">
        <f>2100111405</f>
        <v>2.100111405E9</v>
      </c>
      <c r="W233" s="32" t="n">
        <f>34770</f>
        <v>34770.0</v>
      </c>
      <c r="X233" s="36" t="n">
        <f>19</f>
        <v>19.0</v>
      </c>
    </row>
    <row r="234">
      <c r="A234" s="27" t="s">
        <v>42</v>
      </c>
      <c r="B234" s="27" t="s">
        <v>746</v>
      </c>
      <c r="C234" s="27" t="s">
        <v>747</v>
      </c>
      <c r="D234" s="27" t="s">
        <v>748</v>
      </c>
      <c r="E234" s="28" t="s">
        <v>46</v>
      </c>
      <c r="F234" s="29" t="s">
        <v>46</v>
      </c>
      <c r="G234" s="30" t="s">
        <v>46</v>
      </c>
      <c r="H234" s="31"/>
      <c r="I234" s="31" t="s">
        <v>47</v>
      </c>
      <c r="J234" s="32" t="n">
        <v>1.0</v>
      </c>
      <c r="K234" s="33" t="n">
        <f>3685</f>
        <v>3685.0</v>
      </c>
      <c r="L234" s="34" t="s">
        <v>48</v>
      </c>
      <c r="M234" s="33" t="n">
        <f>3687</f>
        <v>3687.0</v>
      </c>
      <c r="N234" s="34" t="s">
        <v>48</v>
      </c>
      <c r="O234" s="33" t="n">
        <f>3485</f>
        <v>3485.0</v>
      </c>
      <c r="P234" s="34" t="s">
        <v>49</v>
      </c>
      <c r="Q234" s="33" t="n">
        <f>3505</f>
        <v>3505.0</v>
      </c>
      <c r="R234" s="34" t="s">
        <v>50</v>
      </c>
      <c r="S234" s="35" t="n">
        <f>3546.95</f>
        <v>3546.95</v>
      </c>
      <c r="T234" s="32" t="n">
        <f>76299</f>
        <v>76299.0</v>
      </c>
      <c r="U234" s="32" t="n">
        <f>100</f>
        <v>100.0</v>
      </c>
      <c r="V234" s="32" t="n">
        <f>273641823</f>
        <v>2.73641823E8</v>
      </c>
      <c r="W234" s="32" t="n">
        <f>351358</f>
        <v>351358.0</v>
      </c>
      <c r="X234" s="36" t="n">
        <f>19</f>
        <v>19.0</v>
      </c>
    </row>
    <row r="235">
      <c r="A235" s="27" t="s">
        <v>42</v>
      </c>
      <c r="B235" s="27" t="s">
        <v>749</v>
      </c>
      <c r="C235" s="27" t="s">
        <v>750</v>
      </c>
      <c r="D235" s="27" t="s">
        <v>751</v>
      </c>
      <c r="E235" s="28" t="s">
        <v>46</v>
      </c>
      <c r="F235" s="29" t="s">
        <v>46</v>
      </c>
      <c r="G235" s="30" t="s">
        <v>46</v>
      </c>
      <c r="H235" s="31"/>
      <c r="I235" s="31" t="s">
        <v>47</v>
      </c>
      <c r="J235" s="32" t="n">
        <v>1.0</v>
      </c>
      <c r="K235" s="33" t="n">
        <f>1509</f>
        <v>1509.0</v>
      </c>
      <c r="L235" s="34" t="s">
        <v>48</v>
      </c>
      <c r="M235" s="33" t="n">
        <f>1510</f>
        <v>1510.0</v>
      </c>
      <c r="N235" s="34" t="s">
        <v>48</v>
      </c>
      <c r="O235" s="33" t="n">
        <f>1399</f>
        <v>1399.0</v>
      </c>
      <c r="P235" s="34" t="s">
        <v>50</v>
      </c>
      <c r="Q235" s="33" t="n">
        <f>1403</f>
        <v>1403.0</v>
      </c>
      <c r="R235" s="34" t="s">
        <v>50</v>
      </c>
      <c r="S235" s="35" t="n">
        <f>1437.84</f>
        <v>1437.84</v>
      </c>
      <c r="T235" s="32" t="n">
        <f>355513</f>
        <v>355513.0</v>
      </c>
      <c r="U235" s="32" t="str">
        <f>"－"</f>
        <v>－</v>
      </c>
      <c r="V235" s="32" t="n">
        <f>509187622</f>
        <v>5.09187622E8</v>
      </c>
      <c r="W235" s="32" t="str">
        <f>"－"</f>
        <v>－</v>
      </c>
      <c r="X235" s="36" t="n">
        <f>19</f>
        <v>19.0</v>
      </c>
    </row>
    <row r="236">
      <c r="A236" s="27" t="s">
        <v>42</v>
      </c>
      <c r="B236" s="27" t="s">
        <v>752</v>
      </c>
      <c r="C236" s="27" t="s">
        <v>753</v>
      </c>
      <c r="D236" s="27" t="s">
        <v>754</v>
      </c>
      <c r="E236" s="28" t="s">
        <v>46</v>
      </c>
      <c r="F236" s="29" t="s">
        <v>46</v>
      </c>
      <c r="G236" s="30" t="s">
        <v>46</v>
      </c>
      <c r="H236" s="31"/>
      <c r="I236" s="31" t="s">
        <v>47</v>
      </c>
      <c r="J236" s="32" t="n">
        <v>1.0</v>
      </c>
      <c r="K236" s="33" t="n">
        <f>2472</f>
        <v>2472.0</v>
      </c>
      <c r="L236" s="34" t="s">
        <v>48</v>
      </c>
      <c r="M236" s="33" t="n">
        <f>2495</f>
        <v>2495.0</v>
      </c>
      <c r="N236" s="34" t="s">
        <v>270</v>
      </c>
      <c r="O236" s="33" t="n">
        <f>2377</f>
        <v>2377.0</v>
      </c>
      <c r="P236" s="34" t="s">
        <v>221</v>
      </c>
      <c r="Q236" s="33" t="n">
        <f>2431</f>
        <v>2431.0</v>
      </c>
      <c r="R236" s="34" t="s">
        <v>50</v>
      </c>
      <c r="S236" s="35" t="n">
        <f>2435</f>
        <v>2435.0</v>
      </c>
      <c r="T236" s="32" t="n">
        <f>184291</f>
        <v>184291.0</v>
      </c>
      <c r="U236" s="32" t="n">
        <f>1850</f>
        <v>1850.0</v>
      </c>
      <c r="V236" s="32" t="n">
        <f>448075535</f>
        <v>4.48075535E8</v>
      </c>
      <c r="W236" s="32" t="n">
        <f>4518181</f>
        <v>4518181.0</v>
      </c>
      <c r="X236" s="36" t="n">
        <f>19</f>
        <v>19.0</v>
      </c>
    </row>
    <row r="237">
      <c r="A237" s="27" t="s">
        <v>42</v>
      </c>
      <c r="B237" s="27" t="s">
        <v>755</v>
      </c>
      <c r="C237" s="27" t="s">
        <v>756</v>
      </c>
      <c r="D237" s="27" t="s">
        <v>757</v>
      </c>
      <c r="E237" s="28" t="s">
        <v>46</v>
      </c>
      <c r="F237" s="29" t="s">
        <v>46</v>
      </c>
      <c r="G237" s="30" t="s">
        <v>46</v>
      </c>
      <c r="H237" s="31"/>
      <c r="I237" s="31" t="s">
        <v>47</v>
      </c>
      <c r="J237" s="32" t="n">
        <v>1.0</v>
      </c>
      <c r="K237" s="33" t="n">
        <f>5238</f>
        <v>5238.0</v>
      </c>
      <c r="L237" s="34" t="s">
        <v>48</v>
      </c>
      <c r="M237" s="33" t="n">
        <f>5322</f>
        <v>5322.0</v>
      </c>
      <c r="N237" s="34" t="s">
        <v>114</v>
      </c>
      <c r="O237" s="33" t="n">
        <f>5195</f>
        <v>5195.0</v>
      </c>
      <c r="P237" s="34" t="s">
        <v>270</v>
      </c>
      <c r="Q237" s="33" t="n">
        <f>5251</f>
        <v>5251.0</v>
      </c>
      <c r="R237" s="34" t="s">
        <v>50</v>
      </c>
      <c r="S237" s="35" t="n">
        <f>5261.05</f>
        <v>5261.05</v>
      </c>
      <c r="T237" s="32" t="n">
        <f>30164</f>
        <v>30164.0</v>
      </c>
      <c r="U237" s="32" t="n">
        <f>90</f>
        <v>90.0</v>
      </c>
      <c r="V237" s="32" t="n">
        <f>158372807</f>
        <v>1.58372807E8</v>
      </c>
      <c r="W237" s="32" t="n">
        <f>475880</f>
        <v>475880.0</v>
      </c>
      <c r="X237" s="36" t="n">
        <f>19</f>
        <v>19.0</v>
      </c>
    </row>
    <row r="238">
      <c r="A238" s="27" t="s">
        <v>42</v>
      </c>
      <c r="B238" s="27" t="s">
        <v>758</v>
      </c>
      <c r="C238" s="27" t="s">
        <v>759</v>
      </c>
      <c r="D238" s="27" t="s">
        <v>760</v>
      </c>
      <c r="E238" s="28" t="s">
        <v>46</v>
      </c>
      <c r="F238" s="29" t="s">
        <v>46</v>
      </c>
      <c r="G238" s="30" t="s">
        <v>46</v>
      </c>
      <c r="H238" s="31"/>
      <c r="I238" s="31" t="s">
        <v>47</v>
      </c>
      <c r="J238" s="32" t="n">
        <v>1.0</v>
      </c>
      <c r="K238" s="33" t="n">
        <f>26775</f>
        <v>26775.0</v>
      </c>
      <c r="L238" s="34" t="s">
        <v>48</v>
      </c>
      <c r="M238" s="33" t="n">
        <f>27175</f>
        <v>27175.0</v>
      </c>
      <c r="N238" s="34" t="s">
        <v>270</v>
      </c>
      <c r="O238" s="33" t="n">
        <f>25950</f>
        <v>25950.0</v>
      </c>
      <c r="P238" s="34" t="s">
        <v>221</v>
      </c>
      <c r="Q238" s="33" t="n">
        <f>26600</f>
        <v>26600.0</v>
      </c>
      <c r="R238" s="34" t="s">
        <v>50</v>
      </c>
      <c r="S238" s="35" t="n">
        <f>26517.11</f>
        <v>26517.11</v>
      </c>
      <c r="T238" s="32" t="n">
        <f>17377</f>
        <v>17377.0</v>
      </c>
      <c r="U238" s="32" t="n">
        <f>622</f>
        <v>622.0</v>
      </c>
      <c r="V238" s="32" t="n">
        <f>461878606</f>
        <v>4.61878606E8</v>
      </c>
      <c r="W238" s="32" t="n">
        <f>16485371</f>
        <v>1.6485371E7</v>
      </c>
      <c r="X238" s="36" t="n">
        <f>19</f>
        <v>19.0</v>
      </c>
    </row>
    <row r="239">
      <c r="A239" s="27" t="s">
        <v>42</v>
      </c>
      <c r="B239" s="27" t="s">
        <v>761</v>
      </c>
      <c r="C239" s="27" t="s">
        <v>762</v>
      </c>
      <c r="D239" s="27" t="s">
        <v>763</v>
      </c>
      <c r="E239" s="28" t="s">
        <v>46</v>
      </c>
      <c r="F239" s="29" t="s">
        <v>46</v>
      </c>
      <c r="G239" s="30" t="s">
        <v>46</v>
      </c>
      <c r="H239" s="31"/>
      <c r="I239" s="31" t="s">
        <v>47</v>
      </c>
      <c r="J239" s="32" t="n">
        <v>1.0</v>
      </c>
      <c r="K239" s="33" t="n">
        <f>1832</f>
        <v>1832.0</v>
      </c>
      <c r="L239" s="34" t="s">
        <v>48</v>
      </c>
      <c r="M239" s="33" t="n">
        <f>1875</f>
        <v>1875.0</v>
      </c>
      <c r="N239" s="34" t="s">
        <v>200</v>
      </c>
      <c r="O239" s="33" t="n">
        <f>1725</f>
        <v>1725.0</v>
      </c>
      <c r="P239" s="34" t="s">
        <v>71</v>
      </c>
      <c r="Q239" s="33" t="n">
        <f>1825</f>
        <v>1825.0</v>
      </c>
      <c r="R239" s="34" t="s">
        <v>50</v>
      </c>
      <c r="S239" s="35" t="n">
        <f>1791.26</f>
        <v>1791.26</v>
      </c>
      <c r="T239" s="32" t="n">
        <f>251281</f>
        <v>251281.0</v>
      </c>
      <c r="U239" s="32" t="str">
        <f>"－"</f>
        <v>－</v>
      </c>
      <c r="V239" s="32" t="n">
        <f>454585831</f>
        <v>4.54585831E8</v>
      </c>
      <c r="W239" s="32" t="str">
        <f>"－"</f>
        <v>－</v>
      </c>
      <c r="X239" s="36" t="n">
        <f>19</f>
        <v>19.0</v>
      </c>
    </row>
    <row r="240">
      <c r="A240" s="27" t="s">
        <v>42</v>
      </c>
      <c r="B240" s="27" t="s">
        <v>764</v>
      </c>
      <c r="C240" s="27" t="s">
        <v>765</v>
      </c>
      <c r="D240" s="27" t="s">
        <v>766</v>
      </c>
      <c r="E240" s="28" t="s">
        <v>46</v>
      </c>
      <c r="F240" s="29" t="s">
        <v>46</v>
      </c>
      <c r="G240" s="30" t="s">
        <v>46</v>
      </c>
      <c r="H240" s="31"/>
      <c r="I240" s="31" t="s">
        <v>47</v>
      </c>
      <c r="J240" s="32" t="n">
        <v>1.0</v>
      </c>
      <c r="K240" s="33" t="n">
        <f>5286</f>
        <v>5286.0</v>
      </c>
      <c r="L240" s="34" t="s">
        <v>48</v>
      </c>
      <c r="M240" s="33" t="n">
        <f>5369</f>
        <v>5369.0</v>
      </c>
      <c r="N240" s="34" t="s">
        <v>221</v>
      </c>
      <c r="O240" s="33" t="n">
        <f>5245</f>
        <v>5245.0</v>
      </c>
      <c r="P240" s="34" t="s">
        <v>270</v>
      </c>
      <c r="Q240" s="33" t="n">
        <f>5302</f>
        <v>5302.0</v>
      </c>
      <c r="R240" s="34" t="s">
        <v>50</v>
      </c>
      <c r="S240" s="35" t="n">
        <f>5305.76</f>
        <v>5305.76</v>
      </c>
      <c r="T240" s="32" t="n">
        <f>396102</f>
        <v>396102.0</v>
      </c>
      <c r="U240" s="32" t="n">
        <f>378138</f>
        <v>378138.0</v>
      </c>
      <c r="V240" s="32" t="n">
        <f>2096197101</f>
        <v>2.096197101E9</v>
      </c>
      <c r="W240" s="32" t="n">
        <f>2001121421</f>
        <v>2.001121421E9</v>
      </c>
      <c r="X240" s="36" t="n">
        <f>17</f>
        <v>17.0</v>
      </c>
    </row>
    <row r="241">
      <c r="A241" s="27" t="s">
        <v>42</v>
      </c>
      <c r="B241" s="27" t="s">
        <v>767</v>
      </c>
      <c r="C241" s="27" t="s">
        <v>768</v>
      </c>
      <c r="D241" s="27" t="s">
        <v>769</v>
      </c>
      <c r="E241" s="28" t="s">
        <v>46</v>
      </c>
      <c r="F241" s="29" t="s">
        <v>46</v>
      </c>
      <c r="G241" s="30" t="s">
        <v>46</v>
      </c>
      <c r="H241" s="31"/>
      <c r="I241" s="31" t="s">
        <v>47</v>
      </c>
      <c r="J241" s="32" t="n">
        <v>10.0</v>
      </c>
      <c r="K241" s="33" t="n">
        <f>949.9</f>
        <v>949.9</v>
      </c>
      <c r="L241" s="34" t="s">
        <v>48</v>
      </c>
      <c r="M241" s="33" t="n">
        <f>949.9</f>
        <v>949.9</v>
      </c>
      <c r="N241" s="34" t="s">
        <v>48</v>
      </c>
      <c r="O241" s="33" t="n">
        <f>895.4</f>
        <v>895.4</v>
      </c>
      <c r="P241" s="34" t="s">
        <v>71</v>
      </c>
      <c r="Q241" s="33" t="n">
        <f>900.1</f>
        <v>900.1</v>
      </c>
      <c r="R241" s="34" t="s">
        <v>50</v>
      </c>
      <c r="S241" s="35" t="n">
        <f>911.42</f>
        <v>911.42</v>
      </c>
      <c r="T241" s="32" t="n">
        <f>2757630</f>
        <v>2757630.0</v>
      </c>
      <c r="U241" s="32" t="n">
        <f>1506650</f>
        <v>1506650.0</v>
      </c>
      <c r="V241" s="32" t="n">
        <f>2560087685</f>
        <v>2.560087685E9</v>
      </c>
      <c r="W241" s="32" t="n">
        <f>1390822140</f>
        <v>1.39082214E9</v>
      </c>
      <c r="X241" s="36" t="n">
        <f>19</f>
        <v>19.0</v>
      </c>
    </row>
    <row r="242">
      <c r="A242" s="27" t="s">
        <v>42</v>
      </c>
      <c r="B242" s="27" t="s">
        <v>770</v>
      </c>
      <c r="C242" s="27" t="s">
        <v>771</v>
      </c>
      <c r="D242" s="27" t="s">
        <v>772</v>
      </c>
      <c r="E242" s="28" t="s">
        <v>46</v>
      </c>
      <c r="F242" s="29" t="s">
        <v>46</v>
      </c>
      <c r="G242" s="30" t="s">
        <v>46</v>
      </c>
      <c r="H242" s="31"/>
      <c r="I242" s="31" t="s">
        <v>47</v>
      </c>
      <c r="J242" s="32" t="n">
        <v>10.0</v>
      </c>
      <c r="K242" s="33" t="n">
        <f>684</f>
        <v>684.0</v>
      </c>
      <c r="L242" s="34" t="s">
        <v>48</v>
      </c>
      <c r="M242" s="33" t="n">
        <f>690.5</f>
        <v>690.5</v>
      </c>
      <c r="N242" s="34" t="s">
        <v>270</v>
      </c>
      <c r="O242" s="33" t="n">
        <f>658.6</f>
        <v>658.6</v>
      </c>
      <c r="P242" s="34" t="s">
        <v>200</v>
      </c>
      <c r="Q242" s="33" t="n">
        <f>662</f>
        <v>662.0</v>
      </c>
      <c r="R242" s="34" t="s">
        <v>50</v>
      </c>
      <c r="S242" s="35" t="n">
        <f>672.82</f>
        <v>672.82</v>
      </c>
      <c r="T242" s="32" t="n">
        <f>7000970</f>
        <v>7000970.0</v>
      </c>
      <c r="U242" s="32" t="n">
        <f>6546850</f>
        <v>6546850.0</v>
      </c>
      <c r="V242" s="32" t="n">
        <f>4709391541</f>
        <v>4.709391541E9</v>
      </c>
      <c r="W242" s="32" t="n">
        <f>4406543511</f>
        <v>4.406543511E9</v>
      </c>
      <c r="X242" s="36" t="n">
        <f>19</f>
        <v>19.0</v>
      </c>
    </row>
    <row r="243">
      <c r="A243" s="27" t="s">
        <v>42</v>
      </c>
      <c r="B243" s="27" t="s">
        <v>773</v>
      </c>
      <c r="C243" s="27" t="s">
        <v>774</v>
      </c>
      <c r="D243" s="27" t="s">
        <v>775</v>
      </c>
      <c r="E243" s="28" t="s">
        <v>46</v>
      </c>
      <c r="F243" s="29" t="s">
        <v>46</v>
      </c>
      <c r="G243" s="30" t="s">
        <v>46</v>
      </c>
      <c r="H243" s="31"/>
      <c r="I243" s="31" t="s">
        <v>47</v>
      </c>
      <c r="J243" s="32" t="n">
        <v>1.0</v>
      </c>
      <c r="K243" s="33" t="n">
        <f>4362</f>
        <v>4362.0</v>
      </c>
      <c r="L243" s="34" t="s">
        <v>48</v>
      </c>
      <c r="M243" s="33" t="n">
        <f>4756</f>
        <v>4756.0</v>
      </c>
      <c r="N243" s="34" t="s">
        <v>286</v>
      </c>
      <c r="O243" s="33" t="n">
        <f>4075</f>
        <v>4075.0</v>
      </c>
      <c r="P243" s="34" t="s">
        <v>308</v>
      </c>
      <c r="Q243" s="33" t="n">
        <f>4673</f>
        <v>4673.0</v>
      </c>
      <c r="R243" s="34" t="s">
        <v>50</v>
      </c>
      <c r="S243" s="35" t="n">
        <f>4370.32</f>
        <v>4370.32</v>
      </c>
      <c r="T243" s="32" t="n">
        <f>3754383</f>
        <v>3754383.0</v>
      </c>
      <c r="U243" s="32" t="n">
        <f>247590</f>
        <v>247590.0</v>
      </c>
      <c r="V243" s="32" t="n">
        <f>16432577636</f>
        <v>1.6432577636E10</v>
      </c>
      <c r="W243" s="32" t="n">
        <f>1050073782</f>
        <v>1.050073782E9</v>
      </c>
      <c r="X243" s="36" t="n">
        <f>19</f>
        <v>19.0</v>
      </c>
    </row>
    <row r="244">
      <c r="A244" s="27" t="s">
        <v>42</v>
      </c>
      <c r="B244" s="27" t="s">
        <v>776</v>
      </c>
      <c r="C244" s="27" t="s">
        <v>777</v>
      </c>
      <c r="D244" s="27" t="s">
        <v>778</v>
      </c>
      <c r="E244" s="28" t="s">
        <v>46</v>
      </c>
      <c r="F244" s="29" t="s">
        <v>46</v>
      </c>
      <c r="G244" s="30" t="s">
        <v>46</v>
      </c>
      <c r="H244" s="31"/>
      <c r="I244" s="31" t="s">
        <v>47</v>
      </c>
      <c r="J244" s="32" t="n">
        <v>1.0</v>
      </c>
      <c r="K244" s="33" t="n">
        <f>3624</f>
        <v>3624.0</v>
      </c>
      <c r="L244" s="34" t="s">
        <v>48</v>
      </c>
      <c r="M244" s="33" t="n">
        <f>3770</f>
        <v>3770.0</v>
      </c>
      <c r="N244" s="34" t="s">
        <v>200</v>
      </c>
      <c r="O244" s="33" t="n">
        <f>3423</f>
        <v>3423.0</v>
      </c>
      <c r="P244" s="34" t="s">
        <v>71</v>
      </c>
      <c r="Q244" s="33" t="n">
        <f>3690</f>
        <v>3690.0</v>
      </c>
      <c r="R244" s="34" t="s">
        <v>50</v>
      </c>
      <c r="S244" s="35" t="n">
        <f>3565.26</f>
        <v>3565.26</v>
      </c>
      <c r="T244" s="32" t="n">
        <f>1377993</f>
        <v>1377993.0</v>
      </c>
      <c r="U244" s="32" t="n">
        <f>587</f>
        <v>587.0</v>
      </c>
      <c r="V244" s="32" t="n">
        <f>4965889731</f>
        <v>4.965889731E9</v>
      </c>
      <c r="W244" s="32" t="n">
        <f>2100588</f>
        <v>2100588.0</v>
      </c>
      <c r="X244" s="36" t="n">
        <f>19</f>
        <v>19.0</v>
      </c>
    </row>
    <row r="245">
      <c r="A245" s="27" t="s">
        <v>42</v>
      </c>
      <c r="B245" s="27" t="s">
        <v>779</v>
      </c>
      <c r="C245" s="27" t="s">
        <v>780</v>
      </c>
      <c r="D245" s="27" t="s">
        <v>781</v>
      </c>
      <c r="E245" s="28" t="s">
        <v>46</v>
      </c>
      <c r="F245" s="29" t="s">
        <v>46</v>
      </c>
      <c r="G245" s="30" t="s">
        <v>46</v>
      </c>
      <c r="H245" s="31"/>
      <c r="I245" s="31" t="s">
        <v>47</v>
      </c>
      <c r="J245" s="32" t="n">
        <v>10.0</v>
      </c>
      <c r="K245" s="33" t="n">
        <f>699.1</f>
        <v>699.1</v>
      </c>
      <c r="L245" s="34" t="s">
        <v>48</v>
      </c>
      <c r="M245" s="33" t="n">
        <f>714.1</f>
        <v>714.1</v>
      </c>
      <c r="N245" s="34" t="s">
        <v>66</v>
      </c>
      <c r="O245" s="33" t="n">
        <f>679.9</f>
        <v>679.9</v>
      </c>
      <c r="P245" s="34" t="s">
        <v>200</v>
      </c>
      <c r="Q245" s="33" t="n">
        <f>679.9</f>
        <v>679.9</v>
      </c>
      <c r="R245" s="34" t="s">
        <v>286</v>
      </c>
      <c r="S245" s="35" t="n">
        <f>688.26</f>
        <v>688.26</v>
      </c>
      <c r="T245" s="32" t="n">
        <f>1128580</f>
        <v>1128580.0</v>
      </c>
      <c r="U245" s="32" t="n">
        <f>20</f>
        <v>20.0</v>
      </c>
      <c r="V245" s="32" t="n">
        <f>782565650</f>
        <v>7.8256565E8</v>
      </c>
      <c r="W245" s="32" t="n">
        <f>14284</f>
        <v>14284.0</v>
      </c>
      <c r="X245" s="36" t="n">
        <f>15</f>
        <v>15.0</v>
      </c>
    </row>
    <row r="246">
      <c r="A246" s="27" t="s">
        <v>42</v>
      </c>
      <c r="B246" s="27" t="s">
        <v>782</v>
      </c>
      <c r="C246" s="27" t="s">
        <v>783</v>
      </c>
      <c r="D246" s="27" t="s">
        <v>784</v>
      </c>
      <c r="E246" s="28" t="s">
        <v>46</v>
      </c>
      <c r="F246" s="29" t="s">
        <v>46</v>
      </c>
      <c r="G246" s="30" t="s">
        <v>46</v>
      </c>
      <c r="H246" s="31"/>
      <c r="I246" s="31" t="s">
        <v>47</v>
      </c>
      <c r="J246" s="32" t="n">
        <v>1.0</v>
      </c>
      <c r="K246" s="33" t="n">
        <f>2317</f>
        <v>2317.0</v>
      </c>
      <c r="L246" s="34" t="s">
        <v>48</v>
      </c>
      <c r="M246" s="33" t="n">
        <f>2318</f>
        <v>2318.0</v>
      </c>
      <c r="N246" s="34" t="s">
        <v>48</v>
      </c>
      <c r="O246" s="33" t="n">
        <f>2193</f>
        <v>2193.0</v>
      </c>
      <c r="P246" s="34" t="s">
        <v>71</v>
      </c>
      <c r="Q246" s="33" t="n">
        <f>2262</f>
        <v>2262.0</v>
      </c>
      <c r="R246" s="34" t="s">
        <v>50</v>
      </c>
      <c r="S246" s="35" t="n">
        <f>2250.89</f>
        <v>2250.89</v>
      </c>
      <c r="T246" s="32" t="n">
        <f>1616211</f>
        <v>1616211.0</v>
      </c>
      <c r="U246" s="32" t="n">
        <f>1124654</f>
        <v>1124654.0</v>
      </c>
      <c r="V246" s="32" t="n">
        <f>3648537816</f>
        <v>3.648537816E9</v>
      </c>
      <c r="W246" s="32" t="n">
        <f>2534207304</f>
        <v>2.534207304E9</v>
      </c>
      <c r="X246" s="36" t="n">
        <f>19</f>
        <v>19.0</v>
      </c>
    </row>
    <row r="247">
      <c r="A247" s="27" t="s">
        <v>42</v>
      </c>
      <c r="B247" s="27" t="s">
        <v>785</v>
      </c>
      <c r="C247" s="27" t="s">
        <v>786</v>
      </c>
      <c r="D247" s="27" t="s">
        <v>787</v>
      </c>
      <c r="E247" s="28" t="s">
        <v>46</v>
      </c>
      <c r="F247" s="29" t="s">
        <v>46</v>
      </c>
      <c r="G247" s="30" t="s">
        <v>46</v>
      </c>
      <c r="H247" s="31"/>
      <c r="I247" s="31" t="s">
        <v>47</v>
      </c>
      <c r="J247" s="32" t="n">
        <v>1.0</v>
      </c>
      <c r="K247" s="33" t="n">
        <f>2766</f>
        <v>2766.0</v>
      </c>
      <c r="L247" s="34" t="s">
        <v>48</v>
      </c>
      <c r="M247" s="33" t="n">
        <f>2799</f>
        <v>2799.0</v>
      </c>
      <c r="N247" s="34" t="s">
        <v>210</v>
      </c>
      <c r="O247" s="33" t="n">
        <f>2712</f>
        <v>2712.0</v>
      </c>
      <c r="P247" s="34" t="s">
        <v>221</v>
      </c>
      <c r="Q247" s="33" t="n">
        <f>2749</f>
        <v>2749.0</v>
      </c>
      <c r="R247" s="34" t="s">
        <v>50</v>
      </c>
      <c r="S247" s="35" t="n">
        <f>2747.16</f>
        <v>2747.16</v>
      </c>
      <c r="T247" s="32" t="n">
        <f>1280508</f>
        <v>1280508.0</v>
      </c>
      <c r="U247" s="32" t="n">
        <f>800000</f>
        <v>800000.0</v>
      </c>
      <c r="V247" s="32" t="n">
        <f>3542751327</f>
        <v>3.542751327E9</v>
      </c>
      <c r="W247" s="32" t="n">
        <f>2221318800</f>
        <v>2.2213188E9</v>
      </c>
      <c r="X247" s="36" t="n">
        <f>19</f>
        <v>19.0</v>
      </c>
    </row>
    <row r="248">
      <c r="A248" s="27" t="s">
        <v>42</v>
      </c>
      <c r="B248" s="27" t="s">
        <v>788</v>
      </c>
      <c r="C248" s="27" t="s">
        <v>789</v>
      </c>
      <c r="D248" s="27" t="s">
        <v>790</v>
      </c>
      <c r="E248" s="28" t="s">
        <v>46</v>
      </c>
      <c r="F248" s="29" t="s">
        <v>46</v>
      </c>
      <c r="G248" s="30" t="s">
        <v>46</v>
      </c>
      <c r="H248" s="31"/>
      <c r="I248" s="31" t="s">
        <v>47</v>
      </c>
      <c r="J248" s="32" t="n">
        <v>1.0</v>
      </c>
      <c r="K248" s="33" t="n">
        <f>9403</f>
        <v>9403.0</v>
      </c>
      <c r="L248" s="34" t="s">
        <v>48</v>
      </c>
      <c r="M248" s="33" t="n">
        <f>9975</f>
        <v>9975.0</v>
      </c>
      <c r="N248" s="34" t="s">
        <v>221</v>
      </c>
      <c r="O248" s="33" t="n">
        <f>9224</f>
        <v>9224.0</v>
      </c>
      <c r="P248" s="34" t="s">
        <v>270</v>
      </c>
      <c r="Q248" s="33" t="n">
        <f>9378</f>
        <v>9378.0</v>
      </c>
      <c r="R248" s="34" t="s">
        <v>50</v>
      </c>
      <c r="S248" s="35" t="n">
        <f>9438.42</f>
        <v>9438.42</v>
      </c>
      <c r="T248" s="32" t="n">
        <f>29657</f>
        <v>29657.0</v>
      </c>
      <c r="U248" s="32" t="n">
        <f>240</f>
        <v>240.0</v>
      </c>
      <c r="V248" s="32" t="n">
        <f>280181232</f>
        <v>2.80181232E8</v>
      </c>
      <c r="W248" s="32" t="n">
        <f>2283158</f>
        <v>2283158.0</v>
      </c>
      <c r="X248" s="36" t="n">
        <f>19</f>
        <v>19.0</v>
      </c>
    </row>
    <row r="249">
      <c r="A249" s="27" t="s">
        <v>42</v>
      </c>
      <c r="B249" s="27" t="s">
        <v>791</v>
      </c>
      <c r="C249" s="27" t="s">
        <v>792</v>
      </c>
      <c r="D249" s="27" t="s">
        <v>793</v>
      </c>
      <c r="E249" s="28" t="s">
        <v>46</v>
      </c>
      <c r="F249" s="29" t="s">
        <v>46</v>
      </c>
      <c r="G249" s="30" t="s">
        <v>46</v>
      </c>
      <c r="H249" s="31"/>
      <c r="I249" s="31" t="s">
        <v>47</v>
      </c>
      <c r="J249" s="32" t="n">
        <v>1.0</v>
      </c>
      <c r="K249" s="33" t="n">
        <f>1678</f>
        <v>1678.0</v>
      </c>
      <c r="L249" s="34" t="s">
        <v>48</v>
      </c>
      <c r="M249" s="33" t="n">
        <f>1679</f>
        <v>1679.0</v>
      </c>
      <c r="N249" s="34" t="s">
        <v>508</v>
      </c>
      <c r="O249" s="33" t="n">
        <f>1444</f>
        <v>1444.0</v>
      </c>
      <c r="P249" s="34" t="s">
        <v>78</v>
      </c>
      <c r="Q249" s="33" t="n">
        <f>1455</f>
        <v>1455.0</v>
      </c>
      <c r="R249" s="34" t="s">
        <v>50</v>
      </c>
      <c r="S249" s="35" t="n">
        <f>1560.21</f>
        <v>1560.21</v>
      </c>
      <c r="T249" s="32" t="n">
        <f>216281</f>
        <v>216281.0</v>
      </c>
      <c r="U249" s="32" t="str">
        <f>"－"</f>
        <v>－</v>
      </c>
      <c r="V249" s="32" t="n">
        <f>334445682</f>
        <v>3.34445682E8</v>
      </c>
      <c r="W249" s="32" t="str">
        <f>"－"</f>
        <v>－</v>
      </c>
      <c r="X249" s="36" t="n">
        <f>19</f>
        <v>19.0</v>
      </c>
    </row>
    <row r="250">
      <c r="A250" s="27" t="s">
        <v>42</v>
      </c>
      <c r="B250" s="27" t="s">
        <v>794</v>
      </c>
      <c r="C250" s="27" t="s">
        <v>795</v>
      </c>
      <c r="D250" s="27" t="s">
        <v>796</v>
      </c>
      <c r="E250" s="28" t="s">
        <v>46</v>
      </c>
      <c r="F250" s="29" t="s">
        <v>46</v>
      </c>
      <c r="G250" s="30" t="s">
        <v>46</v>
      </c>
      <c r="H250" s="31"/>
      <c r="I250" s="31" t="s">
        <v>47</v>
      </c>
      <c r="J250" s="32" t="n">
        <v>10.0</v>
      </c>
      <c r="K250" s="33" t="n">
        <f>376.7</f>
        <v>376.7</v>
      </c>
      <c r="L250" s="34" t="s">
        <v>48</v>
      </c>
      <c r="M250" s="33" t="n">
        <f>382.2</f>
        <v>382.2</v>
      </c>
      <c r="N250" s="34" t="s">
        <v>78</v>
      </c>
      <c r="O250" s="33" t="n">
        <f>360.7</f>
        <v>360.7</v>
      </c>
      <c r="P250" s="34" t="s">
        <v>49</v>
      </c>
      <c r="Q250" s="33" t="n">
        <f>370.8</f>
        <v>370.8</v>
      </c>
      <c r="R250" s="34" t="s">
        <v>50</v>
      </c>
      <c r="S250" s="35" t="n">
        <f>370.4</f>
        <v>370.4</v>
      </c>
      <c r="T250" s="32" t="n">
        <f>20060</f>
        <v>20060.0</v>
      </c>
      <c r="U250" s="32" t="n">
        <f>100</f>
        <v>100.0</v>
      </c>
      <c r="V250" s="32" t="n">
        <f>7461550</f>
        <v>7461550.0</v>
      </c>
      <c r="W250" s="32" t="n">
        <f>37750</f>
        <v>37750.0</v>
      </c>
      <c r="X250" s="36" t="n">
        <f>18</f>
        <v>18.0</v>
      </c>
    </row>
    <row r="251">
      <c r="A251" s="27" t="s">
        <v>42</v>
      </c>
      <c r="B251" s="27" t="s">
        <v>797</v>
      </c>
      <c r="C251" s="27" t="s">
        <v>798</v>
      </c>
      <c r="D251" s="27" t="s">
        <v>799</v>
      </c>
      <c r="E251" s="28" t="s">
        <v>46</v>
      </c>
      <c r="F251" s="29" t="s">
        <v>46</v>
      </c>
      <c r="G251" s="30" t="s">
        <v>46</v>
      </c>
      <c r="H251" s="31"/>
      <c r="I251" s="31" t="s">
        <v>47</v>
      </c>
      <c r="J251" s="32" t="n">
        <v>10.0</v>
      </c>
      <c r="K251" s="33" t="n">
        <f>910</f>
        <v>910.0</v>
      </c>
      <c r="L251" s="34" t="s">
        <v>48</v>
      </c>
      <c r="M251" s="33" t="n">
        <f>928.9</f>
        <v>928.9</v>
      </c>
      <c r="N251" s="34" t="s">
        <v>200</v>
      </c>
      <c r="O251" s="33" t="n">
        <f>897.5</f>
        <v>897.5</v>
      </c>
      <c r="P251" s="34" t="s">
        <v>508</v>
      </c>
      <c r="Q251" s="33" t="n">
        <f>921</f>
        <v>921.0</v>
      </c>
      <c r="R251" s="34" t="s">
        <v>50</v>
      </c>
      <c r="S251" s="35" t="n">
        <f>914.31</f>
        <v>914.31</v>
      </c>
      <c r="T251" s="32" t="n">
        <f>5769770</f>
        <v>5769770.0</v>
      </c>
      <c r="U251" s="32" t="n">
        <f>4939890</f>
        <v>4939890.0</v>
      </c>
      <c r="V251" s="32" t="n">
        <f>5271519705</f>
        <v>5.271519705E9</v>
      </c>
      <c r="W251" s="32" t="n">
        <f>4513106490</f>
        <v>4.51310649E9</v>
      </c>
      <c r="X251" s="36" t="n">
        <f>19</f>
        <v>19.0</v>
      </c>
    </row>
    <row r="252">
      <c r="A252" s="27" t="s">
        <v>42</v>
      </c>
      <c r="B252" s="27" t="s">
        <v>800</v>
      </c>
      <c r="C252" s="27" t="s">
        <v>801</v>
      </c>
      <c r="D252" s="27" t="s">
        <v>802</v>
      </c>
      <c r="E252" s="28" t="s">
        <v>46</v>
      </c>
      <c r="F252" s="29" t="s">
        <v>46</v>
      </c>
      <c r="G252" s="30" t="s">
        <v>46</v>
      </c>
      <c r="H252" s="31"/>
      <c r="I252" s="31" t="s">
        <v>47</v>
      </c>
      <c r="J252" s="32" t="n">
        <v>1.0</v>
      </c>
      <c r="K252" s="33" t="n">
        <f>1488</f>
        <v>1488.0</v>
      </c>
      <c r="L252" s="34" t="s">
        <v>48</v>
      </c>
      <c r="M252" s="33" t="n">
        <f>1488</f>
        <v>1488.0</v>
      </c>
      <c r="N252" s="34" t="s">
        <v>48</v>
      </c>
      <c r="O252" s="33" t="n">
        <f>1354</f>
        <v>1354.0</v>
      </c>
      <c r="P252" s="34" t="s">
        <v>50</v>
      </c>
      <c r="Q252" s="33" t="n">
        <f>1357</f>
        <v>1357.0</v>
      </c>
      <c r="R252" s="34" t="s">
        <v>50</v>
      </c>
      <c r="S252" s="35" t="n">
        <f>1402.58</f>
        <v>1402.58</v>
      </c>
      <c r="T252" s="32" t="n">
        <f>100002</f>
        <v>100002.0</v>
      </c>
      <c r="U252" s="32" t="str">
        <f>"－"</f>
        <v>－</v>
      </c>
      <c r="V252" s="32" t="n">
        <f>140775106</f>
        <v>1.40775106E8</v>
      </c>
      <c r="W252" s="32" t="str">
        <f>"－"</f>
        <v>－</v>
      </c>
      <c r="X252" s="36" t="n">
        <f>19</f>
        <v>19.0</v>
      </c>
    </row>
    <row r="253">
      <c r="A253" s="27" t="s">
        <v>42</v>
      </c>
      <c r="B253" s="27" t="s">
        <v>803</v>
      </c>
      <c r="C253" s="27" t="s">
        <v>804</v>
      </c>
      <c r="D253" s="27" t="s">
        <v>805</v>
      </c>
      <c r="E253" s="28" t="s">
        <v>46</v>
      </c>
      <c r="F253" s="29" t="s">
        <v>46</v>
      </c>
      <c r="G253" s="30" t="s">
        <v>46</v>
      </c>
      <c r="H253" s="31"/>
      <c r="I253" s="31" t="s">
        <v>47</v>
      </c>
      <c r="J253" s="32" t="n">
        <v>1.0</v>
      </c>
      <c r="K253" s="33" t="n">
        <f>1371</f>
        <v>1371.0</v>
      </c>
      <c r="L253" s="34" t="s">
        <v>48</v>
      </c>
      <c r="M253" s="33" t="n">
        <f>1371</f>
        <v>1371.0</v>
      </c>
      <c r="N253" s="34" t="s">
        <v>48</v>
      </c>
      <c r="O253" s="33" t="n">
        <f>1271</f>
        <v>1271.0</v>
      </c>
      <c r="P253" s="34" t="s">
        <v>50</v>
      </c>
      <c r="Q253" s="33" t="n">
        <f>1277</f>
        <v>1277.0</v>
      </c>
      <c r="R253" s="34" t="s">
        <v>50</v>
      </c>
      <c r="S253" s="35" t="n">
        <f>1314</f>
        <v>1314.0</v>
      </c>
      <c r="T253" s="32" t="n">
        <f>220986</f>
        <v>220986.0</v>
      </c>
      <c r="U253" s="32" t="str">
        <f>"－"</f>
        <v>－</v>
      </c>
      <c r="V253" s="32" t="n">
        <f>289259371</f>
        <v>2.89259371E8</v>
      </c>
      <c r="W253" s="32" t="str">
        <f>"－"</f>
        <v>－</v>
      </c>
      <c r="X253" s="36" t="n">
        <f>19</f>
        <v>19.0</v>
      </c>
    </row>
    <row r="254">
      <c r="A254" s="27" t="s">
        <v>42</v>
      </c>
      <c r="B254" s="27" t="s">
        <v>806</v>
      </c>
      <c r="C254" s="27" t="s">
        <v>807</v>
      </c>
      <c r="D254" s="27" t="s">
        <v>808</v>
      </c>
      <c r="E254" s="28" t="s">
        <v>46</v>
      </c>
      <c r="F254" s="29" t="s">
        <v>46</v>
      </c>
      <c r="G254" s="30" t="s">
        <v>46</v>
      </c>
      <c r="H254" s="31"/>
      <c r="I254" s="31" t="s">
        <v>47</v>
      </c>
      <c r="J254" s="32" t="n">
        <v>1.0</v>
      </c>
      <c r="K254" s="33" t="n">
        <f>1080</f>
        <v>1080.0</v>
      </c>
      <c r="L254" s="34" t="s">
        <v>48</v>
      </c>
      <c r="M254" s="33" t="n">
        <f>1080</f>
        <v>1080.0</v>
      </c>
      <c r="N254" s="34" t="s">
        <v>48</v>
      </c>
      <c r="O254" s="33" t="n">
        <f>941</f>
        <v>941.0</v>
      </c>
      <c r="P254" s="34" t="s">
        <v>67</v>
      </c>
      <c r="Q254" s="33" t="n">
        <f>958</f>
        <v>958.0</v>
      </c>
      <c r="R254" s="34" t="s">
        <v>50</v>
      </c>
      <c r="S254" s="35" t="n">
        <f>988.58</f>
        <v>988.58</v>
      </c>
      <c r="T254" s="32" t="n">
        <f>654243</f>
        <v>654243.0</v>
      </c>
      <c r="U254" s="32" t="str">
        <f>"－"</f>
        <v>－</v>
      </c>
      <c r="V254" s="32" t="n">
        <f>634543468</f>
        <v>6.34543468E8</v>
      </c>
      <c r="W254" s="32" t="str">
        <f>"－"</f>
        <v>－</v>
      </c>
      <c r="X254" s="36" t="n">
        <f>19</f>
        <v>19.0</v>
      </c>
    </row>
    <row r="255">
      <c r="A255" s="27" t="s">
        <v>42</v>
      </c>
      <c r="B255" s="27" t="s">
        <v>809</v>
      </c>
      <c r="C255" s="27" t="s">
        <v>810</v>
      </c>
      <c r="D255" s="27" t="s">
        <v>811</v>
      </c>
      <c r="E255" s="28" t="s">
        <v>46</v>
      </c>
      <c r="F255" s="29" t="s">
        <v>46</v>
      </c>
      <c r="G255" s="30" t="s">
        <v>46</v>
      </c>
      <c r="H255" s="31"/>
      <c r="I255" s="31" t="s">
        <v>47</v>
      </c>
      <c r="J255" s="32" t="n">
        <v>10.0</v>
      </c>
      <c r="K255" s="33" t="n">
        <f>201.5</f>
        <v>201.5</v>
      </c>
      <c r="L255" s="34" t="s">
        <v>48</v>
      </c>
      <c r="M255" s="33" t="n">
        <f>201.8</f>
        <v>201.8</v>
      </c>
      <c r="N255" s="34" t="s">
        <v>66</v>
      </c>
      <c r="O255" s="33" t="n">
        <f>188.9</f>
        <v>188.9</v>
      </c>
      <c r="P255" s="34" t="s">
        <v>50</v>
      </c>
      <c r="Q255" s="33" t="n">
        <f>189.5</f>
        <v>189.5</v>
      </c>
      <c r="R255" s="34" t="s">
        <v>50</v>
      </c>
      <c r="S255" s="35" t="n">
        <f>194.54</f>
        <v>194.54</v>
      </c>
      <c r="T255" s="32" t="n">
        <f>8795090</f>
        <v>8795090.0</v>
      </c>
      <c r="U255" s="32" t="n">
        <f>427660</f>
        <v>427660.0</v>
      </c>
      <c r="V255" s="32" t="n">
        <f>1707292357</f>
        <v>1.707292357E9</v>
      </c>
      <c r="W255" s="32" t="n">
        <f>83389709</f>
        <v>8.3389709E7</v>
      </c>
      <c r="X255" s="36" t="n">
        <f>19</f>
        <v>19.0</v>
      </c>
    </row>
    <row r="256">
      <c r="A256" s="27" t="s">
        <v>42</v>
      </c>
      <c r="B256" s="27" t="s">
        <v>812</v>
      </c>
      <c r="C256" s="27" t="s">
        <v>813</v>
      </c>
      <c r="D256" s="27" t="s">
        <v>814</v>
      </c>
      <c r="E256" s="28" t="s">
        <v>46</v>
      </c>
      <c r="F256" s="29" t="s">
        <v>46</v>
      </c>
      <c r="G256" s="30" t="s">
        <v>46</v>
      </c>
      <c r="H256" s="31"/>
      <c r="I256" s="31" t="s">
        <v>47</v>
      </c>
      <c r="J256" s="32" t="n">
        <v>10.0</v>
      </c>
      <c r="K256" s="33" t="n">
        <f>223</f>
        <v>223.0</v>
      </c>
      <c r="L256" s="34" t="s">
        <v>48</v>
      </c>
      <c r="M256" s="33" t="n">
        <f>223</f>
        <v>223.0</v>
      </c>
      <c r="N256" s="34" t="s">
        <v>48</v>
      </c>
      <c r="O256" s="33" t="n">
        <f>210.5</f>
        <v>210.5</v>
      </c>
      <c r="P256" s="34" t="s">
        <v>71</v>
      </c>
      <c r="Q256" s="33" t="n">
        <f>212.5</f>
        <v>212.5</v>
      </c>
      <c r="R256" s="34" t="s">
        <v>50</v>
      </c>
      <c r="S256" s="35" t="n">
        <f>214.81</f>
        <v>214.81</v>
      </c>
      <c r="T256" s="32" t="n">
        <f>2991170</f>
        <v>2991170.0</v>
      </c>
      <c r="U256" s="32" t="n">
        <f>243970</f>
        <v>243970.0</v>
      </c>
      <c r="V256" s="32" t="n">
        <f>648984900</f>
        <v>6.489849E8</v>
      </c>
      <c r="W256" s="32" t="n">
        <f>52536112</f>
        <v>5.2536112E7</v>
      </c>
      <c r="X256" s="36" t="n">
        <f>19</f>
        <v>19.0</v>
      </c>
    </row>
    <row r="257">
      <c r="A257" s="27" t="s">
        <v>42</v>
      </c>
      <c r="B257" s="27" t="s">
        <v>815</v>
      </c>
      <c r="C257" s="27" t="s">
        <v>816</v>
      </c>
      <c r="D257" s="27" t="s">
        <v>817</v>
      </c>
      <c r="E257" s="28" t="s">
        <v>46</v>
      </c>
      <c r="F257" s="29" t="s">
        <v>46</v>
      </c>
      <c r="G257" s="30" t="s">
        <v>46</v>
      </c>
      <c r="H257" s="31"/>
      <c r="I257" s="31" t="s">
        <v>47</v>
      </c>
      <c r="J257" s="32" t="n">
        <v>10.0</v>
      </c>
      <c r="K257" s="33" t="n">
        <f>222.8</f>
        <v>222.8</v>
      </c>
      <c r="L257" s="34" t="s">
        <v>48</v>
      </c>
      <c r="M257" s="33" t="n">
        <f>223.1</f>
        <v>223.1</v>
      </c>
      <c r="N257" s="34" t="s">
        <v>66</v>
      </c>
      <c r="O257" s="33" t="n">
        <f>211.7</f>
        <v>211.7</v>
      </c>
      <c r="P257" s="34" t="s">
        <v>71</v>
      </c>
      <c r="Q257" s="33" t="n">
        <f>213.5</f>
        <v>213.5</v>
      </c>
      <c r="R257" s="34" t="s">
        <v>50</v>
      </c>
      <c r="S257" s="35" t="n">
        <f>215.84</f>
        <v>215.84</v>
      </c>
      <c r="T257" s="32" t="n">
        <f>977870</f>
        <v>977870.0</v>
      </c>
      <c r="U257" s="32" t="n">
        <f>178060</f>
        <v>178060.0</v>
      </c>
      <c r="V257" s="32" t="n">
        <f>211816590</f>
        <v>2.1181659E8</v>
      </c>
      <c r="W257" s="32" t="n">
        <f>38601205</f>
        <v>3.8601205E7</v>
      </c>
      <c r="X257" s="36" t="n">
        <f>19</f>
        <v>19.0</v>
      </c>
    </row>
    <row r="258">
      <c r="A258" s="27" t="s">
        <v>42</v>
      </c>
      <c r="B258" s="27" t="s">
        <v>818</v>
      </c>
      <c r="C258" s="27" t="s">
        <v>819</v>
      </c>
      <c r="D258" s="27" t="s">
        <v>820</v>
      </c>
      <c r="E258" s="28" t="s">
        <v>46</v>
      </c>
      <c r="F258" s="29" t="s">
        <v>46</v>
      </c>
      <c r="G258" s="30" t="s">
        <v>46</v>
      </c>
      <c r="H258" s="31"/>
      <c r="I258" s="31" t="s">
        <v>47</v>
      </c>
      <c r="J258" s="32" t="n">
        <v>10.0</v>
      </c>
      <c r="K258" s="33" t="n">
        <f>227.3</f>
        <v>227.3</v>
      </c>
      <c r="L258" s="34" t="s">
        <v>48</v>
      </c>
      <c r="M258" s="33" t="n">
        <f>228</f>
        <v>228.0</v>
      </c>
      <c r="N258" s="34" t="s">
        <v>48</v>
      </c>
      <c r="O258" s="33" t="n">
        <f>216.2</f>
        <v>216.2</v>
      </c>
      <c r="P258" s="34" t="s">
        <v>71</v>
      </c>
      <c r="Q258" s="33" t="n">
        <f>218.6</f>
        <v>218.6</v>
      </c>
      <c r="R258" s="34" t="s">
        <v>50</v>
      </c>
      <c r="S258" s="35" t="n">
        <f>220.95</f>
        <v>220.95</v>
      </c>
      <c r="T258" s="32" t="n">
        <f>2515720</f>
        <v>2515720.0</v>
      </c>
      <c r="U258" s="32" t="n">
        <f>249260</f>
        <v>249260.0</v>
      </c>
      <c r="V258" s="32" t="n">
        <f>557641999</f>
        <v>5.57641999E8</v>
      </c>
      <c r="W258" s="32" t="n">
        <f>55246054</f>
        <v>5.5246054E7</v>
      </c>
      <c r="X258" s="36" t="n">
        <f>19</f>
        <v>19.0</v>
      </c>
    </row>
    <row r="259">
      <c r="A259" s="27" t="s">
        <v>42</v>
      </c>
      <c r="B259" s="27" t="s">
        <v>821</v>
      </c>
      <c r="C259" s="27" t="s">
        <v>822</v>
      </c>
      <c r="D259" s="27" t="s">
        <v>823</v>
      </c>
      <c r="E259" s="28" t="s">
        <v>46</v>
      </c>
      <c r="F259" s="29" t="s">
        <v>46</v>
      </c>
      <c r="G259" s="30" t="s">
        <v>46</v>
      </c>
      <c r="H259" s="31"/>
      <c r="I259" s="31" t="s">
        <v>47</v>
      </c>
      <c r="J259" s="32" t="n">
        <v>10.0</v>
      </c>
      <c r="K259" s="33" t="n">
        <f>179.1</f>
        <v>179.1</v>
      </c>
      <c r="L259" s="34" t="s">
        <v>48</v>
      </c>
      <c r="M259" s="33" t="n">
        <f>179.1</f>
        <v>179.1</v>
      </c>
      <c r="N259" s="34" t="s">
        <v>48</v>
      </c>
      <c r="O259" s="33" t="n">
        <f>171.4</f>
        <v>171.4</v>
      </c>
      <c r="P259" s="34" t="s">
        <v>50</v>
      </c>
      <c r="Q259" s="33" t="n">
        <f>171.9</f>
        <v>171.9</v>
      </c>
      <c r="R259" s="34" t="s">
        <v>50</v>
      </c>
      <c r="S259" s="35" t="n">
        <f>175.66</f>
        <v>175.66</v>
      </c>
      <c r="T259" s="32" t="n">
        <f>3123720</f>
        <v>3123720.0</v>
      </c>
      <c r="U259" s="32" t="n">
        <f>112190</f>
        <v>112190.0</v>
      </c>
      <c r="V259" s="32" t="n">
        <f>547710097</f>
        <v>5.47710097E8</v>
      </c>
      <c r="W259" s="32" t="n">
        <f>19957457</f>
        <v>1.9957457E7</v>
      </c>
      <c r="X259" s="36" t="n">
        <f>19</f>
        <v>19.0</v>
      </c>
    </row>
    <row r="260">
      <c r="A260" s="27" t="s">
        <v>42</v>
      </c>
      <c r="B260" s="27" t="s">
        <v>824</v>
      </c>
      <c r="C260" s="27" t="s">
        <v>825</v>
      </c>
      <c r="D260" s="27" t="s">
        <v>826</v>
      </c>
      <c r="E260" s="28" t="s">
        <v>46</v>
      </c>
      <c r="F260" s="29" t="s">
        <v>46</v>
      </c>
      <c r="G260" s="30" t="s">
        <v>46</v>
      </c>
      <c r="H260" s="31"/>
      <c r="I260" s="31" t="s">
        <v>47</v>
      </c>
      <c r="J260" s="32" t="n">
        <v>1.0</v>
      </c>
      <c r="K260" s="33" t="n">
        <f>1900</f>
        <v>1900.0</v>
      </c>
      <c r="L260" s="34" t="s">
        <v>48</v>
      </c>
      <c r="M260" s="33" t="n">
        <f>1907</f>
        <v>1907.0</v>
      </c>
      <c r="N260" s="34" t="s">
        <v>48</v>
      </c>
      <c r="O260" s="33" t="n">
        <f>1724</f>
        <v>1724.0</v>
      </c>
      <c r="P260" s="34" t="s">
        <v>50</v>
      </c>
      <c r="Q260" s="33" t="n">
        <f>1727</f>
        <v>1727.0</v>
      </c>
      <c r="R260" s="34" t="s">
        <v>50</v>
      </c>
      <c r="S260" s="35" t="n">
        <f>1786</f>
        <v>1786.0</v>
      </c>
      <c r="T260" s="32" t="n">
        <f>524916</f>
        <v>524916.0</v>
      </c>
      <c r="U260" s="32" t="n">
        <f>27000</f>
        <v>27000.0</v>
      </c>
      <c r="V260" s="32" t="n">
        <f>948161938</f>
        <v>9.48161938E8</v>
      </c>
      <c r="W260" s="32" t="n">
        <f>50024790</f>
        <v>5.002479E7</v>
      </c>
      <c r="X260" s="36" t="n">
        <f>19</f>
        <v>19.0</v>
      </c>
    </row>
    <row r="261">
      <c r="A261" s="27" t="s">
        <v>42</v>
      </c>
      <c r="B261" s="27" t="s">
        <v>827</v>
      </c>
      <c r="C261" s="27" t="s">
        <v>828</v>
      </c>
      <c r="D261" s="27" t="s">
        <v>829</v>
      </c>
      <c r="E261" s="28" t="s">
        <v>46</v>
      </c>
      <c r="F261" s="29" t="s">
        <v>46</v>
      </c>
      <c r="G261" s="30" t="s">
        <v>46</v>
      </c>
      <c r="H261" s="31"/>
      <c r="I261" s="31" t="s">
        <v>47</v>
      </c>
      <c r="J261" s="32" t="n">
        <v>1.0</v>
      </c>
      <c r="K261" s="33" t="n">
        <f>1505</f>
        <v>1505.0</v>
      </c>
      <c r="L261" s="34" t="s">
        <v>48</v>
      </c>
      <c r="M261" s="33" t="n">
        <f>1540</f>
        <v>1540.0</v>
      </c>
      <c r="N261" s="34" t="s">
        <v>66</v>
      </c>
      <c r="O261" s="33" t="n">
        <f>1444</f>
        <v>1444.0</v>
      </c>
      <c r="P261" s="34" t="s">
        <v>217</v>
      </c>
      <c r="Q261" s="33" t="n">
        <f>1484</f>
        <v>1484.0</v>
      </c>
      <c r="R261" s="34" t="s">
        <v>50</v>
      </c>
      <c r="S261" s="35" t="n">
        <f>1494.42</f>
        <v>1494.42</v>
      </c>
      <c r="T261" s="32" t="n">
        <f>117128</f>
        <v>117128.0</v>
      </c>
      <c r="U261" s="32" t="str">
        <f>"－"</f>
        <v>－</v>
      </c>
      <c r="V261" s="32" t="n">
        <f>173821445</f>
        <v>1.73821445E8</v>
      </c>
      <c r="W261" s="32" t="str">
        <f>"－"</f>
        <v>－</v>
      </c>
      <c r="X261" s="36" t="n">
        <f>19</f>
        <v>19.0</v>
      </c>
    </row>
    <row r="262">
      <c r="A262" s="27" t="s">
        <v>42</v>
      </c>
      <c r="B262" s="27" t="s">
        <v>830</v>
      </c>
      <c r="C262" s="27" t="s">
        <v>831</v>
      </c>
      <c r="D262" s="27" t="s">
        <v>832</v>
      </c>
      <c r="E262" s="28" t="s">
        <v>46</v>
      </c>
      <c r="F262" s="29" t="s">
        <v>46</v>
      </c>
      <c r="G262" s="30" t="s">
        <v>46</v>
      </c>
      <c r="H262" s="31"/>
      <c r="I262" s="31" t="s">
        <v>47</v>
      </c>
      <c r="J262" s="32" t="n">
        <v>1.0</v>
      </c>
      <c r="K262" s="33" t="n">
        <f>1457</f>
        <v>1457.0</v>
      </c>
      <c r="L262" s="34" t="s">
        <v>48</v>
      </c>
      <c r="M262" s="33" t="n">
        <f>1480</f>
        <v>1480.0</v>
      </c>
      <c r="N262" s="34" t="s">
        <v>114</v>
      </c>
      <c r="O262" s="33" t="n">
        <f>1389</f>
        <v>1389.0</v>
      </c>
      <c r="P262" s="34" t="s">
        <v>49</v>
      </c>
      <c r="Q262" s="33" t="n">
        <f>1444</f>
        <v>1444.0</v>
      </c>
      <c r="R262" s="34" t="s">
        <v>50</v>
      </c>
      <c r="S262" s="35" t="n">
        <f>1441.68</f>
        <v>1441.68</v>
      </c>
      <c r="T262" s="32" t="n">
        <f>670028</f>
        <v>670028.0</v>
      </c>
      <c r="U262" s="32" t="n">
        <f>171400</f>
        <v>171400.0</v>
      </c>
      <c r="V262" s="32" t="n">
        <f>965308141</f>
        <v>9.65308141E8</v>
      </c>
      <c r="W262" s="32" t="n">
        <f>248166465</f>
        <v>2.48166465E8</v>
      </c>
      <c r="X262" s="36" t="n">
        <f>19</f>
        <v>19.0</v>
      </c>
    </row>
    <row r="263">
      <c r="A263" s="27" t="s">
        <v>42</v>
      </c>
      <c r="B263" s="27" t="s">
        <v>833</v>
      </c>
      <c r="C263" s="27" t="s">
        <v>834</v>
      </c>
      <c r="D263" s="27" t="s">
        <v>835</v>
      </c>
      <c r="E263" s="28" t="s">
        <v>46</v>
      </c>
      <c r="F263" s="29" t="s">
        <v>46</v>
      </c>
      <c r="G263" s="30" t="s">
        <v>46</v>
      </c>
      <c r="H263" s="31"/>
      <c r="I263" s="31" t="s">
        <v>47</v>
      </c>
      <c r="J263" s="32" t="n">
        <v>10.0</v>
      </c>
      <c r="K263" s="33" t="n">
        <f>437</f>
        <v>437.0</v>
      </c>
      <c r="L263" s="34" t="s">
        <v>48</v>
      </c>
      <c r="M263" s="33" t="n">
        <f>439.1</f>
        <v>439.1</v>
      </c>
      <c r="N263" s="34" t="s">
        <v>508</v>
      </c>
      <c r="O263" s="33" t="n">
        <f>432.4</f>
        <v>432.4</v>
      </c>
      <c r="P263" s="34" t="s">
        <v>200</v>
      </c>
      <c r="Q263" s="33" t="n">
        <f>433.9</f>
        <v>433.9</v>
      </c>
      <c r="R263" s="34" t="s">
        <v>50</v>
      </c>
      <c r="S263" s="35" t="n">
        <f>435.69</f>
        <v>435.69</v>
      </c>
      <c r="T263" s="32" t="n">
        <f>4326190</f>
        <v>4326190.0</v>
      </c>
      <c r="U263" s="32" t="n">
        <f>2525590</f>
        <v>2525590.0</v>
      </c>
      <c r="V263" s="32" t="n">
        <f>1892811681</f>
        <v>1.892811681E9</v>
      </c>
      <c r="W263" s="32" t="n">
        <f>1107126219</f>
        <v>1.107126219E9</v>
      </c>
      <c r="X263" s="36" t="n">
        <f>19</f>
        <v>19.0</v>
      </c>
    </row>
    <row r="264">
      <c r="A264" s="27" t="s">
        <v>42</v>
      </c>
      <c r="B264" s="27" t="s">
        <v>836</v>
      </c>
      <c r="C264" s="27" t="s">
        <v>837</v>
      </c>
      <c r="D264" s="27" t="s">
        <v>838</v>
      </c>
      <c r="E264" s="28" t="s">
        <v>46</v>
      </c>
      <c r="F264" s="29" t="s">
        <v>46</v>
      </c>
      <c r="G264" s="30" t="s">
        <v>46</v>
      </c>
      <c r="H264" s="31"/>
      <c r="I264" s="31" t="s">
        <v>47</v>
      </c>
      <c r="J264" s="32" t="n">
        <v>10.0</v>
      </c>
      <c r="K264" s="33" t="n">
        <f>147.3</f>
        <v>147.3</v>
      </c>
      <c r="L264" s="34" t="s">
        <v>48</v>
      </c>
      <c r="M264" s="33" t="n">
        <f>147.3</f>
        <v>147.3</v>
      </c>
      <c r="N264" s="34" t="s">
        <v>48</v>
      </c>
      <c r="O264" s="33" t="n">
        <f>135.5</f>
        <v>135.5</v>
      </c>
      <c r="P264" s="34" t="s">
        <v>50</v>
      </c>
      <c r="Q264" s="33" t="n">
        <f>135.9</f>
        <v>135.9</v>
      </c>
      <c r="R264" s="34" t="s">
        <v>50</v>
      </c>
      <c r="S264" s="35" t="n">
        <f>141.88</f>
        <v>141.88</v>
      </c>
      <c r="T264" s="32" t="n">
        <f>11173410</f>
        <v>1.117341E7</v>
      </c>
      <c r="U264" s="32" t="n">
        <f>50</f>
        <v>50.0</v>
      </c>
      <c r="V264" s="32" t="n">
        <f>1576255354</f>
        <v>1.576255354E9</v>
      </c>
      <c r="W264" s="32" t="n">
        <f>6930</f>
        <v>6930.0</v>
      </c>
      <c r="X264" s="36" t="n">
        <f>19</f>
        <v>19.0</v>
      </c>
    </row>
    <row r="265">
      <c r="A265" s="27" t="s">
        <v>42</v>
      </c>
      <c r="B265" s="27" t="s">
        <v>839</v>
      </c>
      <c r="C265" s="27" t="s">
        <v>840</v>
      </c>
      <c r="D265" s="27" t="s">
        <v>841</v>
      </c>
      <c r="E265" s="28" t="s">
        <v>46</v>
      </c>
      <c r="F265" s="29" t="s">
        <v>46</v>
      </c>
      <c r="G265" s="30" t="s">
        <v>46</v>
      </c>
      <c r="H265" s="31"/>
      <c r="I265" s="31" t="s">
        <v>47</v>
      </c>
      <c r="J265" s="32" t="n">
        <v>10.0</v>
      </c>
      <c r="K265" s="33" t="n">
        <f>120.9</f>
        <v>120.9</v>
      </c>
      <c r="L265" s="34" t="s">
        <v>48</v>
      </c>
      <c r="M265" s="33" t="n">
        <f>123.5</f>
        <v>123.5</v>
      </c>
      <c r="N265" s="34" t="s">
        <v>98</v>
      </c>
      <c r="O265" s="33" t="n">
        <f>112.9</f>
        <v>112.9</v>
      </c>
      <c r="P265" s="34" t="s">
        <v>50</v>
      </c>
      <c r="Q265" s="33" t="n">
        <f>113.2</f>
        <v>113.2</v>
      </c>
      <c r="R265" s="34" t="s">
        <v>50</v>
      </c>
      <c r="S265" s="35" t="n">
        <f>118.99</f>
        <v>118.99</v>
      </c>
      <c r="T265" s="32" t="n">
        <f>12429730</f>
        <v>1.242973E7</v>
      </c>
      <c r="U265" s="32" t="n">
        <f>4020</f>
        <v>4020.0</v>
      </c>
      <c r="V265" s="32" t="n">
        <f>1462282160</f>
        <v>1.46228216E9</v>
      </c>
      <c r="W265" s="32" t="n">
        <f>479188</f>
        <v>479188.0</v>
      </c>
      <c r="X265" s="36" t="n">
        <f>19</f>
        <v>19.0</v>
      </c>
    </row>
    <row r="266">
      <c r="A266" s="27" t="s">
        <v>42</v>
      </c>
      <c r="B266" s="27" t="s">
        <v>842</v>
      </c>
      <c r="C266" s="27" t="s">
        <v>843</v>
      </c>
      <c r="D266" s="27" t="s">
        <v>844</v>
      </c>
      <c r="E266" s="28" t="s">
        <v>46</v>
      </c>
      <c r="F266" s="29" t="s">
        <v>46</v>
      </c>
      <c r="G266" s="30" t="s">
        <v>46</v>
      </c>
      <c r="H266" s="31"/>
      <c r="I266" s="31" t="s">
        <v>47</v>
      </c>
      <c r="J266" s="32" t="n">
        <v>10.0</v>
      </c>
      <c r="K266" s="33" t="n">
        <f>800.2</f>
        <v>800.2</v>
      </c>
      <c r="L266" s="34" t="s">
        <v>48</v>
      </c>
      <c r="M266" s="33" t="n">
        <f>825</f>
        <v>825.0</v>
      </c>
      <c r="N266" s="34" t="s">
        <v>66</v>
      </c>
      <c r="O266" s="33" t="n">
        <f>780</f>
        <v>780.0</v>
      </c>
      <c r="P266" s="34" t="s">
        <v>270</v>
      </c>
      <c r="Q266" s="33" t="n">
        <f>792</f>
        <v>792.0</v>
      </c>
      <c r="R266" s="34" t="s">
        <v>50</v>
      </c>
      <c r="S266" s="35" t="n">
        <f>796.35</f>
        <v>796.35</v>
      </c>
      <c r="T266" s="32" t="n">
        <f>23890190</f>
        <v>2.389019E7</v>
      </c>
      <c r="U266" s="32" t="n">
        <f>21570100</f>
        <v>2.15701E7</v>
      </c>
      <c r="V266" s="32" t="n">
        <f>19003494219</f>
        <v>1.9003494219E10</v>
      </c>
      <c r="W266" s="32" t="n">
        <f>17149790178</f>
        <v>1.7149790178E10</v>
      </c>
      <c r="X266" s="36" t="n">
        <f>19</f>
        <v>19.0</v>
      </c>
    </row>
    <row r="267">
      <c r="A267" s="27" t="s">
        <v>42</v>
      </c>
      <c r="B267" s="27" t="s">
        <v>845</v>
      </c>
      <c r="C267" s="27" t="s">
        <v>846</v>
      </c>
      <c r="D267" s="27" t="s">
        <v>847</v>
      </c>
      <c r="E267" s="28" t="s">
        <v>46</v>
      </c>
      <c r="F267" s="29" t="s">
        <v>46</v>
      </c>
      <c r="G267" s="30" t="s">
        <v>46</v>
      </c>
      <c r="H267" s="31"/>
      <c r="I267" s="31" t="s">
        <v>47</v>
      </c>
      <c r="J267" s="32" t="n">
        <v>10.0</v>
      </c>
      <c r="K267" s="33" t="n">
        <f>1193</f>
        <v>1193.0</v>
      </c>
      <c r="L267" s="34" t="s">
        <v>48</v>
      </c>
      <c r="M267" s="33" t="n">
        <f>1193</f>
        <v>1193.0</v>
      </c>
      <c r="N267" s="34" t="s">
        <v>48</v>
      </c>
      <c r="O267" s="33" t="n">
        <f>1108.5</f>
        <v>1108.5</v>
      </c>
      <c r="P267" s="34" t="s">
        <v>71</v>
      </c>
      <c r="Q267" s="33" t="n">
        <f>1121</f>
        <v>1121.0</v>
      </c>
      <c r="R267" s="34" t="s">
        <v>50</v>
      </c>
      <c r="S267" s="35" t="n">
        <f>1133.39</f>
        <v>1133.39</v>
      </c>
      <c r="T267" s="32" t="n">
        <f>8158990</f>
        <v>8158990.0</v>
      </c>
      <c r="U267" s="32" t="n">
        <f>1197950</f>
        <v>1197950.0</v>
      </c>
      <c r="V267" s="32" t="n">
        <f>9218064848</f>
        <v>9.218064848E9</v>
      </c>
      <c r="W267" s="32" t="n">
        <f>1350996838</f>
        <v>1.350996838E9</v>
      </c>
      <c r="X267" s="36" t="n">
        <f>19</f>
        <v>19.0</v>
      </c>
    </row>
    <row r="268">
      <c r="A268" s="27" t="s">
        <v>42</v>
      </c>
      <c r="B268" s="27" t="s">
        <v>848</v>
      </c>
      <c r="C268" s="27" t="s">
        <v>849</v>
      </c>
      <c r="D268" s="27" t="s">
        <v>850</v>
      </c>
      <c r="E268" s="28" t="s">
        <v>46</v>
      </c>
      <c r="F268" s="29" t="s">
        <v>46</v>
      </c>
      <c r="G268" s="30" t="s">
        <v>46</v>
      </c>
      <c r="H268" s="31"/>
      <c r="I268" s="31" t="s">
        <v>47</v>
      </c>
      <c r="J268" s="32" t="n">
        <v>10.0</v>
      </c>
      <c r="K268" s="33" t="n">
        <f>730.8</f>
        <v>730.8</v>
      </c>
      <c r="L268" s="34" t="s">
        <v>48</v>
      </c>
      <c r="M268" s="33" t="n">
        <f>730.8</f>
        <v>730.8</v>
      </c>
      <c r="N268" s="34" t="s">
        <v>48</v>
      </c>
      <c r="O268" s="33" t="n">
        <f>701.4</f>
        <v>701.4</v>
      </c>
      <c r="P268" s="34" t="s">
        <v>286</v>
      </c>
      <c r="Q268" s="33" t="n">
        <f>706</f>
        <v>706.0</v>
      </c>
      <c r="R268" s="34" t="s">
        <v>50</v>
      </c>
      <c r="S268" s="35" t="n">
        <f>712.85</f>
        <v>712.85</v>
      </c>
      <c r="T268" s="32" t="n">
        <f>72677470</f>
        <v>7.267747E7</v>
      </c>
      <c r="U268" s="32" t="n">
        <f>70781200</f>
        <v>7.07812E7</v>
      </c>
      <c r="V268" s="32" t="n">
        <f>51793622118</f>
        <v>5.1793622118E10</v>
      </c>
      <c r="W268" s="32" t="n">
        <f>50440139829</f>
        <v>5.0440139829E10</v>
      </c>
      <c r="X268" s="36" t="n">
        <f>19</f>
        <v>19.0</v>
      </c>
    </row>
    <row r="269">
      <c r="A269" s="27" t="s">
        <v>42</v>
      </c>
      <c r="B269" s="27" t="s">
        <v>851</v>
      </c>
      <c r="C269" s="27" t="s">
        <v>852</v>
      </c>
      <c r="D269" s="27" t="s">
        <v>853</v>
      </c>
      <c r="E269" s="28" t="s">
        <v>46</v>
      </c>
      <c r="F269" s="29" t="s">
        <v>46</v>
      </c>
      <c r="G269" s="30" t="s">
        <v>46</v>
      </c>
      <c r="H269" s="31"/>
      <c r="I269" s="31" t="s">
        <v>47</v>
      </c>
      <c r="J269" s="32" t="n">
        <v>1.0</v>
      </c>
      <c r="K269" s="33" t="n">
        <f>3646</f>
        <v>3646.0</v>
      </c>
      <c r="L269" s="34" t="s">
        <v>48</v>
      </c>
      <c r="M269" s="33" t="n">
        <f>3750</f>
        <v>3750.0</v>
      </c>
      <c r="N269" s="34" t="s">
        <v>48</v>
      </c>
      <c r="O269" s="33" t="n">
        <f>3435</f>
        <v>3435.0</v>
      </c>
      <c r="P269" s="34" t="s">
        <v>71</v>
      </c>
      <c r="Q269" s="33" t="n">
        <f>3529</f>
        <v>3529.0</v>
      </c>
      <c r="R269" s="34" t="s">
        <v>50</v>
      </c>
      <c r="S269" s="35" t="n">
        <f>3528.53</f>
        <v>3528.53</v>
      </c>
      <c r="T269" s="32" t="n">
        <f>3054552</f>
        <v>3054552.0</v>
      </c>
      <c r="U269" s="32" t="n">
        <f>2220240</f>
        <v>2220240.0</v>
      </c>
      <c r="V269" s="32" t="n">
        <f>10867965603</f>
        <v>1.0867965603E10</v>
      </c>
      <c r="W269" s="32" t="n">
        <f>7871496876</f>
        <v>7.871496876E9</v>
      </c>
      <c r="X269" s="36" t="n">
        <f>19</f>
        <v>19.0</v>
      </c>
    </row>
    <row r="270">
      <c r="A270" s="27" t="s">
        <v>42</v>
      </c>
      <c r="B270" s="27" t="s">
        <v>854</v>
      </c>
      <c r="C270" s="27" t="s">
        <v>855</v>
      </c>
      <c r="D270" s="27" t="s">
        <v>856</v>
      </c>
      <c r="E270" s="28" t="s">
        <v>46</v>
      </c>
      <c r="F270" s="29" t="s">
        <v>46</v>
      </c>
      <c r="G270" s="30" t="s">
        <v>46</v>
      </c>
      <c r="H270" s="31"/>
      <c r="I270" s="31" t="s">
        <v>47</v>
      </c>
      <c r="J270" s="32" t="n">
        <v>1.0</v>
      </c>
      <c r="K270" s="33" t="n">
        <f>2069</f>
        <v>2069.0</v>
      </c>
      <c r="L270" s="34" t="s">
        <v>48</v>
      </c>
      <c r="M270" s="33" t="n">
        <f>2150</f>
        <v>2150.0</v>
      </c>
      <c r="N270" s="34" t="s">
        <v>48</v>
      </c>
      <c r="O270" s="33" t="n">
        <f>2002</f>
        <v>2002.0</v>
      </c>
      <c r="P270" s="34" t="s">
        <v>49</v>
      </c>
      <c r="Q270" s="33" t="n">
        <f>2031</f>
        <v>2031.0</v>
      </c>
      <c r="R270" s="34" t="s">
        <v>50</v>
      </c>
      <c r="S270" s="35" t="n">
        <f>2032.79</f>
        <v>2032.79</v>
      </c>
      <c r="T270" s="32" t="n">
        <f>1013482</f>
        <v>1013482.0</v>
      </c>
      <c r="U270" s="32" t="n">
        <f>891750</f>
        <v>891750.0</v>
      </c>
      <c r="V270" s="32" t="n">
        <f>2066840927</f>
        <v>2.066840927E9</v>
      </c>
      <c r="W270" s="32" t="n">
        <f>1817633279</f>
        <v>1.817633279E9</v>
      </c>
      <c r="X270" s="36" t="n">
        <f>19</f>
        <v>19.0</v>
      </c>
    </row>
    <row r="271">
      <c r="A271" s="27" t="s">
        <v>42</v>
      </c>
      <c r="B271" s="27" t="s">
        <v>857</v>
      </c>
      <c r="C271" s="27" t="s">
        <v>858</v>
      </c>
      <c r="D271" s="27" t="s">
        <v>859</v>
      </c>
      <c r="E271" s="28" t="s">
        <v>46</v>
      </c>
      <c r="F271" s="29" t="s">
        <v>46</v>
      </c>
      <c r="G271" s="30" t="s">
        <v>46</v>
      </c>
      <c r="H271" s="31"/>
      <c r="I271" s="31" t="s">
        <v>47</v>
      </c>
      <c r="J271" s="32" t="n">
        <v>1.0</v>
      </c>
      <c r="K271" s="33" t="n">
        <f>1678</f>
        <v>1678.0</v>
      </c>
      <c r="L271" s="34" t="s">
        <v>48</v>
      </c>
      <c r="M271" s="33" t="n">
        <f>1720</f>
        <v>1720.0</v>
      </c>
      <c r="N271" s="34" t="s">
        <v>48</v>
      </c>
      <c r="O271" s="33" t="n">
        <f>1550</f>
        <v>1550.0</v>
      </c>
      <c r="P271" s="34" t="s">
        <v>50</v>
      </c>
      <c r="Q271" s="33" t="n">
        <f>1559</f>
        <v>1559.0</v>
      </c>
      <c r="R271" s="34" t="s">
        <v>50</v>
      </c>
      <c r="S271" s="35" t="n">
        <f>1591.05</f>
        <v>1591.05</v>
      </c>
      <c r="T271" s="32" t="n">
        <f>1843844</f>
        <v>1843844.0</v>
      </c>
      <c r="U271" s="32" t="n">
        <f>825140</f>
        <v>825140.0</v>
      </c>
      <c r="V271" s="32" t="n">
        <f>2943956697</f>
        <v>2.943956697E9</v>
      </c>
      <c r="W271" s="32" t="n">
        <f>1319857979</f>
        <v>1.319857979E9</v>
      </c>
      <c r="X271" s="36" t="n">
        <f>19</f>
        <v>19.0</v>
      </c>
    </row>
    <row r="272">
      <c r="A272" s="27" t="s">
        <v>42</v>
      </c>
      <c r="B272" s="27" t="s">
        <v>860</v>
      </c>
      <c r="C272" s="27" t="s">
        <v>861</v>
      </c>
      <c r="D272" s="27" t="s">
        <v>862</v>
      </c>
      <c r="E272" s="28" t="s">
        <v>46</v>
      </c>
      <c r="F272" s="29" t="s">
        <v>46</v>
      </c>
      <c r="G272" s="30" t="s">
        <v>46</v>
      </c>
      <c r="H272" s="31"/>
      <c r="I272" s="31" t="s">
        <v>47</v>
      </c>
      <c r="J272" s="32" t="n">
        <v>10.0</v>
      </c>
      <c r="K272" s="33" t="n">
        <f>642.6</f>
        <v>642.6</v>
      </c>
      <c r="L272" s="34" t="s">
        <v>48</v>
      </c>
      <c r="M272" s="33" t="n">
        <f>649.6</f>
        <v>649.6</v>
      </c>
      <c r="N272" s="34" t="s">
        <v>157</v>
      </c>
      <c r="O272" s="33" t="n">
        <f>603.7</f>
        <v>603.7</v>
      </c>
      <c r="P272" s="34" t="s">
        <v>49</v>
      </c>
      <c r="Q272" s="33" t="n">
        <f>634.1</f>
        <v>634.1</v>
      </c>
      <c r="R272" s="34" t="s">
        <v>50</v>
      </c>
      <c r="S272" s="35" t="n">
        <f>626.15</f>
        <v>626.15</v>
      </c>
      <c r="T272" s="32" t="n">
        <f>7318170</f>
        <v>7318170.0</v>
      </c>
      <c r="U272" s="32" t="n">
        <f>31610</f>
        <v>31610.0</v>
      </c>
      <c r="V272" s="32" t="n">
        <f>4578435437</f>
        <v>4.578435437E9</v>
      </c>
      <c r="W272" s="32" t="n">
        <f>19748269</f>
        <v>1.9748269E7</v>
      </c>
      <c r="X272" s="36" t="n">
        <f>19</f>
        <v>19.0</v>
      </c>
    </row>
    <row r="273">
      <c r="A273" s="27" t="s">
        <v>42</v>
      </c>
      <c r="B273" s="27" t="s">
        <v>863</v>
      </c>
      <c r="C273" s="27" t="s">
        <v>864</v>
      </c>
      <c r="D273" s="27" t="s">
        <v>865</v>
      </c>
      <c r="E273" s="28" t="s">
        <v>46</v>
      </c>
      <c r="F273" s="29" t="s">
        <v>46</v>
      </c>
      <c r="G273" s="30" t="s">
        <v>46</v>
      </c>
      <c r="H273" s="31"/>
      <c r="I273" s="31" t="s">
        <v>47</v>
      </c>
      <c r="J273" s="32" t="n">
        <v>10.0</v>
      </c>
      <c r="K273" s="33" t="n">
        <f>1098.5</f>
        <v>1098.5</v>
      </c>
      <c r="L273" s="34" t="s">
        <v>48</v>
      </c>
      <c r="M273" s="33" t="n">
        <f>1101</f>
        <v>1101.0</v>
      </c>
      <c r="N273" s="34" t="s">
        <v>66</v>
      </c>
      <c r="O273" s="33" t="n">
        <f>1037.5</f>
        <v>1037.5</v>
      </c>
      <c r="P273" s="34" t="s">
        <v>50</v>
      </c>
      <c r="Q273" s="33" t="n">
        <f>1043</f>
        <v>1043.0</v>
      </c>
      <c r="R273" s="34" t="s">
        <v>50</v>
      </c>
      <c r="S273" s="35" t="n">
        <f>1066.74</f>
        <v>1066.74</v>
      </c>
      <c r="T273" s="32" t="n">
        <f>975100</f>
        <v>975100.0</v>
      </c>
      <c r="U273" s="32" t="n">
        <f>559570</f>
        <v>559570.0</v>
      </c>
      <c r="V273" s="32" t="n">
        <f>1052128508</f>
        <v>1.052128508E9</v>
      </c>
      <c r="W273" s="32" t="n">
        <f>608235573</f>
        <v>6.08235573E8</v>
      </c>
      <c r="X273" s="36" t="n">
        <f>19</f>
        <v>19.0</v>
      </c>
    </row>
    <row r="274">
      <c r="A274" s="27" t="s">
        <v>42</v>
      </c>
      <c r="B274" s="27" t="s">
        <v>866</v>
      </c>
      <c r="C274" s="27" t="s">
        <v>867</v>
      </c>
      <c r="D274" s="27" t="s">
        <v>868</v>
      </c>
      <c r="E274" s="28" t="s">
        <v>46</v>
      </c>
      <c r="F274" s="29" t="s">
        <v>46</v>
      </c>
      <c r="G274" s="30" t="s">
        <v>46</v>
      </c>
      <c r="H274" s="31"/>
      <c r="I274" s="31" t="s">
        <v>47</v>
      </c>
      <c r="J274" s="32" t="n">
        <v>1.0</v>
      </c>
      <c r="K274" s="33" t="n">
        <f>2456</f>
        <v>2456.0</v>
      </c>
      <c r="L274" s="34" t="s">
        <v>48</v>
      </c>
      <c r="M274" s="33" t="n">
        <f>2473</f>
        <v>2473.0</v>
      </c>
      <c r="N274" s="34" t="s">
        <v>48</v>
      </c>
      <c r="O274" s="33" t="n">
        <f>2370</f>
        <v>2370.0</v>
      </c>
      <c r="P274" s="34" t="s">
        <v>49</v>
      </c>
      <c r="Q274" s="33" t="n">
        <f>2472</f>
        <v>2472.0</v>
      </c>
      <c r="R274" s="34" t="s">
        <v>50</v>
      </c>
      <c r="S274" s="35" t="n">
        <f>2430.21</f>
        <v>2430.21</v>
      </c>
      <c r="T274" s="32" t="n">
        <f>44773</f>
        <v>44773.0</v>
      </c>
      <c r="U274" s="32" t="str">
        <f>"－"</f>
        <v>－</v>
      </c>
      <c r="V274" s="32" t="n">
        <f>108801927</f>
        <v>1.08801927E8</v>
      </c>
      <c r="W274" s="32" t="str">
        <f>"－"</f>
        <v>－</v>
      </c>
      <c r="X274" s="36" t="n">
        <f>19</f>
        <v>19.0</v>
      </c>
    </row>
    <row r="275">
      <c r="A275" s="27" t="s">
        <v>42</v>
      </c>
      <c r="B275" s="27" t="s">
        <v>869</v>
      </c>
      <c r="C275" s="27" t="s">
        <v>870</v>
      </c>
      <c r="D275" s="27" t="s">
        <v>871</v>
      </c>
      <c r="E275" s="28" t="s">
        <v>46</v>
      </c>
      <c r="F275" s="29" t="s">
        <v>46</v>
      </c>
      <c r="G275" s="30" t="s">
        <v>46</v>
      </c>
      <c r="H275" s="31"/>
      <c r="I275" s="31" t="s">
        <v>47</v>
      </c>
      <c r="J275" s="32" t="n">
        <v>10.0</v>
      </c>
      <c r="K275" s="33" t="n">
        <f>1208</f>
        <v>1208.0</v>
      </c>
      <c r="L275" s="34" t="s">
        <v>48</v>
      </c>
      <c r="M275" s="33" t="n">
        <f>1209.5</f>
        <v>1209.5</v>
      </c>
      <c r="N275" s="34" t="s">
        <v>48</v>
      </c>
      <c r="O275" s="33" t="n">
        <f>1100</f>
        <v>1100.0</v>
      </c>
      <c r="P275" s="34" t="s">
        <v>98</v>
      </c>
      <c r="Q275" s="33" t="n">
        <f>1120.5</f>
        <v>1120.5</v>
      </c>
      <c r="R275" s="34" t="s">
        <v>50</v>
      </c>
      <c r="S275" s="35" t="n">
        <f>1139.16</f>
        <v>1139.16</v>
      </c>
      <c r="T275" s="32" t="n">
        <f>136410</f>
        <v>136410.0</v>
      </c>
      <c r="U275" s="32" t="n">
        <f>17670</f>
        <v>17670.0</v>
      </c>
      <c r="V275" s="32" t="n">
        <f>156721375</f>
        <v>1.56721375E8</v>
      </c>
      <c r="W275" s="32" t="n">
        <f>20069575</f>
        <v>2.0069575E7</v>
      </c>
      <c r="X275" s="36" t="n">
        <f>19</f>
        <v>19.0</v>
      </c>
    </row>
    <row r="276">
      <c r="A276" s="27" t="s">
        <v>42</v>
      </c>
      <c r="B276" s="27" t="s">
        <v>872</v>
      </c>
      <c r="C276" s="27" t="s">
        <v>873</v>
      </c>
      <c r="D276" s="27" t="s">
        <v>874</v>
      </c>
      <c r="E276" s="28" t="s">
        <v>46</v>
      </c>
      <c r="F276" s="29" t="s">
        <v>46</v>
      </c>
      <c r="G276" s="30" t="s">
        <v>46</v>
      </c>
      <c r="H276" s="31"/>
      <c r="I276" s="31" t="s">
        <v>47</v>
      </c>
      <c r="J276" s="32" t="n">
        <v>1.0</v>
      </c>
      <c r="K276" s="33" t="n">
        <f>2411</f>
        <v>2411.0</v>
      </c>
      <c r="L276" s="34" t="s">
        <v>48</v>
      </c>
      <c r="M276" s="33" t="n">
        <f>2420</f>
        <v>2420.0</v>
      </c>
      <c r="N276" s="34" t="s">
        <v>48</v>
      </c>
      <c r="O276" s="33" t="n">
        <f>2258</f>
        <v>2258.0</v>
      </c>
      <c r="P276" s="34" t="s">
        <v>71</v>
      </c>
      <c r="Q276" s="33" t="n">
        <f>2333</f>
        <v>2333.0</v>
      </c>
      <c r="R276" s="34" t="s">
        <v>50</v>
      </c>
      <c r="S276" s="35" t="n">
        <f>2332.32</f>
        <v>2332.32</v>
      </c>
      <c r="T276" s="32" t="n">
        <f>140140</f>
        <v>140140.0</v>
      </c>
      <c r="U276" s="32" t="n">
        <f>2514</f>
        <v>2514.0</v>
      </c>
      <c r="V276" s="32" t="n">
        <f>328249253</f>
        <v>3.28249253E8</v>
      </c>
      <c r="W276" s="32" t="n">
        <f>5844546</f>
        <v>5844546.0</v>
      </c>
      <c r="X276" s="36" t="n">
        <f>19</f>
        <v>19.0</v>
      </c>
    </row>
    <row r="277">
      <c r="A277" s="27" t="s">
        <v>42</v>
      </c>
      <c r="B277" s="27" t="s">
        <v>875</v>
      </c>
      <c r="C277" s="27" t="s">
        <v>876</v>
      </c>
      <c r="D277" s="27" t="s">
        <v>877</v>
      </c>
      <c r="E277" s="28" t="s">
        <v>46</v>
      </c>
      <c r="F277" s="29" t="s">
        <v>46</v>
      </c>
      <c r="G277" s="30" t="s">
        <v>46</v>
      </c>
      <c r="H277" s="31"/>
      <c r="I277" s="31" t="s">
        <v>47</v>
      </c>
      <c r="J277" s="32" t="n">
        <v>1.0</v>
      </c>
      <c r="K277" s="33" t="n">
        <f>2172</f>
        <v>2172.0</v>
      </c>
      <c r="L277" s="34" t="s">
        <v>48</v>
      </c>
      <c r="M277" s="33" t="n">
        <f>2189</f>
        <v>2189.0</v>
      </c>
      <c r="N277" s="34" t="s">
        <v>270</v>
      </c>
      <c r="O277" s="33" t="n">
        <f>2141</f>
        <v>2141.0</v>
      </c>
      <c r="P277" s="34" t="s">
        <v>221</v>
      </c>
      <c r="Q277" s="33" t="n">
        <f>2167</f>
        <v>2167.0</v>
      </c>
      <c r="R277" s="34" t="s">
        <v>50</v>
      </c>
      <c r="S277" s="35" t="n">
        <f>2162.79</f>
        <v>2162.79</v>
      </c>
      <c r="T277" s="32" t="n">
        <f>5242182</f>
        <v>5242182.0</v>
      </c>
      <c r="U277" s="32" t="n">
        <f>5015694</f>
        <v>5015694.0</v>
      </c>
      <c r="V277" s="32" t="n">
        <f>11353027231</f>
        <v>1.1353027231E10</v>
      </c>
      <c r="W277" s="32" t="n">
        <f>10863478464</f>
        <v>1.0863478464E10</v>
      </c>
      <c r="X277" s="36" t="n">
        <f>19</f>
        <v>19.0</v>
      </c>
    </row>
    <row r="278">
      <c r="A278" s="27" t="s">
        <v>42</v>
      </c>
      <c r="B278" s="27" t="s">
        <v>878</v>
      </c>
      <c r="C278" s="27" t="s">
        <v>879</v>
      </c>
      <c r="D278" s="27" t="s">
        <v>880</v>
      </c>
      <c r="E278" s="28" t="s">
        <v>46</v>
      </c>
      <c r="F278" s="29" t="s">
        <v>46</v>
      </c>
      <c r="G278" s="30" t="s">
        <v>46</v>
      </c>
      <c r="H278" s="31"/>
      <c r="I278" s="31" t="s">
        <v>47</v>
      </c>
      <c r="J278" s="32" t="n">
        <v>1.0</v>
      </c>
      <c r="K278" s="33" t="n">
        <f>9038</f>
        <v>9038.0</v>
      </c>
      <c r="L278" s="34" t="s">
        <v>48</v>
      </c>
      <c r="M278" s="33" t="n">
        <f>9135</f>
        <v>9135.0</v>
      </c>
      <c r="N278" s="34" t="s">
        <v>286</v>
      </c>
      <c r="O278" s="33" t="n">
        <f>8300</f>
        <v>8300.0</v>
      </c>
      <c r="P278" s="34" t="s">
        <v>71</v>
      </c>
      <c r="Q278" s="33" t="n">
        <f>8960</f>
        <v>8960.0</v>
      </c>
      <c r="R278" s="34" t="s">
        <v>50</v>
      </c>
      <c r="S278" s="35" t="n">
        <f>8693.32</f>
        <v>8693.32</v>
      </c>
      <c r="T278" s="32" t="n">
        <f>66841</f>
        <v>66841.0</v>
      </c>
      <c r="U278" s="32" t="str">
        <f>"－"</f>
        <v>－</v>
      </c>
      <c r="V278" s="32" t="n">
        <f>580246488</f>
        <v>5.80246488E8</v>
      </c>
      <c r="W278" s="32" t="str">
        <f>"－"</f>
        <v>－</v>
      </c>
      <c r="X278" s="36" t="n">
        <f>19</f>
        <v>19.0</v>
      </c>
    </row>
    <row r="279">
      <c r="A279" s="27" t="s">
        <v>42</v>
      </c>
      <c r="B279" s="27" t="s">
        <v>881</v>
      </c>
      <c r="C279" s="27" t="s">
        <v>882</v>
      </c>
      <c r="D279" s="27" t="s">
        <v>883</v>
      </c>
      <c r="E279" s="28" t="s">
        <v>46</v>
      </c>
      <c r="F279" s="29" t="s">
        <v>46</v>
      </c>
      <c r="G279" s="30" t="s">
        <v>46</v>
      </c>
      <c r="H279" s="31"/>
      <c r="I279" s="31" t="s">
        <v>47</v>
      </c>
      <c r="J279" s="32" t="n">
        <v>10.0</v>
      </c>
      <c r="K279" s="33" t="n">
        <f>3200</f>
        <v>3200.0</v>
      </c>
      <c r="L279" s="34" t="s">
        <v>48</v>
      </c>
      <c r="M279" s="33" t="n">
        <f>3200</f>
        <v>3200.0</v>
      </c>
      <c r="N279" s="34" t="s">
        <v>48</v>
      </c>
      <c r="O279" s="33" t="n">
        <f>3160</f>
        <v>3160.0</v>
      </c>
      <c r="P279" s="34" t="s">
        <v>286</v>
      </c>
      <c r="Q279" s="33" t="n">
        <f>3160</f>
        <v>3160.0</v>
      </c>
      <c r="R279" s="34" t="s">
        <v>286</v>
      </c>
      <c r="S279" s="35" t="n">
        <f>3181.25</f>
        <v>3181.25</v>
      </c>
      <c r="T279" s="32" t="n">
        <f>1750</f>
        <v>1750.0</v>
      </c>
      <c r="U279" s="32" t="str">
        <f>"－"</f>
        <v>－</v>
      </c>
      <c r="V279" s="32" t="n">
        <f>5546130</f>
        <v>5546130.0</v>
      </c>
      <c r="W279" s="32" t="str">
        <f>"－"</f>
        <v>－</v>
      </c>
      <c r="X279" s="36" t="n">
        <f>4</f>
        <v>4.0</v>
      </c>
    </row>
    <row r="280">
      <c r="A280" s="27" t="s">
        <v>42</v>
      </c>
      <c r="B280" s="27" t="s">
        <v>884</v>
      </c>
      <c r="C280" s="27" t="s">
        <v>885</v>
      </c>
      <c r="D280" s="27" t="s">
        <v>886</v>
      </c>
      <c r="E280" s="28" t="s">
        <v>46</v>
      </c>
      <c r="F280" s="29" t="s">
        <v>46</v>
      </c>
      <c r="G280" s="30" t="s">
        <v>46</v>
      </c>
      <c r="H280" s="31"/>
      <c r="I280" s="31" t="s">
        <v>47</v>
      </c>
      <c r="J280" s="32" t="n">
        <v>1.0</v>
      </c>
      <c r="K280" s="33" t="n">
        <f>4228</f>
        <v>4228.0</v>
      </c>
      <c r="L280" s="34" t="s">
        <v>48</v>
      </c>
      <c r="M280" s="33" t="n">
        <f>4277</f>
        <v>4277.0</v>
      </c>
      <c r="N280" s="34" t="s">
        <v>48</v>
      </c>
      <c r="O280" s="33" t="n">
        <f>4065</f>
        <v>4065.0</v>
      </c>
      <c r="P280" s="34" t="s">
        <v>49</v>
      </c>
      <c r="Q280" s="33" t="n">
        <f>4244</f>
        <v>4244.0</v>
      </c>
      <c r="R280" s="34" t="s">
        <v>50</v>
      </c>
      <c r="S280" s="35" t="n">
        <f>4178.21</f>
        <v>4178.21</v>
      </c>
      <c r="T280" s="32" t="n">
        <f>2012282</f>
        <v>2012282.0</v>
      </c>
      <c r="U280" s="32" t="n">
        <f>846715</f>
        <v>846715.0</v>
      </c>
      <c r="V280" s="32" t="n">
        <f>8369667547</f>
        <v>8.369667547E9</v>
      </c>
      <c r="W280" s="32" t="n">
        <f>3525162895</f>
        <v>3.525162895E9</v>
      </c>
      <c r="X280" s="36" t="n">
        <f>19</f>
        <v>19.0</v>
      </c>
    </row>
    <row r="281">
      <c r="A281" s="27" t="s">
        <v>42</v>
      </c>
      <c r="B281" s="27" t="s">
        <v>887</v>
      </c>
      <c r="C281" s="27" t="s">
        <v>888</v>
      </c>
      <c r="D281" s="27" t="s">
        <v>889</v>
      </c>
      <c r="E281" s="28" t="s">
        <v>46</v>
      </c>
      <c r="F281" s="29" t="s">
        <v>46</v>
      </c>
      <c r="G281" s="30" t="s">
        <v>46</v>
      </c>
      <c r="H281" s="31"/>
      <c r="I281" s="31" t="s">
        <v>47</v>
      </c>
      <c r="J281" s="32" t="n">
        <v>1.0</v>
      </c>
      <c r="K281" s="33" t="n">
        <f>66240</f>
        <v>66240.0</v>
      </c>
      <c r="L281" s="34" t="s">
        <v>48</v>
      </c>
      <c r="M281" s="33" t="n">
        <f>67790</f>
        <v>67790.0</v>
      </c>
      <c r="N281" s="34" t="s">
        <v>50</v>
      </c>
      <c r="O281" s="33" t="n">
        <f>63250</f>
        <v>63250.0</v>
      </c>
      <c r="P281" s="34" t="s">
        <v>71</v>
      </c>
      <c r="Q281" s="33" t="n">
        <f>67790</f>
        <v>67790.0</v>
      </c>
      <c r="R281" s="34" t="s">
        <v>50</v>
      </c>
      <c r="S281" s="35" t="n">
        <f>65636.84</f>
        <v>65636.84</v>
      </c>
      <c r="T281" s="32" t="n">
        <f>301606</f>
        <v>301606.0</v>
      </c>
      <c r="U281" s="32" t="n">
        <f>50949</f>
        <v>50949.0</v>
      </c>
      <c r="V281" s="32" t="n">
        <f>19704930816</f>
        <v>1.9704930816E10</v>
      </c>
      <c r="W281" s="32" t="n">
        <f>3334172626</f>
        <v>3.334172626E9</v>
      </c>
      <c r="X281" s="36" t="n">
        <f>19</f>
        <v>19.0</v>
      </c>
    </row>
    <row r="282">
      <c r="A282" s="27" t="s">
        <v>42</v>
      </c>
      <c r="B282" s="27" t="s">
        <v>890</v>
      </c>
      <c r="C282" s="27" t="s">
        <v>891</v>
      </c>
      <c r="D282" s="27" t="s">
        <v>892</v>
      </c>
      <c r="E282" s="28" t="s">
        <v>46</v>
      </c>
      <c r="F282" s="29" t="s">
        <v>46</v>
      </c>
      <c r="G282" s="30" t="s">
        <v>46</v>
      </c>
      <c r="H282" s="31"/>
      <c r="I282" s="31" t="s">
        <v>47</v>
      </c>
      <c r="J282" s="32" t="n">
        <v>1.0</v>
      </c>
      <c r="K282" s="33" t="n">
        <f>37870</f>
        <v>37870.0</v>
      </c>
      <c r="L282" s="34" t="s">
        <v>48</v>
      </c>
      <c r="M282" s="33" t="n">
        <f>38290</f>
        <v>38290.0</v>
      </c>
      <c r="N282" s="34" t="s">
        <v>48</v>
      </c>
      <c r="O282" s="33" t="n">
        <f>36370</f>
        <v>36370.0</v>
      </c>
      <c r="P282" s="34" t="s">
        <v>49</v>
      </c>
      <c r="Q282" s="33" t="n">
        <f>37730</f>
        <v>37730.0</v>
      </c>
      <c r="R282" s="34" t="s">
        <v>50</v>
      </c>
      <c r="S282" s="35" t="n">
        <f>37265.29</f>
        <v>37265.29</v>
      </c>
      <c r="T282" s="32" t="n">
        <f>138937</f>
        <v>138937.0</v>
      </c>
      <c r="U282" s="32" t="str">
        <f>"－"</f>
        <v>－</v>
      </c>
      <c r="V282" s="32" t="n">
        <f>5160164440</f>
        <v>5.16016444E9</v>
      </c>
      <c r="W282" s="32" t="str">
        <f>"－"</f>
        <v>－</v>
      </c>
      <c r="X282" s="36" t="n">
        <f>17</f>
        <v>17.0</v>
      </c>
    </row>
    <row r="283">
      <c r="A283" s="27" t="s">
        <v>42</v>
      </c>
      <c r="B283" s="27" t="s">
        <v>893</v>
      </c>
      <c r="C283" s="27" t="s">
        <v>894</v>
      </c>
      <c r="D283" s="27" t="s">
        <v>895</v>
      </c>
      <c r="E283" s="28" t="s">
        <v>46</v>
      </c>
      <c r="F283" s="29" t="s">
        <v>46</v>
      </c>
      <c r="G283" s="30" t="s">
        <v>46</v>
      </c>
      <c r="H283" s="31"/>
      <c r="I283" s="31" t="s">
        <v>47</v>
      </c>
      <c r="J283" s="32" t="n">
        <v>1.0</v>
      </c>
      <c r="K283" s="33" t="n">
        <f>1104</f>
        <v>1104.0</v>
      </c>
      <c r="L283" s="34" t="s">
        <v>48</v>
      </c>
      <c r="M283" s="33" t="n">
        <f>1107</f>
        <v>1107.0</v>
      </c>
      <c r="N283" s="34" t="s">
        <v>66</v>
      </c>
      <c r="O283" s="33" t="n">
        <f>1036</f>
        <v>1036.0</v>
      </c>
      <c r="P283" s="34" t="s">
        <v>78</v>
      </c>
      <c r="Q283" s="33" t="n">
        <f>1058</f>
        <v>1058.0</v>
      </c>
      <c r="R283" s="34" t="s">
        <v>50</v>
      </c>
      <c r="S283" s="35" t="n">
        <f>1080.26</f>
        <v>1080.26</v>
      </c>
      <c r="T283" s="32" t="n">
        <f>2037177</f>
        <v>2037177.0</v>
      </c>
      <c r="U283" s="32" t="n">
        <f>1246423</f>
        <v>1246423.0</v>
      </c>
      <c r="V283" s="32" t="n">
        <f>2204411167</f>
        <v>2.204411167E9</v>
      </c>
      <c r="W283" s="32" t="n">
        <f>1350689679</f>
        <v>1.350689679E9</v>
      </c>
      <c r="X283" s="36" t="n">
        <f>19</f>
        <v>19.0</v>
      </c>
    </row>
    <row r="284">
      <c r="A284" s="27" t="s">
        <v>42</v>
      </c>
      <c r="B284" s="27" t="s">
        <v>896</v>
      </c>
      <c r="C284" s="27" t="s">
        <v>897</v>
      </c>
      <c r="D284" s="27" t="s">
        <v>898</v>
      </c>
      <c r="E284" s="28" t="s">
        <v>46</v>
      </c>
      <c r="F284" s="29" t="s">
        <v>46</v>
      </c>
      <c r="G284" s="30" t="s">
        <v>46</v>
      </c>
      <c r="H284" s="31"/>
      <c r="I284" s="31" t="s">
        <v>47</v>
      </c>
      <c r="J284" s="32" t="n">
        <v>1.0</v>
      </c>
      <c r="K284" s="33" t="n">
        <f>1099</f>
        <v>1099.0</v>
      </c>
      <c r="L284" s="34" t="s">
        <v>48</v>
      </c>
      <c r="M284" s="33" t="n">
        <f>1106</f>
        <v>1106.0</v>
      </c>
      <c r="N284" s="34" t="s">
        <v>66</v>
      </c>
      <c r="O284" s="33" t="n">
        <f>1028</f>
        <v>1028.0</v>
      </c>
      <c r="P284" s="34" t="s">
        <v>50</v>
      </c>
      <c r="Q284" s="33" t="n">
        <f>1034</f>
        <v>1034.0</v>
      </c>
      <c r="R284" s="34" t="s">
        <v>50</v>
      </c>
      <c r="S284" s="35" t="n">
        <f>1063.63</f>
        <v>1063.63</v>
      </c>
      <c r="T284" s="32" t="n">
        <f>873009</f>
        <v>873009.0</v>
      </c>
      <c r="U284" s="32" t="n">
        <f>463714</f>
        <v>463714.0</v>
      </c>
      <c r="V284" s="32" t="n">
        <f>931905136</f>
        <v>9.31905136E8</v>
      </c>
      <c r="W284" s="32" t="n">
        <f>500110630</f>
        <v>5.0011063E8</v>
      </c>
      <c r="X284" s="36" t="n">
        <f>19</f>
        <v>19.0</v>
      </c>
    </row>
    <row r="285">
      <c r="A285" s="27" t="s">
        <v>42</v>
      </c>
      <c r="B285" s="27" t="s">
        <v>899</v>
      </c>
      <c r="C285" s="27" t="s">
        <v>900</v>
      </c>
      <c r="D285" s="27" t="s">
        <v>901</v>
      </c>
      <c r="E285" s="28" t="s">
        <v>46</v>
      </c>
      <c r="F285" s="29" t="s">
        <v>46</v>
      </c>
      <c r="G285" s="30" t="s">
        <v>46</v>
      </c>
      <c r="H285" s="31"/>
      <c r="I285" s="31" t="s">
        <v>47</v>
      </c>
      <c r="J285" s="32" t="n">
        <v>1.0</v>
      </c>
      <c r="K285" s="33" t="n">
        <f>2424</f>
        <v>2424.0</v>
      </c>
      <c r="L285" s="34" t="s">
        <v>48</v>
      </c>
      <c r="M285" s="33" t="n">
        <f>2449</f>
        <v>2449.0</v>
      </c>
      <c r="N285" s="34" t="s">
        <v>48</v>
      </c>
      <c r="O285" s="33" t="n">
        <f>2300</f>
        <v>2300.0</v>
      </c>
      <c r="P285" s="34" t="s">
        <v>49</v>
      </c>
      <c r="Q285" s="33" t="n">
        <f>2390</f>
        <v>2390.0</v>
      </c>
      <c r="R285" s="34" t="s">
        <v>50</v>
      </c>
      <c r="S285" s="35" t="n">
        <f>2377.32</f>
        <v>2377.32</v>
      </c>
      <c r="T285" s="32" t="n">
        <f>476831</f>
        <v>476831.0</v>
      </c>
      <c r="U285" s="32" t="n">
        <f>297128</f>
        <v>297128.0</v>
      </c>
      <c r="V285" s="32" t="n">
        <f>1137645211</f>
        <v>1.137645211E9</v>
      </c>
      <c r="W285" s="32" t="n">
        <f>708797037</f>
        <v>7.08797037E8</v>
      </c>
      <c r="X285" s="36" t="n">
        <f>19</f>
        <v>19.0</v>
      </c>
    </row>
    <row r="286">
      <c r="A286" s="27" t="s">
        <v>42</v>
      </c>
      <c r="B286" s="27" t="s">
        <v>902</v>
      </c>
      <c r="C286" s="27" t="s">
        <v>903</v>
      </c>
      <c r="D286" s="27" t="s">
        <v>904</v>
      </c>
      <c r="E286" s="28" t="s">
        <v>46</v>
      </c>
      <c r="F286" s="29" t="s">
        <v>46</v>
      </c>
      <c r="G286" s="30" t="s">
        <v>46</v>
      </c>
      <c r="H286" s="31"/>
      <c r="I286" s="31" t="s">
        <v>47</v>
      </c>
      <c r="J286" s="32" t="n">
        <v>1.0</v>
      </c>
      <c r="K286" s="33" t="n">
        <f>17415</f>
        <v>17415.0</v>
      </c>
      <c r="L286" s="34" t="s">
        <v>48</v>
      </c>
      <c r="M286" s="33" t="n">
        <f>18140</f>
        <v>18140.0</v>
      </c>
      <c r="N286" s="34" t="s">
        <v>200</v>
      </c>
      <c r="O286" s="33" t="n">
        <f>16665</f>
        <v>16665.0</v>
      </c>
      <c r="P286" s="34" t="s">
        <v>50</v>
      </c>
      <c r="Q286" s="33" t="n">
        <f>16720</f>
        <v>16720.0</v>
      </c>
      <c r="R286" s="34" t="s">
        <v>50</v>
      </c>
      <c r="S286" s="35" t="n">
        <f>17144.21</f>
        <v>17144.21</v>
      </c>
      <c r="T286" s="32" t="n">
        <f>4676</f>
        <v>4676.0</v>
      </c>
      <c r="U286" s="32" t="str">
        <f>"－"</f>
        <v>－</v>
      </c>
      <c r="V286" s="32" t="n">
        <f>80853000</f>
        <v>8.0853E7</v>
      </c>
      <c r="W286" s="32" t="str">
        <f>"－"</f>
        <v>－</v>
      </c>
      <c r="X286" s="36" t="n">
        <f>19</f>
        <v>19.0</v>
      </c>
    </row>
    <row r="287">
      <c r="A287" s="27" t="s">
        <v>42</v>
      </c>
      <c r="B287" s="27" t="s">
        <v>905</v>
      </c>
      <c r="C287" s="27" t="s">
        <v>906</v>
      </c>
      <c r="D287" s="27" t="s">
        <v>907</v>
      </c>
      <c r="E287" s="28" t="s">
        <v>46</v>
      </c>
      <c r="F287" s="29" t="s">
        <v>46</v>
      </c>
      <c r="G287" s="30" t="s">
        <v>46</v>
      </c>
      <c r="H287" s="31"/>
      <c r="I287" s="31" t="s">
        <v>47</v>
      </c>
      <c r="J287" s="32" t="n">
        <v>1.0</v>
      </c>
      <c r="K287" s="33" t="n">
        <f>1931</f>
        <v>1931.0</v>
      </c>
      <c r="L287" s="34" t="s">
        <v>48</v>
      </c>
      <c r="M287" s="33" t="n">
        <f>1939</f>
        <v>1939.0</v>
      </c>
      <c r="N287" s="34" t="s">
        <v>48</v>
      </c>
      <c r="O287" s="33" t="n">
        <f>1846</f>
        <v>1846.0</v>
      </c>
      <c r="P287" s="34" t="s">
        <v>50</v>
      </c>
      <c r="Q287" s="33" t="n">
        <f>1857</f>
        <v>1857.0</v>
      </c>
      <c r="R287" s="34" t="s">
        <v>50</v>
      </c>
      <c r="S287" s="35" t="n">
        <f>1893.95</f>
        <v>1893.95</v>
      </c>
      <c r="T287" s="32" t="n">
        <f>502987</f>
        <v>502987.0</v>
      </c>
      <c r="U287" s="32" t="n">
        <f>160000</f>
        <v>160000.0</v>
      </c>
      <c r="V287" s="32" t="n">
        <f>948551828</f>
        <v>9.48551828E8</v>
      </c>
      <c r="W287" s="32" t="n">
        <f>300564800</f>
        <v>3.005648E8</v>
      </c>
      <c r="X287" s="36" t="n">
        <f>19</f>
        <v>19.0</v>
      </c>
    </row>
    <row r="288">
      <c r="A288" s="27" t="s">
        <v>42</v>
      </c>
      <c r="B288" s="27" t="s">
        <v>908</v>
      </c>
      <c r="C288" s="27" t="s">
        <v>909</v>
      </c>
      <c r="D288" s="27" t="s">
        <v>910</v>
      </c>
      <c r="E288" s="28" t="s">
        <v>46</v>
      </c>
      <c r="F288" s="29" t="s">
        <v>46</v>
      </c>
      <c r="G288" s="30" t="s">
        <v>46</v>
      </c>
      <c r="H288" s="31"/>
      <c r="I288" s="31" t="s">
        <v>47</v>
      </c>
      <c r="J288" s="32" t="n">
        <v>10.0</v>
      </c>
      <c r="K288" s="33" t="n">
        <f>2516</f>
        <v>2516.0</v>
      </c>
      <c r="L288" s="34" t="s">
        <v>48</v>
      </c>
      <c r="M288" s="33" t="n">
        <f>2570</f>
        <v>2570.0</v>
      </c>
      <c r="N288" s="34" t="s">
        <v>48</v>
      </c>
      <c r="O288" s="33" t="n">
        <f>2290</f>
        <v>2290.0</v>
      </c>
      <c r="P288" s="34" t="s">
        <v>49</v>
      </c>
      <c r="Q288" s="33" t="n">
        <f>2340</f>
        <v>2340.0</v>
      </c>
      <c r="R288" s="34" t="s">
        <v>50</v>
      </c>
      <c r="S288" s="35" t="n">
        <f>2389.24</f>
        <v>2389.24</v>
      </c>
      <c r="T288" s="32" t="n">
        <f>214000</f>
        <v>214000.0</v>
      </c>
      <c r="U288" s="32" t="str">
        <f>"－"</f>
        <v>－</v>
      </c>
      <c r="V288" s="32" t="n">
        <f>518034185</f>
        <v>5.18034185E8</v>
      </c>
      <c r="W288" s="32" t="str">
        <f>"－"</f>
        <v>－</v>
      </c>
      <c r="X288" s="36" t="n">
        <f>19</f>
        <v>19.0</v>
      </c>
    </row>
    <row r="289">
      <c r="A289" s="27" t="s">
        <v>42</v>
      </c>
      <c r="B289" s="27" t="s">
        <v>911</v>
      </c>
      <c r="C289" s="27" t="s">
        <v>912</v>
      </c>
      <c r="D289" s="27" t="s">
        <v>913</v>
      </c>
      <c r="E289" s="28" t="s">
        <v>46</v>
      </c>
      <c r="F289" s="29" t="s">
        <v>46</v>
      </c>
      <c r="G289" s="30" t="s">
        <v>46</v>
      </c>
      <c r="H289" s="31"/>
      <c r="I289" s="31" t="s">
        <v>47</v>
      </c>
      <c r="J289" s="32" t="n">
        <v>10.0</v>
      </c>
      <c r="K289" s="33" t="n">
        <f>754</f>
        <v>754.0</v>
      </c>
      <c r="L289" s="34" t="s">
        <v>48</v>
      </c>
      <c r="M289" s="33" t="n">
        <f>754</f>
        <v>754.0</v>
      </c>
      <c r="N289" s="34" t="s">
        <v>48</v>
      </c>
      <c r="O289" s="33" t="n">
        <f>721.5</f>
        <v>721.5</v>
      </c>
      <c r="P289" s="34" t="s">
        <v>50</v>
      </c>
      <c r="Q289" s="33" t="n">
        <f>721.5</f>
        <v>721.5</v>
      </c>
      <c r="R289" s="34" t="s">
        <v>50</v>
      </c>
      <c r="S289" s="35" t="n">
        <f>734.07</f>
        <v>734.07</v>
      </c>
      <c r="T289" s="32" t="n">
        <f>186920</f>
        <v>186920.0</v>
      </c>
      <c r="U289" s="32" t="n">
        <f>71280</f>
        <v>71280.0</v>
      </c>
      <c r="V289" s="32" t="n">
        <f>136903919</f>
        <v>1.36903919E8</v>
      </c>
      <c r="W289" s="32" t="n">
        <f>52079552</f>
        <v>5.2079552E7</v>
      </c>
      <c r="X289" s="36" t="n">
        <f>19</f>
        <v>19.0</v>
      </c>
    </row>
    <row r="290">
      <c r="A290" s="27" t="s">
        <v>42</v>
      </c>
      <c r="B290" s="27" t="s">
        <v>914</v>
      </c>
      <c r="C290" s="27" t="s">
        <v>915</v>
      </c>
      <c r="D290" s="27" t="s">
        <v>916</v>
      </c>
      <c r="E290" s="28" t="s">
        <v>46</v>
      </c>
      <c r="F290" s="29" t="s">
        <v>46</v>
      </c>
      <c r="G290" s="30" t="s">
        <v>46</v>
      </c>
      <c r="H290" s="31"/>
      <c r="I290" s="31" t="s">
        <v>47</v>
      </c>
      <c r="J290" s="32" t="n">
        <v>10.0</v>
      </c>
      <c r="K290" s="33" t="n">
        <f>1853.5</f>
        <v>1853.5</v>
      </c>
      <c r="L290" s="34" t="s">
        <v>48</v>
      </c>
      <c r="M290" s="33" t="n">
        <f>1888</f>
        <v>1888.0</v>
      </c>
      <c r="N290" s="34" t="s">
        <v>82</v>
      </c>
      <c r="O290" s="33" t="n">
        <f>1772</f>
        <v>1772.0</v>
      </c>
      <c r="P290" s="34" t="s">
        <v>78</v>
      </c>
      <c r="Q290" s="33" t="n">
        <f>1780</f>
        <v>1780.0</v>
      </c>
      <c r="R290" s="34" t="s">
        <v>50</v>
      </c>
      <c r="S290" s="35" t="n">
        <f>1819.08</f>
        <v>1819.08</v>
      </c>
      <c r="T290" s="32" t="n">
        <f>1076650</f>
        <v>1076650.0</v>
      </c>
      <c r="U290" s="32" t="n">
        <f>674310</f>
        <v>674310.0</v>
      </c>
      <c r="V290" s="32" t="n">
        <f>1945403400</f>
        <v>1.9454034E9</v>
      </c>
      <c r="W290" s="32" t="n">
        <f>1213317390</f>
        <v>1.21331739E9</v>
      </c>
      <c r="X290" s="36" t="n">
        <f>19</f>
        <v>19.0</v>
      </c>
    </row>
    <row r="291">
      <c r="A291" s="27" t="s">
        <v>42</v>
      </c>
      <c r="B291" s="27" t="s">
        <v>917</v>
      </c>
      <c r="C291" s="27" t="s">
        <v>918</v>
      </c>
      <c r="D291" s="27" t="s">
        <v>919</v>
      </c>
      <c r="E291" s="28" t="s">
        <v>46</v>
      </c>
      <c r="F291" s="29" t="s">
        <v>46</v>
      </c>
      <c r="G291" s="30" t="s">
        <v>46</v>
      </c>
      <c r="H291" s="31"/>
      <c r="I291" s="31" t="s">
        <v>47</v>
      </c>
      <c r="J291" s="32" t="n">
        <v>10.0</v>
      </c>
      <c r="K291" s="33" t="n">
        <f>1855.5</f>
        <v>1855.5</v>
      </c>
      <c r="L291" s="34" t="s">
        <v>48</v>
      </c>
      <c r="M291" s="33" t="n">
        <f>1858</f>
        <v>1858.0</v>
      </c>
      <c r="N291" s="34" t="s">
        <v>66</v>
      </c>
      <c r="O291" s="33" t="n">
        <f>1769</f>
        <v>1769.0</v>
      </c>
      <c r="P291" s="34" t="s">
        <v>50</v>
      </c>
      <c r="Q291" s="33" t="n">
        <f>1781.5</f>
        <v>1781.5</v>
      </c>
      <c r="R291" s="34" t="s">
        <v>50</v>
      </c>
      <c r="S291" s="35" t="n">
        <f>1819.53</f>
        <v>1819.53</v>
      </c>
      <c r="T291" s="32" t="n">
        <f>3637020</f>
        <v>3637020.0</v>
      </c>
      <c r="U291" s="32" t="n">
        <f>2437800</f>
        <v>2437800.0</v>
      </c>
      <c r="V291" s="32" t="n">
        <f>6591684158</f>
        <v>6.591684158E9</v>
      </c>
      <c r="W291" s="32" t="n">
        <f>4430702288</f>
        <v>4.430702288E9</v>
      </c>
      <c r="X291" s="36" t="n">
        <f>19</f>
        <v>19.0</v>
      </c>
    </row>
    <row r="292">
      <c r="A292" s="27" t="s">
        <v>42</v>
      </c>
      <c r="B292" s="27" t="s">
        <v>920</v>
      </c>
      <c r="C292" s="27" t="s">
        <v>921</v>
      </c>
      <c r="D292" s="27" t="s">
        <v>922</v>
      </c>
      <c r="E292" s="28" t="s">
        <v>46</v>
      </c>
      <c r="F292" s="29" t="s">
        <v>46</v>
      </c>
      <c r="G292" s="30" t="s">
        <v>46</v>
      </c>
      <c r="H292" s="31"/>
      <c r="I292" s="31" t="s">
        <v>47</v>
      </c>
      <c r="J292" s="32" t="n">
        <v>10.0</v>
      </c>
      <c r="K292" s="33" t="n">
        <f>4190</f>
        <v>4190.0</v>
      </c>
      <c r="L292" s="34" t="s">
        <v>48</v>
      </c>
      <c r="M292" s="33" t="n">
        <f>4248</f>
        <v>4248.0</v>
      </c>
      <c r="N292" s="34" t="s">
        <v>48</v>
      </c>
      <c r="O292" s="33" t="n">
        <f>4014</f>
        <v>4014.0</v>
      </c>
      <c r="P292" s="34" t="s">
        <v>49</v>
      </c>
      <c r="Q292" s="33" t="n">
        <f>4195</f>
        <v>4195.0</v>
      </c>
      <c r="R292" s="34" t="s">
        <v>50</v>
      </c>
      <c r="S292" s="35" t="n">
        <f>4138.37</f>
        <v>4138.37</v>
      </c>
      <c r="T292" s="32" t="n">
        <f>512870</f>
        <v>512870.0</v>
      </c>
      <c r="U292" s="32" t="n">
        <f>318040</f>
        <v>318040.0</v>
      </c>
      <c r="V292" s="32" t="n">
        <f>2116353693</f>
        <v>2.116353693E9</v>
      </c>
      <c r="W292" s="32" t="n">
        <f>1306705043</f>
        <v>1.306705043E9</v>
      </c>
      <c r="X292" s="36" t="n">
        <f>19</f>
        <v>19.0</v>
      </c>
    </row>
    <row r="293">
      <c r="A293" s="27" t="s">
        <v>42</v>
      </c>
      <c r="B293" s="27" t="s">
        <v>923</v>
      </c>
      <c r="C293" s="27" t="s">
        <v>924</v>
      </c>
      <c r="D293" s="27" t="s">
        <v>925</v>
      </c>
      <c r="E293" s="28" t="s">
        <v>46</v>
      </c>
      <c r="F293" s="29" t="s">
        <v>46</v>
      </c>
      <c r="G293" s="30" t="s">
        <v>46</v>
      </c>
      <c r="H293" s="31"/>
      <c r="I293" s="31" t="s">
        <v>47</v>
      </c>
      <c r="J293" s="32" t="n">
        <v>1.0</v>
      </c>
      <c r="K293" s="33" t="n">
        <f>3534</f>
        <v>3534.0</v>
      </c>
      <c r="L293" s="34" t="s">
        <v>48</v>
      </c>
      <c r="M293" s="33" t="n">
        <f>3537</f>
        <v>3537.0</v>
      </c>
      <c r="N293" s="34" t="s">
        <v>48</v>
      </c>
      <c r="O293" s="33" t="n">
        <f>3358</f>
        <v>3358.0</v>
      </c>
      <c r="P293" s="34" t="s">
        <v>71</v>
      </c>
      <c r="Q293" s="33" t="n">
        <f>3471</f>
        <v>3471.0</v>
      </c>
      <c r="R293" s="34" t="s">
        <v>50</v>
      </c>
      <c r="S293" s="35" t="n">
        <f>3445.89</f>
        <v>3445.89</v>
      </c>
      <c r="T293" s="32" t="n">
        <f>5163598</f>
        <v>5163598.0</v>
      </c>
      <c r="U293" s="32" t="n">
        <f>1897453</f>
        <v>1897453.0</v>
      </c>
      <c r="V293" s="32" t="n">
        <f>17722236123</f>
        <v>1.7722236123E10</v>
      </c>
      <c r="W293" s="32" t="n">
        <f>6477648089</f>
        <v>6.477648089E9</v>
      </c>
      <c r="X293" s="36" t="n">
        <f>19</f>
        <v>19.0</v>
      </c>
    </row>
    <row r="294">
      <c r="A294" s="27" t="s">
        <v>42</v>
      </c>
      <c r="B294" s="27" t="s">
        <v>926</v>
      </c>
      <c r="C294" s="27" t="s">
        <v>927</v>
      </c>
      <c r="D294" s="27" t="s">
        <v>928</v>
      </c>
      <c r="E294" s="28" t="s">
        <v>46</v>
      </c>
      <c r="F294" s="29" t="s">
        <v>46</v>
      </c>
      <c r="G294" s="30" t="s">
        <v>46</v>
      </c>
      <c r="H294" s="31"/>
      <c r="I294" s="31" t="s">
        <v>47</v>
      </c>
      <c r="J294" s="32" t="n">
        <v>1.0</v>
      </c>
      <c r="K294" s="33" t="n">
        <f>3023</f>
        <v>3023.0</v>
      </c>
      <c r="L294" s="34" t="s">
        <v>48</v>
      </c>
      <c r="M294" s="33" t="n">
        <f>3027</f>
        <v>3027.0</v>
      </c>
      <c r="N294" s="34" t="s">
        <v>48</v>
      </c>
      <c r="O294" s="33" t="n">
        <f>2862</f>
        <v>2862.0</v>
      </c>
      <c r="P294" s="34" t="s">
        <v>71</v>
      </c>
      <c r="Q294" s="33" t="n">
        <f>2954</f>
        <v>2954.0</v>
      </c>
      <c r="R294" s="34" t="s">
        <v>50</v>
      </c>
      <c r="S294" s="35" t="n">
        <f>2942.68</f>
        <v>2942.68</v>
      </c>
      <c r="T294" s="32" t="n">
        <f>5073153</f>
        <v>5073153.0</v>
      </c>
      <c r="U294" s="32" t="n">
        <f>169306</f>
        <v>169306.0</v>
      </c>
      <c r="V294" s="32" t="n">
        <f>14943472728</f>
        <v>1.4943472728E10</v>
      </c>
      <c r="W294" s="32" t="n">
        <f>497124056</f>
        <v>4.97124056E8</v>
      </c>
      <c r="X294" s="36" t="n">
        <f>19</f>
        <v>19.0</v>
      </c>
    </row>
    <row r="295">
      <c r="A295" s="27" t="s">
        <v>42</v>
      </c>
      <c r="B295" s="27" t="s">
        <v>929</v>
      </c>
      <c r="C295" s="27" t="s">
        <v>930</v>
      </c>
      <c r="D295" s="27" t="s">
        <v>931</v>
      </c>
      <c r="E295" s="28" t="s">
        <v>46</v>
      </c>
      <c r="F295" s="29" t="s">
        <v>46</v>
      </c>
      <c r="G295" s="30" t="s">
        <v>46</v>
      </c>
      <c r="H295" s="31"/>
      <c r="I295" s="31" t="s">
        <v>47</v>
      </c>
      <c r="J295" s="32" t="n">
        <v>1.0</v>
      </c>
      <c r="K295" s="33" t="n">
        <f>53090</f>
        <v>53090.0</v>
      </c>
      <c r="L295" s="34" t="s">
        <v>217</v>
      </c>
      <c r="M295" s="33" t="n">
        <f>53090</f>
        <v>53090.0</v>
      </c>
      <c r="N295" s="34" t="s">
        <v>217</v>
      </c>
      <c r="O295" s="33" t="n">
        <f>52090</f>
        <v>52090.0</v>
      </c>
      <c r="P295" s="34" t="s">
        <v>71</v>
      </c>
      <c r="Q295" s="33" t="n">
        <f>53090</f>
        <v>53090.0</v>
      </c>
      <c r="R295" s="34" t="s">
        <v>71</v>
      </c>
      <c r="S295" s="35" t="n">
        <f>53090</f>
        <v>53090.0</v>
      </c>
      <c r="T295" s="32" t="n">
        <f>6</f>
        <v>6.0</v>
      </c>
      <c r="U295" s="32" t="str">
        <f>"－"</f>
        <v>－</v>
      </c>
      <c r="V295" s="32" t="n">
        <f>316540</f>
        <v>316540.0</v>
      </c>
      <c r="W295" s="32" t="str">
        <f>"－"</f>
        <v>－</v>
      </c>
      <c r="X295" s="36" t="n">
        <f>2</f>
        <v>2.0</v>
      </c>
    </row>
    <row r="296">
      <c r="A296" s="27" t="s">
        <v>42</v>
      </c>
      <c r="B296" s="27" t="s">
        <v>932</v>
      </c>
      <c r="C296" s="27" t="s">
        <v>933</v>
      </c>
      <c r="D296" s="27" t="s">
        <v>934</v>
      </c>
      <c r="E296" s="28" t="s">
        <v>46</v>
      </c>
      <c r="F296" s="29" t="s">
        <v>46</v>
      </c>
      <c r="G296" s="30" t="s">
        <v>46</v>
      </c>
      <c r="H296" s="31"/>
      <c r="I296" s="31" t="s">
        <v>47</v>
      </c>
      <c r="J296" s="32" t="n">
        <v>1.0</v>
      </c>
      <c r="K296" s="33" t="n">
        <f>1976</f>
        <v>1976.0</v>
      </c>
      <c r="L296" s="34" t="s">
        <v>48</v>
      </c>
      <c r="M296" s="33" t="n">
        <f>2036</f>
        <v>2036.0</v>
      </c>
      <c r="N296" s="34" t="s">
        <v>308</v>
      </c>
      <c r="O296" s="33" t="n">
        <f>1953</f>
        <v>1953.0</v>
      </c>
      <c r="P296" s="34" t="s">
        <v>286</v>
      </c>
      <c r="Q296" s="33" t="n">
        <f>1967</f>
        <v>1967.0</v>
      </c>
      <c r="R296" s="34" t="s">
        <v>50</v>
      </c>
      <c r="S296" s="35" t="n">
        <f>1975.47</f>
        <v>1975.47</v>
      </c>
      <c r="T296" s="32" t="n">
        <f>1774663</f>
        <v>1774663.0</v>
      </c>
      <c r="U296" s="32" t="n">
        <f>982176</f>
        <v>982176.0</v>
      </c>
      <c r="V296" s="32" t="n">
        <f>3503122270</f>
        <v>3.50312227E9</v>
      </c>
      <c r="W296" s="32" t="n">
        <f>1937849835</f>
        <v>1.937849835E9</v>
      </c>
      <c r="X296" s="36" t="n">
        <f>19</f>
        <v>19.0</v>
      </c>
    </row>
    <row r="297">
      <c r="A297" s="27" t="s">
        <v>42</v>
      </c>
      <c r="B297" s="27" t="s">
        <v>935</v>
      </c>
      <c r="C297" s="27" t="s">
        <v>936</v>
      </c>
      <c r="D297" s="27" t="s">
        <v>937</v>
      </c>
      <c r="E297" s="28" t="s">
        <v>46</v>
      </c>
      <c r="F297" s="29" t="s">
        <v>46</v>
      </c>
      <c r="G297" s="30" t="s">
        <v>46</v>
      </c>
      <c r="H297" s="31"/>
      <c r="I297" s="31" t="s">
        <v>47</v>
      </c>
      <c r="J297" s="32" t="n">
        <v>1.0</v>
      </c>
      <c r="K297" s="33" t="n">
        <f>3691</f>
        <v>3691.0</v>
      </c>
      <c r="L297" s="34" t="s">
        <v>48</v>
      </c>
      <c r="M297" s="33" t="n">
        <f>3728</f>
        <v>3728.0</v>
      </c>
      <c r="N297" s="34" t="s">
        <v>270</v>
      </c>
      <c r="O297" s="33" t="n">
        <f>3556</f>
        <v>3556.0</v>
      </c>
      <c r="P297" s="34" t="s">
        <v>200</v>
      </c>
      <c r="Q297" s="33" t="n">
        <f>3580</f>
        <v>3580.0</v>
      </c>
      <c r="R297" s="34" t="s">
        <v>50</v>
      </c>
      <c r="S297" s="35" t="n">
        <f>3637.79</f>
        <v>3637.79</v>
      </c>
      <c r="T297" s="32" t="n">
        <f>235340</f>
        <v>235340.0</v>
      </c>
      <c r="U297" s="32" t="n">
        <f>91193</f>
        <v>91193.0</v>
      </c>
      <c r="V297" s="32" t="n">
        <f>850525293</f>
        <v>8.50525293E8</v>
      </c>
      <c r="W297" s="32" t="n">
        <f>325693631</f>
        <v>3.25693631E8</v>
      </c>
      <c r="X297" s="36" t="n">
        <f>19</f>
        <v>19.0</v>
      </c>
    </row>
    <row r="298">
      <c r="A298" s="27" t="s">
        <v>42</v>
      </c>
      <c r="B298" s="27" t="s">
        <v>938</v>
      </c>
      <c r="C298" s="27" t="s">
        <v>939</v>
      </c>
      <c r="D298" s="27" t="s">
        <v>940</v>
      </c>
      <c r="E298" s="28" t="s">
        <v>46</v>
      </c>
      <c r="F298" s="29" t="s">
        <v>46</v>
      </c>
      <c r="G298" s="30" t="s">
        <v>46</v>
      </c>
      <c r="H298" s="31"/>
      <c r="I298" s="31" t="s">
        <v>47</v>
      </c>
      <c r="J298" s="32" t="n">
        <v>10.0</v>
      </c>
      <c r="K298" s="33" t="n">
        <f>405.8</f>
        <v>405.8</v>
      </c>
      <c r="L298" s="34" t="s">
        <v>48</v>
      </c>
      <c r="M298" s="33" t="n">
        <f>409.1</f>
        <v>409.1</v>
      </c>
      <c r="N298" s="34" t="s">
        <v>270</v>
      </c>
      <c r="O298" s="33" t="n">
        <f>400</f>
        <v>400.0</v>
      </c>
      <c r="P298" s="34" t="s">
        <v>67</v>
      </c>
      <c r="Q298" s="33" t="n">
        <f>404.6</f>
        <v>404.6</v>
      </c>
      <c r="R298" s="34" t="s">
        <v>50</v>
      </c>
      <c r="S298" s="35" t="n">
        <f>404.13</f>
        <v>404.13</v>
      </c>
      <c r="T298" s="32" t="n">
        <f>25688240</f>
        <v>2.568824E7</v>
      </c>
      <c r="U298" s="32" t="n">
        <f>18376130</f>
        <v>1.837613E7</v>
      </c>
      <c r="V298" s="32" t="n">
        <f>10388760053</f>
        <v>1.0388760053E10</v>
      </c>
      <c r="W298" s="32" t="n">
        <f>7433865596</f>
        <v>7.433865596E9</v>
      </c>
      <c r="X298" s="36" t="n">
        <f>19</f>
        <v>19.0</v>
      </c>
    </row>
    <row r="299">
      <c r="A299" s="27" t="s">
        <v>42</v>
      </c>
      <c r="B299" s="27" t="s">
        <v>941</v>
      </c>
      <c r="C299" s="27" t="s">
        <v>942</v>
      </c>
      <c r="D299" s="27" t="s">
        <v>943</v>
      </c>
      <c r="E299" s="28" t="s">
        <v>46</v>
      </c>
      <c r="F299" s="29" t="s">
        <v>46</v>
      </c>
      <c r="G299" s="30" t="s">
        <v>46</v>
      </c>
      <c r="H299" s="31"/>
      <c r="I299" s="31" t="s">
        <v>47</v>
      </c>
      <c r="J299" s="32" t="n">
        <v>1.0</v>
      </c>
      <c r="K299" s="33" t="n">
        <f>3774</f>
        <v>3774.0</v>
      </c>
      <c r="L299" s="34" t="s">
        <v>48</v>
      </c>
      <c r="M299" s="33" t="n">
        <f>3794</f>
        <v>3794.0</v>
      </c>
      <c r="N299" s="34" t="s">
        <v>48</v>
      </c>
      <c r="O299" s="33" t="n">
        <f>3594</f>
        <v>3594.0</v>
      </c>
      <c r="P299" s="34" t="s">
        <v>49</v>
      </c>
      <c r="Q299" s="33" t="n">
        <f>3678</f>
        <v>3678.0</v>
      </c>
      <c r="R299" s="34" t="s">
        <v>50</v>
      </c>
      <c r="S299" s="35" t="n">
        <f>3687.63</f>
        <v>3687.63</v>
      </c>
      <c r="T299" s="32" t="n">
        <f>3365859</f>
        <v>3365859.0</v>
      </c>
      <c r="U299" s="32" t="n">
        <f>183200</f>
        <v>183200.0</v>
      </c>
      <c r="V299" s="32" t="n">
        <f>12332382329</f>
        <v>1.2332382329E10</v>
      </c>
      <c r="W299" s="32" t="n">
        <f>680444032</f>
        <v>6.80444032E8</v>
      </c>
      <c r="X299" s="36" t="n">
        <f>19</f>
        <v>19.0</v>
      </c>
    </row>
    <row r="300">
      <c r="A300" s="27" t="s">
        <v>42</v>
      </c>
      <c r="B300" s="27" t="s">
        <v>944</v>
      </c>
      <c r="C300" s="27" t="s">
        <v>945</v>
      </c>
      <c r="D300" s="27" t="s">
        <v>946</v>
      </c>
      <c r="E300" s="28" t="s">
        <v>46</v>
      </c>
      <c r="F300" s="29" t="s">
        <v>46</v>
      </c>
      <c r="G300" s="30" t="s">
        <v>46</v>
      </c>
      <c r="H300" s="31"/>
      <c r="I300" s="31" t="s">
        <v>47</v>
      </c>
      <c r="J300" s="32" t="n">
        <v>1.0</v>
      </c>
      <c r="K300" s="33" t="n">
        <f>886</f>
        <v>886.0</v>
      </c>
      <c r="L300" s="34" t="s">
        <v>48</v>
      </c>
      <c r="M300" s="33" t="n">
        <f>893</f>
        <v>893.0</v>
      </c>
      <c r="N300" s="34" t="s">
        <v>82</v>
      </c>
      <c r="O300" s="33" t="n">
        <f>850</f>
        <v>850.0</v>
      </c>
      <c r="P300" s="34" t="s">
        <v>50</v>
      </c>
      <c r="Q300" s="33" t="n">
        <f>852</f>
        <v>852.0</v>
      </c>
      <c r="R300" s="34" t="s">
        <v>50</v>
      </c>
      <c r="S300" s="35" t="n">
        <f>872.16</f>
        <v>872.16</v>
      </c>
      <c r="T300" s="32" t="n">
        <f>1447117</f>
        <v>1447117.0</v>
      </c>
      <c r="U300" s="32" t="str">
        <f>"－"</f>
        <v>－</v>
      </c>
      <c r="V300" s="32" t="n">
        <f>1267236570</f>
        <v>1.26723657E9</v>
      </c>
      <c r="W300" s="32" t="str">
        <f>"－"</f>
        <v>－</v>
      </c>
      <c r="X300" s="36" t="n">
        <f>19</f>
        <v>19.0</v>
      </c>
    </row>
    <row r="301">
      <c r="A301" s="27" t="s">
        <v>42</v>
      </c>
      <c r="B301" s="27" t="s">
        <v>947</v>
      </c>
      <c r="C301" s="27" t="s">
        <v>948</v>
      </c>
      <c r="D301" s="27" t="s">
        <v>949</v>
      </c>
      <c r="E301" s="28" t="s">
        <v>46</v>
      </c>
      <c r="F301" s="29" t="s">
        <v>46</v>
      </c>
      <c r="G301" s="30" t="s">
        <v>46</v>
      </c>
      <c r="H301" s="31"/>
      <c r="I301" s="31" t="s">
        <v>47</v>
      </c>
      <c r="J301" s="32" t="n">
        <v>1.0</v>
      </c>
      <c r="K301" s="33" t="n">
        <f>1021</f>
        <v>1021.0</v>
      </c>
      <c r="L301" s="34" t="s">
        <v>48</v>
      </c>
      <c r="M301" s="33" t="n">
        <f>1027</f>
        <v>1027.0</v>
      </c>
      <c r="N301" s="34" t="s">
        <v>82</v>
      </c>
      <c r="O301" s="33" t="n">
        <f>972</f>
        <v>972.0</v>
      </c>
      <c r="P301" s="34" t="s">
        <v>50</v>
      </c>
      <c r="Q301" s="33" t="n">
        <f>977</f>
        <v>977.0</v>
      </c>
      <c r="R301" s="34" t="s">
        <v>50</v>
      </c>
      <c r="S301" s="35" t="n">
        <f>999.58</f>
        <v>999.58</v>
      </c>
      <c r="T301" s="32" t="n">
        <f>1087019</f>
        <v>1087019.0</v>
      </c>
      <c r="U301" s="32" t="n">
        <f>451420</f>
        <v>451420.0</v>
      </c>
      <c r="V301" s="32" t="n">
        <f>1079510181</f>
        <v>1.079510181E9</v>
      </c>
      <c r="W301" s="32" t="n">
        <f>450370366</f>
        <v>4.50370366E8</v>
      </c>
      <c r="X301" s="36" t="n">
        <f>19</f>
        <v>19.0</v>
      </c>
    </row>
    <row r="302">
      <c r="A302" s="27" t="s">
        <v>42</v>
      </c>
      <c r="B302" s="27" t="s">
        <v>950</v>
      </c>
      <c r="C302" s="27" t="s">
        <v>951</v>
      </c>
      <c r="D302" s="27" t="s">
        <v>952</v>
      </c>
      <c r="E302" s="28" t="s">
        <v>46</v>
      </c>
      <c r="F302" s="29" t="s">
        <v>46</v>
      </c>
      <c r="G302" s="30" t="s">
        <v>46</v>
      </c>
      <c r="H302" s="31"/>
      <c r="I302" s="31" t="s">
        <v>47</v>
      </c>
      <c r="J302" s="32" t="n">
        <v>10.0</v>
      </c>
      <c r="K302" s="33" t="n">
        <f>549.6</f>
        <v>549.6</v>
      </c>
      <c r="L302" s="34" t="s">
        <v>48</v>
      </c>
      <c r="M302" s="33" t="n">
        <f>559.9</f>
        <v>559.9</v>
      </c>
      <c r="N302" s="34" t="s">
        <v>48</v>
      </c>
      <c r="O302" s="33" t="n">
        <f>514.9</f>
        <v>514.9</v>
      </c>
      <c r="P302" s="34" t="s">
        <v>71</v>
      </c>
      <c r="Q302" s="33" t="n">
        <f>545</f>
        <v>545.0</v>
      </c>
      <c r="R302" s="34" t="s">
        <v>50</v>
      </c>
      <c r="S302" s="35" t="n">
        <f>541.53</f>
        <v>541.53</v>
      </c>
      <c r="T302" s="32" t="n">
        <f>67240</f>
        <v>67240.0</v>
      </c>
      <c r="U302" s="32" t="n">
        <f>60</f>
        <v>60.0</v>
      </c>
      <c r="V302" s="32" t="n">
        <f>36371443</f>
        <v>3.6371443E7</v>
      </c>
      <c r="W302" s="32" t="n">
        <f>32886</f>
        <v>32886.0</v>
      </c>
      <c r="X302" s="36" t="n">
        <f>16</f>
        <v>16.0</v>
      </c>
    </row>
    <row r="303">
      <c r="A303" s="27" t="s">
        <v>42</v>
      </c>
      <c r="B303" s="27" t="s">
        <v>953</v>
      </c>
      <c r="C303" s="27" t="s">
        <v>954</v>
      </c>
      <c r="D303" s="27" t="s">
        <v>955</v>
      </c>
      <c r="E303" s="28" t="s">
        <v>46</v>
      </c>
      <c r="F303" s="29" t="s">
        <v>46</v>
      </c>
      <c r="G303" s="30" t="s">
        <v>46</v>
      </c>
      <c r="H303" s="31"/>
      <c r="I303" s="31" t="s">
        <v>47</v>
      </c>
      <c r="J303" s="32" t="n">
        <v>1.0</v>
      </c>
      <c r="K303" s="33" t="n">
        <f>8067</f>
        <v>8067.0</v>
      </c>
      <c r="L303" s="34" t="s">
        <v>48</v>
      </c>
      <c r="M303" s="33" t="n">
        <f>8302</f>
        <v>8302.0</v>
      </c>
      <c r="N303" s="34" t="s">
        <v>200</v>
      </c>
      <c r="O303" s="33" t="n">
        <f>7630</f>
        <v>7630.0</v>
      </c>
      <c r="P303" s="34" t="s">
        <v>71</v>
      </c>
      <c r="Q303" s="33" t="n">
        <f>8170</f>
        <v>8170.0</v>
      </c>
      <c r="R303" s="34" t="s">
        <v>50</v>
      </c>
      <c r="S303" s="35" t="n">
        <f>7927.74</f>
        <v>7927.74</v>
      </c>
      <c r="T303" s="32" t="n">
        <f>305184</f>
        <v>305184.0</v>
      </c>
      <c r="U303" s="32" t="n">
        <f>302</f>
        <v>302.0</v>
      </c>
      <c r="V303" s="32" t="n">
        <f>2399006489</f>
        <v>2.399006489E9</v>
      </c>
      <c r="W303" s="32" t="n">
        <f>2419934</f>
        <v>2419934.0</v>
      </c>
      <c r="X303" s="36" t="n">
        <f>19</f>
        <v>19.0</v>
      </c>
    </row>
    <row r="304">
      <c r="A304" s="27" t="s">
        <v>42</v>
      </c>
      <c r="B304" s="27" t="s">
        <v>956</v>
      </c>
      <c r="C304" s="27" t="s">
        <v>957</v>
      </c>
      <c r="D304" s="27" t="s">
        <v>958</v>
      </c>
      <c r="E304" s="28" t="s">
        <v>46</v>
      </c>
      <c r="F304" s="29" t="s">
        <v>46</v>
      </c>
      <c r="G304" s="30" t="s">
        <v>46</v>
      </c>
      <c r="H304" s="31"/>
      <c r="I304" s="31" t="s">
        <v>47</v>
      </c>
      <c r="J304" s="32" t="n">
        <v>1.0</v>
      </c>
      <c r="K304" s="33" t="n">
        <f>4298</f>
        <v>4298.0</v>
      </c>
      <c r="L304" s="34" t="s">
        <v>48</v>
      </c>
      <c r="M304" s="33" t="n">
        <f>4458</f>
        <v>4458.0</v>
      </c>
      <c r="N304" s="34" t="s">
        <v>200</v>
      </c>
      <c r="O304" s="33" t="n">
        <f>4218</f>
        <v>4218.0</v>
      </c>
      <c r="P304" s="34" t="s">
        <v>67</v>
      </c>
      <c r="Q304" s="33" t="n">
        <f>4410</f>
        <v>4410.0</v>
      </c>
      <c r="R304" s="34" t="s">
        <v>50</v>
      </c>
      <c r="S304" s="35" t="n">
        <f>4314.26</f>
        <v>4314.26</v>
      </c>
      <c r="T304" s="32" t="n">
        <f>1302529</f>
        <v>1302529.0</v>
      </c>
      <c r="U304" s="32" t="n">
        <f>1157800</f>
        <v>1157800.0</v>
      </c>
      <c r="V304" s="32" t="n">
        <f>5561381606</f>
        <v>5.561381606E9</v>
      </c>
      <c r="W304" s="32" t="n">
        <f>4936417921</f>
        <v>4.936417921E9</v>
      </c>
      <c r="X304" s="36" t="n">
        <f>19</f>
        <v>19.0</v>
      </c>
    </row>
    <row r="305">
      <c r="A305" s="27" t="s">
        <v>42</v>
      </c>
      <c r="B305" s="27" t="s">
        <v>959</v>
      </c>
      <c r="C305" s="27" t="s">
        <v>960</v>
      </c>
      <c r="D305" s="27" t="s">
        <v>961</v>
      </c>
      <c r="E305" s="28" t="s">
        <v>46</v>
      </c>
      <c r="F305" s="29" t="s">
        <v>46</v>
      </c>
      <c r="G305" s="30" t="s">
        <v>46</v>
      </c>
      <c r="H305" s="31"/>
      <c r="I305" s="31" t="s">
        <v>47</v>
      </c>
      <c r="J305" s="32" t="n">
        <v>1.0</v>
      </c>
      <c r="K305" s="33" t="n">
        <f>3453</f>
        <v>3453.0</v>
      </c>
      <c r="L305" s="34" t="s">
        <v>48</v>
      </c>
      <c r="M305" s="33" t="n">
        <f>3474</f>
        <v>3474.0</v>
      </c>
      <c r="N305" s="34" t="s">
        <v>98</v>
      </c>
      <c r="O305" s="33" t="n">
        <f>3244</f>
        <v>3244.0</v>
      </c>
      <c r="P305" s="34" t="s">
        <v>49</v>
      </c>
      <c r="Q305" s="33" t="n">
        <f>3439</f>
        <v>3439.0</v>
      </c>
      <c r="R305" s="34" t="s">
        <v>50</v>
      </c>
      <c r="S305" s="35" t="n">
        <f>3364.74</f>
        <v>3364.74</v>
      </c>
      <c r="T305" s="32" t="n">
        <f>7378</f>
        <v>7378.0</v>
      </c>
      <c r="U305" s="32" t="str">
        <f>"－"</f>
        <v>－</v>
      </c>
      <c r="V305" s="32" t="n">
        <f>24701719</f>
        <v>2.4701719E7</v>
      </c>
      <c r="W305" s="32" t="str">
        <f>"－"</f>
        <v>－</v>
      </c>
      <c r="X305" s="36" t="n">
        <f>19</f>
        <v>19.0</v>
      </c>
    </row>
    <row r="306">
      <c r="A306" s="27" t="s">
        <v>42</v>
      </c>
      <c r="B306" s="27" t="s">
        <v>962</v>
      </c>
      <c r="C306" s="27" t="s">
        <v>963</v>
      </c>
      <c r="D306" s="27" t="s">
        <v>964</v>
      </c>
      <c r="E306" s="28" t="s">
        <v>46</v>
      </c>
      <c r="F306" s="29" t="s">
        <v>46</v>
      </c>
      <c r="G306" s="30" t="s">
        <v>46</v>
      </c>
      <c r="H306" s="31"/>
      <c r="I306" s="31" t="s">
        <v>47</v>
      </c>
      <c r="J306" s="32" t="n">
        <v>1.0</v>
      </c>
      <c r="K306" s="33" t="n">
        <f>2076</f>
        <v>2076.0</v>
      </c>
      <c r="L306" s="34" t="s">
        <v>48</v>
      </c>
      <c r="M306" s="33" t="n">
        <f>2080</f>
        <v>2080.0</v>
      </c>
      <c r="N306" s="34" t="s">
        <v>210</v>
      </c>
      <c r="O306" s="33" t="n">
        <f>1978</f>
        <v>1978.0</v>
      </c>
      <c r="P306" s="34" t="s">
        <v>78</v>
      </c>
      <c r="Q306" s="33" t="n">
        <f>1984</f>
        <v>1984.0</v>
      </c>
      <c r="R306" s="34" t="s">
        <v>50</v>
      </c>
      <c r="S306" s="35" t="n">
        <f>2028.21</f>
        <v>2028.21</v>
      </c>
      <c r="T306" s="32" t="n">
        <f>34128</f>
        <v>34128.0</v>
      </c>
      <c r="U306" s="32" t="str">
        <f>"－"</f>
        <v>－</v>
      </c>
      <c r="V306" s="32" t="n">
        <f>68427226</f>
        <v>6.8427226E7</v>
      </c>
      <c r="W306" s="32" t="str">
        <f>"－"</f>
        <v>－</v>
      </c>
      <c r="X306" s="36" t="n">
        <f>19</f>
        <v>19.0</v>
      </c>
    </row>
    <row r="307">
      <c r="A307" s="27" t="s">
        <v>42</v>
      </c>
      <c r="B307" s="27" t="s">
        <v>965</v>
      </c>
      <c r="C307" s="27" t="s">
        <v>966</v>
      </c>
      <c r="D307" s="27" t="s">
        <v>967</v>
      </c>
      <c r="E307" s="28" t="s">
        <v>46</v>
      </c>
      <c r="F307" s="29" t="s">
        <v>46</v>
      </c>
      <c r="G307" s="30" t="s">
        <v>46</v>
      </c>
      <c r="H307" s="31"/>
      <c r="I307" s="31" t="s">
        <v>47</v>
      </c>
      <c r="J307" s="32" t="n">
        <v>10.0</v>
      </c>
      <c r="K307" s="33" t="n">
        <f>370.5</f>
        <v>370.5</v>
      </c>
      <c r="L307" s="34" t="s">
        <v>48</v>
      </c>
      <c r="M307" s="33" t="n">
        <f>371.6</f>
        <v>371.6</v>
      </c>
      <c r="N307" s="34" t="s">
        <v>66</v>
      </c>
      <c r="O307" s="33" t="n">
        <f>354.4</f>
        <v>354.4</v>
      </c>
      <c r="P307" s="34" t="s">
        <v>71</v>
      </c>
      <c r="Q307" s="33" t="n">
        <f>362.2</f>
        <v>362.2</v>
      </c>
      <c r="R307" s="34" t="s">
        <v>50</v>
      </c>
      <c r="S307" s="35" t="n">
        <f>361.3</f>
        <v>361.3</v>
      </c>
      <c r="T307" s="32" t="n">
        <f>17811710</f>
        <v>1.781171E7</v>
      </c>
      <c r="U307" s="32" t="n">
        <f>8813480</f>
        <v>8813480.0</v>
      </c>
      <c r="V307" s="32" t="n">
        <f>6387471321</f>
        <v>6.387471321E9</v>
      </c>
      <c r="W307" s="32" t="n">
        <f>3153319347</f>
        <v>3.153319347E9</v>
      </c>
      <c r="X307" s="36" t="n">
        <f>19</f>
        <v>19.0</v>
      </c>
    </row>
    <row r="308">
      <c r="A308" s="27" t="s">
        <v>42</v>
      </c>
      <c r="B308" s="27" t="s">
        <v>968</v>
      </c>
      <c r="C308" s="27" t="s">
        <v>969</v>
      </c>
      <c r="D308" s="27" t="s">
        <v>970</v>
      </c>
      <c r="E308" s="28" t="s">
        <v>46</v>
      </c>
      <c r="F308" s="29" t="s">
        <v>46</v>
      </c>
      <c r="G308" s="30" t="s">
        <v>46</v>
      </c>
      <c r="H308" s="31"/>
      <c r="I308" s="31" t="s">
        <v>47</v>
      </c>
      <c r="J308" s="32" t="n">
        <v>1.0</v>
      </c>
      <c r="K308" s="33" t="n">
        <f>996</f>
        <v>996.0</v>
      </c>
      <c r="L308" s="34" t="s">
        <v>48</v>
      </c>
      <c r="M308" s="33" t="n">
        <f>1001</f>
        <v>1001.0</v>
      </c>
      <c r="N308" s="34" t="s">
        <v>98</v>
      </c>
      <c r="O308" s="33" t="n">
        <f>951</f>
        <v>951.0</v>
      </c>
      <c r="P308" s="34" t="s">
        <v>78</v>
      </c>
      <c r="Q308" s="33" t="n">
        <f>954</f>
        <v>954.0</v>
      </c>
      <c r="R308" s="34" t="s">
        <v>50</v>
      </c>
      <c r="S308" s="35" t="n">
        <f>982.79</f>
        <v>982.79</v>
      </c>
      <c r="T308" s="32" t="n">
        <f>6982221</f>
        <v>6982221.0</v>
      </c>
      <c r="U308" s="32" t="n">
        <f>5000</f>
        <v>5000.0</v>
      </c>
      <c r="V308" s="32" t="n">
        <f>6843799674</f>
        <v>6.843799674E9</v>
      </c>
      <c r="W308" s="32" t="n">
        <f>4789150</f>
        <v>4789150.0</v>
      </c>
      <c r="X308" s="36" t="n">
        <f>19</f>
        <v>19.0</v>
      </c>
    </row>
    <row r="309">
      <c r="A309" s="27" t="s">
        <v>42</v>
      </c>
      <c r="B309" s="27" t="s">
        <v>971</v>
      </c>
      <c r="C309" s="27" t="s">
        <v>972</v>
      </c>
      <c r="D309" s="27" t="s">
        <v>973</v>
      </c>
      <c r="E309" s="28" t="s">
        <v>46</v>
      </c>
      <c r="F309" s="29" t="s">
        <v>46</v>
      </c>
      <c r="G309" s="30" t="s">
        <v>46</v>
      </c>
      <c r="H309" s="31"/>
      <c r="I309" s="31" t="s">
        <v>47</v>
      </c>
      <c r="J309" s="32" t="n">
        <v>1.0</v>
      </c>
      <c r="K309" s="33" t="n">
        <f>1708</f>
        <v>1708.0</v>
      </c>
      <c r="L309" s="34" t="s">
        <v>48</v>
      </c>
      <c r="M309" s="33" t="n">
        <f>1708</f>
        <v>1708.0</v>
      </c>
      <c r="N309" s="34" t="s">
        <v>48</v>
      </c>
      <c r="O309" s="33" t="n">
        <f>1630</f>
        <v>1630.0</v>
      </c>
      <c r="P309" s="34" t="s">
        <v>78</v>
      </c>
      <c r="Q309" s="33" t="n">
        <f>1644</f>
        <v>1644.0</v>
      </c>
      <c r="R309" s="34" t="s">
        <v>50</v>
      </c>
      <c r="S309" s="35" t="n">
        <f>1681.26</f>
        <v>1681.26</v>
      </c>
      <c r="T309" s="32" t="n">
        <f>26448</f>
        <v>26448.0</v>
      </c>
      <c r="U309" s="32" t="str">
        <f>"－"</f>
        <v>－</v>
      </c>
      <c r="V309" s="32" t="n">
        <f>44129454</f>
        <v>4.4129454E7</v>
      </c>
      <c r="W309" s="32" t="str">
        <f>"－"</f>
        <v>－</v>
      </c>
      <c r="X309" s="36" t="n">
        <f>19</f>
        <v>19.0</v>
      </c>
    </row>
    <row r="310">
      <c r="A310" s="27" t="s">
        <v>42</v>
      </c>
      <c r="B310" s="27" t="s">
        <v>974</v>
      </c>
      <c r="C310" s="27" t="s">
        <v>975</v>
      </c>
      <c r="D310" s="27" t="s">
        <v>976</v>
      </c>
      <c r="E310" s="28" t="s">
        <v>46</v>
      </c>
      <c r="F310" s="29" t="s">
        <v>46</v>
      </c>
      <c r="G310" s="30" t="s">
        <v>46</v>
      </c>
      <c r="H310" s="31"/>
      <c r="I310" s="31" t="s">
        <v>47</v>
      </c>
      <c r="J310" s="32" t="n">
        <v>1.0</v>
      </c>
      <c r="K310" s="33" t="n">
        <f>1927</f>
        <v>1927.0</v>
      </c>
      <c r="L310" s="34" t="s">
        <v>48</v>
      </c>
      <c r="M310" s="33" t="n">
        <f>1945</f>
        <v>1945.0</v>
      </c>
      <c r="N310" s="34" t="s">
        <v>66</v>
      </c>
      <c r="O310" s="33" t="n">
        <f>1896</f>
        <v>1896.0</v>
      </c>
      <c r="P310" s="34" t="s">
        <v>286</v>
      </c>
      <c r="Q310" s="33" t="n">
        <f>1900</f>
        <v>1900.0</v>
      </c>
      <c r="R310" s="34" t="s">
        <v>50</v>
      </c>
      <c r="S310" s="35" t="n">
        <f>1912.53</f>
        <v>1912.53</v>
      </c>
      <c r="T310" s="32" t="n">
        <f>824449</f>
        <v>824449.0</v>
      </c>
      <c r="U310" s="32" t="n">
        <f>732000</f>
        <v>732000.0</v>
      </c>
      <c r="V310" s="32" t="n">
        <f>1567601114</f>
        <v>1.567601114E9</v>
      </c>
      <c r="W310" s="32" t="n">
        <f>1390331520</f>
        <v>1.39033152E9</v>
      </c>
      <c r="X310" s="36" t="n">
        <f>19</f>
        <v>19.0</v>
      </c>
    </row>
    <row r="311">
      <c r="A311" s="27" t="s">
        <v>42</v>
      </c>
      <c r="B311" s="27" t="s">
        <v>977</v>
      </c>
      <c r="C311" s="27" t="s">
        <v>978</v>
      </c>
      <c r="D311" s="27" t="s">
        <v>979</v>
      </c>
      <c r="E311" s="28" t="s">
        <v>46</v>
      </c>
      <c r="F311" s="29" t="s">
        <v>46</v>
      </c>
      <c r="G311" s="30" t="s">
        <v>46</v>
      </c>
      <c r="H311" s="31"/>
      <c r="I311" s="31" t="s">
        <v>47</v>
      </c>
      <c r="J311" s="32" t="n">
        <v>1.0</v>
      </c>
      <c r="K311" s="33" t="n">
        <f>6622</f>
        <v>6622.0</v>
      </c>
      <c r="L311" s="34" t="s">
        <v>48</v>
      </c>
      <c r="M311" s="33" t="n">
        <f>6771</f>
        <v>6771.0</v>
      </c>
      <c r="N311" s="34" t="s">
        <v>50</v>
      </c>
      <c r="O311" s="33" t="n">
        <f>6311</f>
        <v>6311.0</v>
      </c>
      <c r="P311" s="34" t="s">
        <v>71</v>
      </c>
      <c r="Q311" s="33" t="n">
        <f>6751</f>
        <v>6751.0</v>
      </c>
      <c r="R311" s="34" t="s">
        <v>50</v>
      </c>
      <c r="S311" s="35" t="n">
        <f>6551.21</f>
        <v>6551.21</v>
      </c>
      <c r="T311" s="32" t="n">
        <f>1833277</f>
        <v>1833277.0</v>
      </c>
      <c r="U311" s="32" t="n">
        <f>279316</f>
        <v>279316.0</v>
      </c>
      <c r="V311" s="32" t="n">
        <f>12064451744</f>
        <v>1.2064451744E10</v>
      </c>
      <c r="W311" s="32" t="n">
        <f>1819671820</f>
        <v>1.81967182E9</v>
      </c>
      <c r="X311" s="36" t="n">
        <f>19</f>
        <v>19.0</v>
      </c>
    </row>
    <row r="312">
      <c r="A312" s="27" t="s">
        <v>42</v>
      </c>
      <c r="B312" s="27" t="s">
        <v>980</v>
      </c>
      <c r="C312" s="27" t="s">
        <v>981</v>
      </c>
      <c r="D312" s="27" t="s">
        <v>982</v>
      </c>
      <c r="E312" s="28" t="s">
        <v>46</v>
      </c>
      <c r="F312" s="29" t="s">
        <v>46</v>
      </c>
      <c r="G312" s="30" t="s">
        <v>46</v>
      </c>
      <c r="H312" s="31"/>
      <c r="I312" s="31" t="s">
        <v>47</v>
      </c>
      <c r="J312" s="32" t="n">
        <v>1.0</v>
      </c>
      <c r="K312" s="33" t="n">
        <f>4150</f>
        <v>4150.0</v>
      </c>
      <c r="L312" s="34" t="s">
        <v>48</v>
      </c>
      <c r="M312" s="33" t="n">
        <f>4205</f>
        <v>4205.0</v>
      </c>
      <c r="N312" s="34" t="s">
        <v>48</v>
      </c>
      <c r="O312" s="33" t="n">
        <f>3971</f>
        <v>3971.0</v>
      </c>
      <c r="P312" s="34" t="s">
        <v>49</v>
      </c>
      <c r="Q312" s="33" t="n">
        <f>4159</f>
        <v>4159.0</v>
      </c>
      <c r="R312" s="34" t="s">
        <v>50</v>
      </c>
      <c r="S312" s="35" t="n">
        <f>4100.79</f>
        <v>4100.79</v>
      </c>
      <c r="T312" s="32" t="n">
        <f>1370385</f>
        <v>1370385.0</v>
      </c>
      <c r="U312" s="32" t="n">
        <f>458000</f>
        <v>458000.0</v>
      </c>
      <c r="V312" s="32" t="n">
        <f>5596133767</f>
        <v>5.596133767E9</v>
      </c>
      <c r="W312" s="32" t="n">
        <f>1855066805</f>
        <v>1.855066805E9</v>
      </c>
      <c r="X312" s="36" t="n">
        <f>19</f>
        <v>19.0</v>
      </c>
    </row>
    <row r="313">
      <c r="A313" s="27" t="s">
        <v>42</v>
      </c>
      <c r="B313" s="27" t="s">
        <v>983</v>
      </c>
      <c r="C313" s="27" t="s">
        <v>984</v>
      </c>
      <c r="D313" s="27" t="s">
        <v>985</v>
      </c>
      <c r="E313" s="28" t="s">
        <v>46</v>
      </c>
      <c r="F313" s="29" t="s">
        <v>46</v>
      </c>
      <c r="G313" s="30" t="s">
        <v>46</v>
      </c>
      <c r="H313" s="31"/>
      <c r="I313" s="31" t="s">
        <v>47</v>
      </c>
      <c r="J313" s="32" t="n">
        <v>1.0</v>
      </c>
      <c r="K313" s="33" t="n">
        <f>3415</f>
        <v>3415.0</v>
      </c>
      <c r="L313" s="34" t="s">
        <v>48</v>
      </c>
      <c r="M313" s="33" t="n">
        <f>3571</f>
        <v>3571.0</v>
      </c>
      <c r="N313" s="34" t="s">
        <v>48</v>
      </c>
      <c r="O313" s="33" t="n">
        <f>3220</f>
        <v>3220.0</v>
      </c>
      <c r="P313" s="34" t="s">
        <v>71</v>
      </c>
      <c r="Q313" s="33" t="n">
        <f>3361</f>
        <v>3361.0</v>
      </c>
      <c r="R313" s="34" t="s">
        <v>50</v>
      </c>
      <c r="S313" s="35" t="n">
        <f>3341.11</f>
        <v>3341.11</v>
      </c>
      <c r="T313" s="32" t="n">
        <f>88914</f>
        <v>88914.0</v>
      </c>
      <c r="U313" s="32" t="str">
        <f>"－"</f>
        <v>－</v>
      </c>
      <c r="V313" s="32" t="n">
        <f>295244386</f>
        <v>2.95244386E8</v>
      </c>
      <c r="W313" s="32" t="str">
        <f>"－"</f>
        <v>－</v>
      </c>
      <c r="X313" s="36" t="n">
        <f>19</f>
        <v>19.0</v>
      </c>
    </row>
    <row r="314">
      <c r="A314" s="27" t="s">
        <v>42</v>
      </c>
      <c r="B314" s="27" t="s">
        <v>986</v>
      </c>
      <c r="C314" s="27" t="s">
        <v>987</v>
      </c>
      <c r="D314" s="27" t="s">
        <v>988</v>
      </c>
      <c r="E314" s="28" t="s">
        <v>46</v>
      </c>
      <c r="F314" s="29" t="s">
        <v>46</v>
      </c>
      <c r="G314" s="30" t="s">
        <v>46</v>
      </c>
      <c r="H314" s="31"/>
      <c r="I314" s="31" t="s">
        <v>47</v>
      </c>
      <c r="J314" s="32" t="n">
        <v>1.0</v>
      </c>
      <c r="K314" s="33" t="n">
        <f>1628</f>
        <v>1628.0</v>
      </c>
      <c r="L314" s="34" t="s">
        <v>48</v>
      </c>
      <c r="M314" s="33" t="n">
        <f>1628</f>
        <v>1628.0</v>
      </c>
      <c r="N314" s="34" t="s">
        <v>48</v>
      </c>
      <c r="O314" s="33" t="n">
        <f>1539</f>
        <v>1539.0</v>
      </c>
      <c r="P314" s="34" t="s">
        <v>50</v>
      </c>
      <c r="Q314" s="33" t="n">
        <f>1551</f>
        <v>1551.0</v>
      </c>
      <c r="R314" s="34" t="s">
        <v>50</v>
      </c>
      <c r="S314" s="35" t="n">
        <f>1571.95</f>
        <v>1571.95</v>
      </c>
      <c r="T314" s="32" t="n">
        <f>4223</f>
        <v>4223.0</v>
      </c>
      <c r="U314" s="32" t="str">
        <f>"－"</f>
        <v>－</v>
      </c>
      <c r="V314" s="32" t="n">
        <f>6727492</f>
        <v>6727492.0</v>
      </c>
      <c r="W314" s="32" t="str">
        <f>"－"</f>
        <v>－</v>
      </c>
      <c r="X314" s="36" t="n">
        <f>19</f>
        <v>19.0</v>
      </c>
    </row>
    <row r="315">
      <c r="A315" s="27" t="s">
        <v>42</v>
      </c>
      <c r="B315" s="27" t="s">
        <v>989</v>
      </c>
      <c r="C315" s="27" t="s">
        <v>990</v>
      </c>
      <c r="D315" s="27" t="s">
        <v>991</v>
      </c>
      <c r="E315" s="28" t="s">
        <v>46</v>
      </c>
      <c r="F315" s="29" t="s">
        <v>46</v>
      </c>
      <c r="G315" s="30" t="s">
        <v>46</v>
      </c>
      <c r="H315" s="31"/>
      <c r="I315" s="31" t="s">
        <v>47</v>
      </c>
      <c r="J315" s="32" t="n">
        <v>1.0</v>
      </c>
      <c r="K315" s="33" t="n">
        <f>4080</f>
        <v>4080.0</v>
      </c>
      <c r="L315" s="34" t="s">
        <v>48</v>
      </c>
      <c r="M315" s="33" t="n">
        <f>4404</f>
        <v>4404.0</v>
      </c>
      <c r="N315" s="34" t="s">
        <v>200</v>
      </c>
      <c r="O315" s="33" t="n">
        <f>3432</f>
        <v>3432.0</v>
      </c>
      <c r="P315" s="34" t="s">
        <v>49</v>
      </c>
      <c r="Q315" s="33" t="n">
        <f>3546</f>
        <v>3546.0</v>
      </c>
      <c r="R315" s="34" t="s">
        <v>50</v>
      </c>
      <c r="S315" s="35" t="n">
        <f>3774.05</f>
        <v>3774.05</v>
      </c>
      <c r="T315" s="32" t="n">
        <f>310186</f>
        <v>310186.0</v>
      </c>
      <c r="U315" s="32" t="str">
        <f>"－"</f>
        <v>－</v>
      </c>
      <c r="V315" s="32" t="n">
        <f>1209948194</f>
        <v>1.209948194E9</v>
      </c>
      <c r="W315" s="32" t="str">
        <f>"－"</f>
        <v>－</v>
      </c>
      <c r="X315" s="36" t="n">
        <f>19</f>
        <v>19.0</v>
      </c>
    </row>
    <row r="316">
      <c r="A316" s="27" t="s">
        <v>42</v>
      </c>
      <c r="B316" s="27" t="s">
        <v>992</v>
      </c>
      <c r="C316" s="27" t="s">
        <v>993</v>
      </c>
      <c r="D316" s="27" t="s">
        <v>994</v>
      </c>
      <c r="E316" s="28" t="s">
        <v>46</v>
      </c>
      <c r="F316" s="29" t="s">
        <v>46</v>
      </c>
      <c r="G316" s="30" t="s">
        <v>46</v>
      </c>
      <c r="H316" s="31"/>
      <c r="I316" s="31" t="s">
        <v>47</v>
      </c>
      <c r="J316" s="32" t="n">
        <v>1.0</v>
      </c>
      <c r="K316" s="33" t="n">
        <f>3771</f>
        <v>3771.0</v>
      </c>
      <c r="L316" s="34" t="s">
        <v>48</v>
      </c>
      <c r="M316" s="33" t="n">
        <f>6247</f>
        <v>6247.0</v>
      </c>
      <c r="N316" s="34" t="s">
        <v>200</v>
      </c>
      <c r="O316" s="33" t="n">
        <f>3513</f>
        <v>3513.0</v>
      </c>
      <c r="P316" s="34" t="s">
        <v>50</v>
      </c>
      <c r="Q316" s="33" t="n">
        <f>3569</f>
        <v>3569.0</v>
      </c>
      <c r="R316" s="34" t="s">
        <v>50</v>
      </c>
      <c r="S316" s="35" t="n">
        <f>3832.42</f>
        <v>3832.42</v>
      </c>
      <c r="T316" s="32" t="n">
        <f>701284</f>
        <v>701284.0</v>
      </c>
      <c r="U316" s="32" t="str">
        <f>"－"</f>
        <v>－</v>
      </c>
      <c r="V316" s="32" t="n">
        <f>3223681717</f>
        <v>3.223681717E9</v>
      </c>
      <c r="W316" s="32" t="str">
        <f>"－"</f>
        <v>－</v>
      </c>
      <c r="X316" s="36" t="n">
        <f>19</f>
        <v>19.0</v>
      </c>
    </row>
    <row r="317">
      <c r="A317" s="27" t="s">
        <v>42</v>
      </c>
      <c r="B317" s="27" t="s">
        <v>995</v>
      </c>
      <c r="C317" s="27" t="s">
        <v>996</v>
      </c>
      <c r="D317" s="27" t="s">
        <v>997</v>
      </c>
      <c r="E317" s="28" t="s">
        <v>46</v>
      </c>
      <c r="F317" s="29" t="s">
        <v>46</v>
      </c>
      <c r="G317" s="30" t="s">
        <v>46</v>
      </c>
      <c r="H317" s="31"/>
      <c r="I317" s="31" t="s">
        <v>47</v>
      </c>
      <c r="J317" s="32" t="n">
        <v>1.0</v>
      </c>
      <c r="K317" s="33" t="n">
        <f>16100</f>
        <v>16100.0</v>
      </c>
      <c r="L317" s="34" t="s">
        <v>48</v>
      </c>
      <c r="M317" s="33" t="n">
        <f>16230</f>
        <v>16230.0</v>
      </c>
      <c r="N317" s="34" t="s">
        <v>270</v>
      </c>
      <c r="O317" s="33" t="n">
        <f>15840</f>
        <v>15840.0</v>
      </c>
      <c r="P317" s="34" t="s">
        <v>221</v>
      </c>
      <c r="Q317" s="33" t="n">
        <f>16075</f>
        <v>16075.0</v>
      </c>
      <c r="R317" s="34" t="s">
        <v>50</v>
      </c>
      <c r="S317" s="35" t="n">
        <f>16041.58</f>
        <v>16041.58</v>
      </c>
      <c r="T317" s="32" t="n">
        <f>314854</f>
        <v>314854.0</v>
      </c>
      <c r="U317" s="32" t="n">
        <f>247348</f>
        <v>247348.0</v>
      </c>
      <c r="V317" s="32" t="n">
        <f>5063287126</f>
        <v>5.063287126E9</v>
      </c>
      <c r="W317" s="32" t="n">
        <f>3981554451</f>
        <v>3.981554451E9</v>
      </c>
      <c r="X317" s="36" t="n">
        <f>19</f>
        <v>19.0</v>
      </c>
    </row>
    <row r="318">
      <c r="A318" s="27" t="s">
        <v>42</v>
      </c>
      <c r="B318" s="27" t="s">
        <v>998</v>
      </c>
      <c r="C318" s="27" t="s">
        <v>999</v>
      </c>
      <c r="D318" s="27" t="s">
        <v>1000</v>
      </c>
      <c r="E318" s="28" t="s">
        <v>46</v>
      </c>
      <c r="F318" s="29" t="s">
        <v>46</v>
      </c>
      <c r="G318" s="30" t="s">
        <v>46</v>
      </c>
      <c r="H318" s="31"/>
      <c r="I318" s="31" t="s">
        <v>47</v>
      </c>
      <c r="J318" s="32" t="n">
        <v>1.0</v>
      </c>
      <c r="K318" s="33" t="n">
        <f>33650</f>
        <v>33650.0</v>
      </c>
      <c r="L318" s="34" t="s">
        <v>48</v>
      </c>
      <c r="M318" s="33" t="n">
        <f>34640</f>
        <v>34640.0</v>
      </c>
      <c r="N318" s="34" t="s">
        <v>200</v>
      </c>
      <c r="O318" s="33" t="n">
        <f>31820</f>
        <v>31820.0</v>
      </c>
      <c r="P318" s="34" t="s">
        <v>71</v>
      </c>
      <c r="Q318" s="33" t="n">
        <f>34060</f>
        <v>34060.0</v>
      </c>
      <c r="R318" s="34" t="s">
        <v>50</v>
      </c>
      <c r="S318" s="35" t="n">
        <f>33099.47</f>
        <v>33099.47</v>
      </c>
      <c r="T318" s="32" t="n">
        <f>215655</f>
        <v>215655.0</v>
      </c>
      <c r="U318" s="32" t="n">
        <f>18885</f>
        <v>18885.0</v>
      </c>
      <c r="V318" s="32" t="n">
        <f>7166706157</f>
        <v>7.166706157E9</v>
      </c>
      <c r="W318" s="32" t="n">
        <f>625756367</f>
        <v>6.25756367E8</v>
      </c>
      <c r="X318" s="36" t="n">
        <f>19</f>
        <v>19.0</v>
      </c>
    </row>
    <row r="319">
      <c r="A319" s="27" t="s">
        <v>42</v>
      </c>
      <c r="B319" s="27" t="s">
        <v>1001</v>
      </c>
      <c r="C319" s="27" t="s">
        <v>1002</v>
      </c>
      <c r="D319" s="27" t="s">
        <v>1003</v>
      </c>
      <c r="E319" s="28" t="s">
        <v>46</v>
      </c>
      <c r="F319" s="29" t="s">
        <v>46</v>
      </c>
      <c r="G319" s="30" t="s">
        <v>46</v>
      </c>
      <c r="H319" s="31"/>
      <c r="I319" s="31" t="s">
        <v>47</v>
      </c>
      <c r="J319" s="32" t="n">
        <v>1.0</v>
      </c>
      <c r="K319" s="33" t="n">
        <f>17905</f>
        <v>17905.0</v>
      </c>
      <c r="L319" s="34" t="s">
        <v>48</v>
      </c>
      <c r="M319" s="33" t="n">
        <f>18565</f>
        <v>18565.0</v>
      </c>
      <c r="N319" s="34" t="s">
        <v>286</v>
      </c>
      <c r="O319" s="33" t="n">
        <f>17580</f>
        <v>17580.0</v>
      </c>
      <c r="P319" s="34" t="s">
        <v>67</v>
      </c>
      <c r="Q319" s="33" t="n">
        <f>18410</f>
        <v>18410.0</v>
      </c>
      <c r="R319" s="34" t="s">
        <v>50</v>
      </c>
      <c r="S319" s="35" t="n">
        <f>17976.58</f>
        <v>17976.58</v>
      </c>
      <c r="T319" s="32" t="n">
        <f>573291</f>
        <v>573291.0</v>
      </c>
      <c r="U319" s="32" t="n">
        <f>434795</f>
        <v>434795.0</v>
      </c>
      <c r="V319" s="32" t="n">
        <f>10489699617</f>
        <v>1.0489699617E10</v>
      </c>
      <c r="W319" s="32" t="n">
        <f>7966490027</f>
        <v>7.966490027E9</v>
      </c>
      <c r="X319" s="36" t="n">
        <f>19</f>
        <v>19.0</v>
      </c>
    </row>
    <row r="320">
      <c r="A320" s="27" t="s">
        <v>42</v>
      </c>
      <c r="B320" s="27" t="s">
        <v>1004</v>
      </c>
      <c r="C320" s="27" t="s">
        <v>1005</v>
      </c>
      <c r="D320" s="27" t="s">
        <v>1006</v>
      </c>
      <c r="E320" s="28" t="s">
        <v>46</v>
      </c>
      <c r="F320" s="29" t="s">
        <v>46</v>
      </c>
      <c r="G320" s="30" t="s">
        <v>46</v>
      </c>
      <c r="H320" s="31"/>
      <c r="I320" s="31" t="s">
        <v>47</v>
      </c>
      <c r="J320" s="32" t="n">
        <v>10.0</v>
      </c>
      <c r="K320" s="33" t="n">
        <f>568</f>
        <v>568.0</v>
      </c>
      <c r="L320" s="34" t="s">
        <v>48</v>
      </c>
      <c r="M320" s="33" t="n">
        <f>568.7</f>
        <v>568.7</v>
      </c>
      <c r="N320" s="34" t="s">
        <v>48</v>
      </c>
      <c r="O320" s="33" t="n">
        <f>537.6</f>
        <v>537.6</v>
      </c>
      <c r="P320" s="34" t="s">
        <v>71</v>
      </c>
      <c r="Q320" s="33" t="n">
        <f>555.9</f>
        <v>555.9</v>
      </c>
      <c r="R320" s="34" t="s">
        <v>50</v>
      </c>
      <c r="S320" s="35" t="n">
        <f>552.86</f>
        <v>552.86</v>
      </c>
      <c r="T320" s="32" t="n">
        <f>4087500</f>
        <v>4087500.0</v>
      </c>
      <c r="U320" s="32" t="n">
        <f>727470</f>
        <v>727470.0</v>
      </c>
      <c r="V320" s="32" t="n">
        <f>2247770107</f>
        <v>2.247770107E9</v>
      </c>
      <c r="W320" s="32" t="n">
        <f>399434238</f>
        <v>3.99434238E8</v>
      </c>
      <c r="X320" s="36" t="n">
        <f>19</f>
        <v>19.0</v>
      </c>
    </row>
    <row r="321">
      <c r="A321" s="27" t="s">
        <v>42</v>
      </c>
      <c r="B321" s="27" t="s">
        <v>1007</v>
      </c>
      <c r="C321" s="27" t="s">
        <v>1008</v>
      </c>
      <c r="D321" s="27" t="s">
        <v>1009</v>
      </c>
      <c r="E321" s="28" t="s">
        <v>46</v>
      </c>
      <c r="F321" s="29" t="s">
        <v>46</v>
      </c>
      <c r="G321" s="30" t="s">
        <v>46</v>
      </c>
      <c r="H321" s="31"/>
      <c r="I321" s="31" t="s">
        <v>47</v>
      </c>
      <c r="J321" s="32" t="n">
        <v>1.0</v>
      </c>
      <c r="K321" s="33" t="n">
        <f>3180</f>
        <v>3180.0</v>
      </c>
      <c r="L321" s="34" t="s">
        <v>48</v>
      </c>
      <c r="M321" s="33" t="n">
        <f>3204</f>
        <v>3204.0</v>
      </c>
      <c r="N321" s="34" t="s">
        <v>270</v>
      </c>
      <c r="O321" s="33" t="n">
        <f>3122</f>
        <v>3122.0</v>
      </c>
      <c r="P321" s="34" t="s">
        <v>221</v>
      </c>
      <c r="Q321" s="33" t="n">
        <f>3158</f>
        <v>3158.0</v>
      </c>
      <c r="R321" s="34" t="s">
        <v>50</v>
      </c>
      <c r="S321" s="35" t="n">
        <f>3158.05</f>
        <v>3158.05</v>
      </c>
      <c r="T321" s="32" t="n">
        <f>4255442</f>
        <v>4255442.0</v>
      </c>
      <c r="U321" s="32" t="n">
        <f>3647570</f>
        <v>3647570.0</v>
      </c>
      <c r="V321" s="32" t="n">
        <f>13386655452</f>
        <v>1.3386655452E10</v>
      </c>
      <c r="W321" s="32" t="n">
        <f>11474538457</f>
        <v>1.1474538457E10</v>
      </c>
      <c r="X321" s="36" t="n">
        <f>19</f>
        <v>19.0</v>
      </c>
    </row>
    <row r="322">
      <c r="A322" s="27" t="s">
        <v>42</v>
      </c>
      <c r="B322" s="27" t="s">
        <v>1010</v>
      </c>
      <c r="C322" s="27" t="s">
        <v>1011</v>
      </c>
      <c r="D322" s="27" t="s">
        <v>1012</v>
      </c>
      <c r="E322" s="28" t="s">
        <v>46</v>
      </c>
      <c r="F322" s="29" t="s">
        <v>46</v>
      </c>
      <c r="G322" s="30" t="s">
        <v>46</v>
      </c>
      <c r="H322" s="31"/>
      <c r="I322" s="31" t="s">
        <v>47</v>
      </c>
      <c r="J322" s="32" t="n">
        <v>1.0</v>
      </c>
      <c r="K322" s="33" t="n">
        <f>5060</f>
        <v>5060.0</v>
      </c>
      <c r="L322" s="34" t="s">
        <v>48</v>
      </c>
      <c r="M322" s="33" t="n">
        <f>5144</f>
        <v>5144.0</v>
      </c>
      <c r="N322" s="34" t="s">
        <v>66</v>
      </c>
      <c r="O322" s="33" t="n">
        <f>4675</f>
        <v>4675.0</v>
      </c>
      <c r="P322" s="34" t="s">
        <v>71</v>
      </c>
      <c r="Q322" s="33" t="n">
        <f>4940</f>
        <v>4940.0</v>
      </c>
      <c r="R322" s="34" t="s">
        <v>50</v>
      </c>
      <c r="S322" s="35" t="n">
        <f>4861.68</f>
        <v>4861.68</v>
      </c>
      <c r="T322" s="32" t="n">
        <f>3467</f>
        <v>3467.0</v>
      </c>
      <c r="U322" s="32" t="str">
        <f>"－"</f>
        <v>－</v>
      </c>
      <c r="V322" s="32" t="n">
        <f>16867188</f>
        <v>1.6867188E7</v>
      </c>
      <c r="W322" s="32" t="str">
        <f>"－"</f>
        <v>－</v>
      </c>
      <c r="X322" s="36" t="n">
        <f>19</f>
        <v>19.0</v>
      </c>
    </row>
    <row r="323">
      <c r="A323" s="27" t="s">
        <v>42</v>
      </c>
      <c r="B323" s="27" t="s">
        <v>1013</v>
      </c>
      <c r="C323" s="27" t="s">
        <v>1014</v>
      </c>
      <c r="D323" s="27" t="s">
        <v>1015</v>
      </c>
      <c r="E323" s="28" t="s">
        <v>46</v>
      </c>
      <c r="F323" s="29" t="s">
        <v>46</v>
      </c>
      <c r="G323" s="30" t="s">
        <v>46</v>
      </c>
      <c r="H323" s="31"/>
      <c r="I323" s="31" t="s">
        <v>47</v>
      </c>
      <c r="J323" s="32" t="n">
        <v>1.0</v>
      </c>
      <c r="K323" s="33" t="n">
        <f>2710</f>
        <v>2710.0</v>
      </c>
      <c r="L323" s="34" t="s">
        <v>48</v>
      </c>
      <c r="M323" s="33" t="n">
        <f>2710</f>
        <v>2710.0</v>
      </c>
      <c r="N323" s="34" t="s">
        <v>48</v>
      </c>
      <c r="O323" s="33" t="n">
        <f>2488</f>
        <v>2488.0</v>
      </c>
      <c r="P323" s="34" t="s">
        <v>71</v>
      </c>
      <c r="Q323" s="33" t="n">
        <f>2653</f>
        <v>2653.0</v>
      </c>
      <c r="R323" s="34" t="s">
        <v>50</v>
      </c>
      <c r="S323" s="35" t="n">
        <f>2599.05</f>
        <v>2599.05</v>
      </c>
      <c r="T323" s="32" t="n">
        <f>183715</f>
        <v>183715.0</v>
      </c>
      <c r="U323" s="32" t="str">
        <f>"－"</f>
        <v>－</v>
      </c>
      <c r="V323" s="32" t="n">
        <f>480723601</f>
        <v>4.80723601E8</v>
      </c>
      <c r="W323" s="32" t="str">
        <f>"－"</f>
        <v>－</v>
      </c>
      <c r="X323" s="36" t="n">
        <f>19</f>
        <v>19.0</v>
      </c>
    </row>
    <row r="324">
      <c r="A324" s="27" t="s">
        <v>42</v>
      </c>
      <c r="B324" s="27" t="s">
        <v>1016</v>
      </c>
      <c r="C324" s="27" t="s">
        <v>1017</v>
      </c>
      <c r="D324" s="27" t="s">
        <v>1018</v>
      </c>
      <c r="E324" s="28" t="s">
        <v>46</v>
      </c>
      <c r="F324" s="29" t="s">
        <v>46</v>
      </c>
      <c r="G324" s="30" t="s">
        <v>46</v>
      </c>
      <c r="H324" s="31"/>
      <c r="I324" s="31" t="s">
        <v>47</v>
      </c>
      <c r="J324" s="32" t="n">
        <v>1.0</v>
      </c>
      <c r="K324" s="33" t="n">
        <f>2734</f>
        <v>2734.0</v>
      </c>
      <c r="L324" s="34" t="s">
        <v>48</v>
      </c>
      <c r="M324" s="33" t="n">
        <f>2750</f>
        <v>2750.0</v>
      </c>
      <c r="N324" s="34" t="s">
        <v>50</v>
      </c>
      <c r="O324" s="33" t="n">
        <f>2491</f>
        <v>2491.0</v>
      </c>
      <c r="P324" s="34" t="s">
        <v>49</v>
      </c>
      <c r="Q324" s="33" t="n">
        <f>2750</f>
        <v>2750.0</v>
      </c>
      <c r="R324" s="34" t="s">
        <v>50</v>
      </c>
      <c r="S324" s="35" t="n">
        <f>2625.37</f>
        <v>2625.37</v>
      </c>
      <c r="T324" s="32" t="n">
        <f>934734</f>
        <v>934734.0</v>
      </c>
      <c r="U324" s="32" t="n">
        <f>122538</f>
        <v>122538.0</v>
      </c>
      <c r="V324" s="32" t="n">
        <f>2437587746</f>
        <v>2.437587746E9</v>
      </c>
      <c r="W324" s="32" t="n">
        <f>318297334</f>
        <v>3.18297334E8</v>
      </c>
      <c r="X324" s="36" t="n">
        <f>19</f>
        <v>19.0</v>
      </c>
    </row>
    <row r="325">
      <c r="A325" s="27" t="s">
        <v>42</v>
      </c>
      <c r="B325" s="27" t="s">
        <v>1019</v>
      </c>
      <c r="C325" s="27" t="s">
        <v>1020</v>
      </c>
      <c r="D325" s="27" t="s">
        <v>1021</v>
      </c>
      <c r="E325" s="28" t="s">
        <v>46</v>
      </c>
      <c r="F325" s="29" t="s">
        <v>46</v>
      </c>
      <c r="G325" s="30" t="s">
        <v>46</v>
      </c>
      <c r="H325" s="31"/>
      <c r="I325" s="31" t="s">
        <v>47</v>
      </c>
      <c r="J325" s="32" t="n">
        <v>1.0</v>
      </c>
      <c r="K325" s="33" t="n">
        <f>1780</f>
        <v>1780.0</v>
      </c>
      <c r="L325" s="34" t="s">
        <v>48</v>
      </c>
      <c r="M325" s="33" t="n">
        <f>1808</f>
        <v>1808.0</v>
      </c>
      <c r="N325" s="34" t="s">
        <v>66</v>
      </c>
      <c r="O325" s="33" t="n">
        <f>1640</f>
        <v>1640.0</v>
      </c>
      <c r="P325" s="34" t="s">
        <v>217</v>
      </c>
      <c r="Q325" s="33" t="n">
        <f>1724</f>
        <v>1724.0</v>
      </c>
      <c r="R325" s="34" t="s">
        <v>50</v>
      </c>
      <c r="S325" s="35" t="n">
        <f>1712.53</f>
        <v>1712.53</v>
      </c>
      <c r="T325" s="32" t="n">
        <f>24095</f>
        <v>24095.0</v>
      </c>
      <c r="U325" s="32" t="str">
        <f>"－"</f>
        <v>－</v>
      </c>
      <c r="V325" s="32" t="n">
        <f>41296296</f>
        <v>4.1296296E7</v>
      </c>
      <c r="W325" s="32" t="str">
        <f>"－"</f>
        <v>－</v>
      </c>
      <c r="X325" s="36" t="n">
        <f>19</f>
        <v>19.0</v>
      </c>
    </row>
    <row r="326">
      <c r="A326" s="27" t="s">
        <v>42</v>
      </c>
      <c r="B326" s="27" t="s">
        <v>1022</v>
      </c>
      <c r="C326" s="27" t="s">
        <v>1023</v>
      </c>
      <c r="D326" s="27" t="s">
        <v>1024</v>
      </c>
      <c r="E326" s="28" t="s">
        <v>46</v>
      </c>
      <c r="F326" s="29" t="s">
        <v>46</v>
      </c>
      <c r="G326" s="30" t="s">
        <v>46</v>
      </c>
      <c r="H326" s="31"/>
      <c r="I326" s="31" t="s">
        <v>47</v>
      </c>
      <c r="J326" s="32" t="n">
        <v>1.0</v>
      </c>
      <c r="K326" s="33" t="n">
        <f>4390</f>
        <v>4390.0</v>
      </c>
      <c r="L326" s="34" t="s">
        <v>48</v>
      </c>
      <c r="M326" s="33" t="n">
        <f>4448</f>
        <v>4448.0</v>
      </c>
      <c r="N326" s="34" t="s">
        <v>48</v>
      </c>
      <c r="O326" s="33" t="n">
        <f>3981</f>
        <v>3981.0</v>
      </c>
      <c r="P326" s="34" t="s">
        <v>49</v>
      </c>
      <c r="Q326" s="33" t="n">
        <f>4248</f>
        <v>4248.0</v>
      </c>
      <c r="R326" s="34" t="s">
        <v>50</v>
      </c>
      <c r="S326" s="35" t="n">
        <f>4248.95</f>
        <v>4248.95</v>
      </c>
      <c r="T326" s="32" t="n">
        <f>353439</f>
        <v>353439.0</v>
      </c>
      <c r="U326" s="32" t="n">
        <f>23076</f>
        <v>23076.0</v>
      </c>
      <c r="V326" s="32" t="n">
        <f>1512053128</f>
        <v>1.512053128E9</v>
      </c>
      <c r="W326" s="32" t="n">
        <f>101316067</f>
        <v>1.01316067E8</v>
      </c>
      <c r="X326" s="36" t="n">
        <f>19</f>
        <v>19.0</v>
      </c>
    </row>
    <row r="327">
      <c r="A327" s="27" t="s">
        <v>42</v>
      </c>
      <c r="B327" s="27" t="s">
        <v>1025</v>
      </c>
      <c r="C327" s="27" t="s">
        <v>1026</v>
      </c>
      <c r="D327" s="27" t="s">
        <v>1027</v>
      </c>
      <c r="E327" s="28" t="s">
        <v>46</v>
      </c>
      <c r="F327" s="29" t="s">
        <v>46</v>
      </c>
      <c r="G327" s="30" t="s">
        <v>46</v>
      </c>
      <c r="H327" s="31"/>
      <c r="I327" s="31" t="s">
        <v>47</v>
      </c>
      <c r="J327" s="32" t="n">
        <v>1.0</v>
      </c>
      <c r="K327" s="33" t="n">
        <f>4616</f>
        <v>4616.0</v>
      </c>
      <c r="L327" s="34" t="s">
        <v>48</v>
      </c>
      <c r="M327" s="33" t="n">
        <f>4734</f>
        <v>4734.0</v>
      </c>
      <c r="N327" s="34" t="s">
        <v>48</v>
      </c>
      <c r="O327" s="33" t="n">
        <f>4340</f>
        <v>4340.0</v>
      </c>
      <c r="P327" s="34" t="s">
        <v>49</v>
      </c>
      <c r="Q327" s="33" t="n">
        <f>4526</f>
        <v>4526.0</v>
      </c>
      <c r="R327" s="34" t="s">
        <v>50</v>
      </c>
      <c r="S327" s="35" t="n">
        <f>4512.11</f>
        <v>4512.11</v>
      </c>
      <c r="T327" s="32" t="n">
        <f>6357174</f>
        <v>6357174.0</v>
      </c>
      <c r="U327" s="32" t="n">
        <f>126265</f>
        <v>126265.0</v>
      </c>
      <c r="V327" s="32" t="n">
        <f>28580933899</f>
        <v>2.8580933899E10</v>
      </c>
      <c r="W327" s="32" t="n">
        <f>563056864</f>
        <v>5.63056864E8</v>
      </c>
      <c r="X327" s="36" t="n">
        <f>19</f>
        <v>19.0</v>
      </c>
    </row>
    <row r="328">
      <c r="A328" s="27" t="s">
        <v>42</v>
      </c>
      <c r="B328" s="27" t="s">
        <v>1028</v>
      </c>
      <c r="C328" s="27" t="s">
        <v>1029</v>
      </c>
      <c r="D328" s="27" t="s">
        <v>1030</v>
      </c>
      <c r="E328" s="28" t="s">
        <v>46</v>
      </c>
      <c r="F328" s="29" t="s">
        <v>46</v>
      </c>
      <c r="G328" s="30" t="s">
        <v>46</v>
      </c>
      <c r="H328" s="31"/>
      <c r="I328" s="31" t="s">
        <v>47</v>
      </c>
      <c r="J328" s="32" t="n">
        <v>1.0</v>
      </c>
      <c r="K328" s="33" t="n">
        <f>55160</f>
        <v>55160.0</v>
      </c>
      <c r="L328" s="34" t="s">
        <v>48</v>
      </c>
      <c r="M328" s="33" t="n">
        <f>55160</f>
        <v>55160.0</v>
      </c>
      <c r="N328" s="34" t="s">
        <v>48</v>
      </c>
      <c r="O328" s="33" t="n">
        <f>52820</f>
        <v>52820.0</v>
      </c>
      <c r="P328" s="34" t="s">
        <v>67</v>
      </c>
      <c r="Q328" s="33" t="n">
        <f>54660</f>
        <v>54660.0</v>
      </c>
      <c r="R328" s="34" t="s">
        <v>50</v>
      </c>
      <c r="S328" s="35" t="n">
        <f>53830.67</f>
        <v>53830.67</v>
      </c>
      <c r="T328" s="32" t="n">
        <f>55</f>
        <v>55.0</v>
      </c>
      <c r="U328" s="32" t="str">
        <f>"－"</f>
        <v>－</v>
      </c>
      <c r="V328" s="32" t="n">
        <f>2967660</f>
        <v>2967660.0</v>
      </c>
      <c r="W328" s="32" t="str">
        <f>"－"</f>
        <v>－</v>
      </c>
      <c r="X328" s="36" t="n">
        <f>15</f>
        <v>15.0</v>
      </c>
    </row>
    <row r="329">
      <c r="A329" s="27" t="s">
        <v>42</v>
      </c>
      <c r="B329" s="27" t="s">
        <v>1031</v>
      </c>
      <c r="C329" s="27" t="s">
        <v>1032</v>
      </c>
      <c r="D329" s="27" t="s">
        <v>1033</v>
      </c>
      <c r="E329" s="28" t="s">
        <v>1034</v>
      </c>
      <c r="F329" s="29" t="s">
        <v>1035</v>
      </c>
      <c r="G329" s="30" t="s">
        <v>1036</v>
      </c>
      <c r="H329" s="31" t="s">
        <v>1037</v>
      </c>
      <c r="I329" s="31"/>
      <c r="J329" s="32" t="n">
        <v>1.0</v>
      </c>
      <c r="K329" s="33" t="n">
        <f>4372</f>
        <v>4372.0</v>
      </c>
      <c r="L329" s="34" t="s">
        <v>48</v>
      </c>
      <c r="M329" s="33" t="n">
        <f>4400</f>
        <v>4400.0</v>
      </c>
      <c r="N329" s="34" t="s">
        <v>48</v>
      </c>
      <c r="O329" s="33" t="n">
        <f>4160</f>
        <v>4160.0</v>
      </c>
      <c r="P329" s="34" t="s">
        <v>71</v>
      </c>
      <c r="Q329" s="33" t="n">
        <f>4210</f>
        <v>4210.0</v>
      </c>
      <c r="R329" s="34" t="s">
        <v>221</v>
      </c>
      <c r="S329" s="35" t="n">
        <f>4295.3</f>
        <v>4295.3</v>
      </c>
      <c r="T329" s="32" t="n">
        <f>6923</f>
        <v>6923.0</v>
      </c>
      <c r="U329" s="32" t="str">
        <f>"－"</f>
        <v>－</v>
      </c>
      <c r="V329" s="32" t="n">
        <f>29628873</f>
        <v>2.9628873E7</v>
      </c>
      <c r="W329" s="32" t="str">
        <f>"－"</f>
        <v>－</v>
      </c>
      <c r="X329" s="36" t="n">
        <f>10</f>
        <v>10.0</v>
      </c>
    </row>
    <row r="330">
      <c r="A330" s="27" t="s">
        <v>42</v>
      </c>
      <c r="B330" s="27" t="s">
        <v>1038</v>
      </c>
      <c r="C330" s="27" t="s">
        <v>1039</v>
      </c>
      <c r="D330" s="27" t="s">
        <v>1040</v>
      </c>
      <c r="E330" s="28" t="s">
        <v>46</v>
      </c>
      <c r="F330" s="29" t="s">
        <v>46</v>
      </c>
      <c r="G330" s="30" t="s">
        <v>46</v>
      </c>
      <c r="H330" s="31"/>
      <c r="I330" s="31" t="s">
        <v>47</v>
      </c>
      <c r="J330" s="32" t="n">
        <v>1.0</v>
      </c>
      <c r="K330" s="33" t="n">
        <f>3859</f>
        <v>3859.0</v>
      </c>
      <c r="L330" s="34" t="s">
        <v>48</v>
      </c>
      <c r="M330" s="33" t="n">
        <f>4199</f>
        <v>4199.0</v>
      </c>
      <c r="N330" s="34" t="s">
        <v>50</v>
      </c>
      <c r="O330" s="33" t="n">
        <f>3526</f>
        <v>3526.0</v>
      </c>
      <c r="P330" s="34" t="s">
        <v>71</v>
      </c>
      <c r="Q330" s="33" t="n">
        <f>4149</f>
        <v>4149.0</v>
      </c>
      <c r="R330" s="34" t="s">
        <v>50</v>
      </c>
      <c r="S330" s="35" t="n">
        <f>3860.21</f>
        <v>3860.21</v>
      </c>
      <c r="T330" s="32" t="n">
        <f>11454846</f>
        <v>1.1454846E7</v>
      </c>
      <c r="U330" s="32" t="n">
        <f>360787</f>
        <v>360787.0</v>
      </c>
      <c r="V330" s="32" t="n">
        <f>44169529020</f>
        <v>4.416952902E10</v>
      </c>
      <c r="W330" s="32" t="n">
        <f>1376895056</f>
        <v>1.376895056E9</v>
      </c>
      <c r="X330" s="36" t="n">
        <f>19</f>
        <v>19.0</v>
      </c>
    </row>
    <row r="331">
      <c r="A331" s="27" t="s">
        <v>42</v>
      </c>
      <c r="B331" s="27" t="s">
        <v>1041</v>
      </c>
      <c r="C331" s="27" t="s">
        <v>1042</v>
      </c>
      <c r="D331" s="27" t="s">
        <v>1043</v>
      </c>
      <c r="E331" s="28" t="s">
        <v>46</v>
      </c>
      <c r="F331" s="29" t="s">
        <v>46</v>
      </c>
      <c r="G331" s="30" t="s">
        <v>46</v>
      </c>
      <c r="H331" s="31"/>
      <c r="I331" s="31" t="s">
        <v>47</v>
      </c>
      <c r="J331" s="32" t="n">
        <v>1.0</v>
      </c>
      <c r="K331" s="33" t="n">
        <f>3185</f>
        <v>3185.0</v>
      </c>
      <c r="L331" s="34" t="s">
        <v>48</v>
      </c>
      <c r="M331" s="33" t="n">
        <f>3185</f>
        <v>3185.0</v>
      </c>
      <c r="N331" s="34" t="s">
        <v>48</v>
      </c>
      <c r="O331" s="33" t="n">
        <f>3006</f>
        <v>3006.0</v>
      </c>
      <c r="P331" s="34" t="s">
        <v>50</v>
      </c>
      <c r="Q331" s="33" t="n">
        <f>3006</f>
        <v>3006.0</v>
      </c>
      <c r="R331" s="34" t="s">
        <v>50</v>
      </c>
      <c r="S331" s="35" t="n">
        <f>3071.68</f>
        <v>3071.68</v>
      </c>
      <c r="T331" s="32" t="n">
        <f>4679</f>
        <v>4679.0</v>
      </c>
      <c r="U331" s="32" t="n">
        <f>170</f>
        <v>170.0</v>
      </c>
      <c r="V331" s="32" t="n">
        <f>14272794</f>
        <v>1.4272794E7</v>
      </c>
      <c r="W331" s="32" t="n">
        <f>522425</f>
        <v>522425.0</v>
      </c>
      <c r="X331" s="36" t="n">
        <f>19</f>
        <v>19.0</v>
      </c>
    </row>
    <row r="332">
      <c r="A332" s="27" t="s">
        <v>42</v>
      </c>
      <c r="B332" s="27" t="s">
        <v>1044</v>
      </c>
      <c r="C332" s="27" t="s">
        <v>1045</v>
      </c>
      <c r="D332" s="27" t="s">
        <v>1046</v>
      </c>
      <c r="E332" s="28" t="s">
        <v>46</v>
      </c>
      <c r="F332" s="29" t="s">
        <v>46</v>
      </c>
      <c r="G332" s="30" t="s">
        <v>46</v>
      </c>
      <c r="H332" s="31"/>
      <c r="I332" s="31" t="s">
        <v>47</v>
      </c>
      <c r="J332" s="32" t="n">
        <v>1.0</v>
      </c>
      <c r="K332" s="33" t="n">
        <f>3951</f>
        <v>3951.0</v>
      </c>
      <c r="L332" s="34" t="s">
        <v>48</v>
      </c>
      <c r="M332" s="33" t="n">
        <f>4065</f>
        <v>4065.0</v>
      </c>
      <c r="N332" s="34" t="s">
        <v>48</v>
      </c>
      <c r="O332" s="33" t="n">
        <f>3650</f>
        <v>3650.0</v>
      </c>
      <c r="P332" s="34" t="s">
        <v>71</v>
      </c>
      <c r="Q332" s="33" t="n">
        <f>3834</f>
        <v>3834.0</v>
      </c>
      <c r="R332" s="34" t="s">
        <v>50</v>
      </c>
      <c r="S332" s="35" t="n">
        <f>3785.68</f>
        <v>3785.68</v>
      </c>
      <c r="T332" s="32" t="n">
        <f>69950</f>
        <v>69950.0</v>
      </c>
      <c r="U332" s="32" t="n">
        <f>5000</f>
        <v>5000.0</v>
      </c>
      <c r="V332" s="32" t="n">
        <f>267629534</f>
        <v>2.67629534E8</v>
      </c>
      <c r="W332" s="32" t="n">
        <f>19221000</f>
        <v>1.9221E7</v>
      </c>
      <c r="X332" s="36" t="n">
        <f>19</f>
        <v>19.0</v>
      </c>
    </row>
    <row r="333">
      <c r="A333" s="27" t="s">
        <v>42</v>
      </c>
      <c r="B333" s="27" t="s">
        <v>1047</v>
      </c>
      <c r="C333" s="27" t="s">
        <v>1048</v>
      </c>
      <c r="D333" s="27" t="s">
        <v>1049</v>
      </c>
      <c r="E333" s="28" t="s">
        <v>46</v>
      </c>
      <c r="F333" s="29" t="s">
        <v>46</v>
      </c>
      <c r="G333" s="30" t="s">
        <v>46</v>
      </c>
      <c r="H333" s="31"/>
      <c r="I333" s="31" t="s">
        <v>47</v>
      </c>
      <c r="J333" s="32" t="n">
        <v>1.0</v>
      </c>
      <c r="K333" s="33" t="n">
        <f>5904</f>
        <v>5904.0</v>
      </c>
      <c r="L333" s="34" t="s">
        <v>48</v>
      </c>
      <c r="M333" s="33" t="n">
        <f>5908</f>
        <v>5908.0</v>
      </c>
      <c r="N333" s="34" t="s">
        <v>66</v>
      </c>
      <c r="O333" s="33" t="n">
        <f>5525</f>
        <v>5525.0</v>
      </c>
      <c r="P333" s="34" t="s">
        <v>71</v>
      </c>
      <c r="Q333" s="33" t="n">
        <f>5557</f>
        <v>5557.0</v>
      </c>
      <c r="R333" s="34" t="s">
        <v>50</v>
      </c>
      <c r="S333" s="35" t="n">
        <f>5634.42</f>
        <v>5634.42</v>
      </c>
      <c r="T333" s="32" t="n">
        <f>84734</f>
        <v>84734.0</v>
      </c>
      <c r="U333" s="32" t="str">
        <f>"－"</f>
        <v>－</v>
      </c>
      <c r="V333" s="32" t="n">
        <f>482906390</f>
        <v>4.8290639E8</v>
      </c>
      <c r="W333" s="32" t="str">
        <f>"－"</f>
        <v>－</v>
      </c>
      <c r="X333" s="36" t="n">
        <f>19</f>
        <v>19.0</v>
      </c>
    </row>
    <row r="334">
      <c r="A334" s="27" t="s">
        <v>42</v>
      </c>
      <c r="B334" s="27" t="s">
        <v>1050</v>
      </c>
      <c r="C334" s="27" t="s">
        <v>1051</v>
      </c>
      <c r="D334" s="27" t="s">
        <v>1052</v>
      </c>
      <c r="E334" s="28" t="s">
        <v>46</v>
      </c>
      <c r="F334" s="29" t="s">
        <v>46</v>
      </c>
      <c r="G334" s="30" t="s">
        <v>46</v>
      </c>
      <c r="H334" s="31"/>
      <c r="I334" s="31" t="s">
        <v>47</v>
      </c>
      <c r="J334" s="32" t="n">
        <v>1.0</v>
      </c>
      <c r="K334" s="33" t="n">
        <f>3345</f>
        <v>3345.0</v>
      </c>
      <c r="L334" s="34" t="s">
        <v>48</v>
      </c>
      <c r="M334" s="33" t="n">
        <f>3375</f>
        <v>3375.0</v>
      </c>
      <c r="N334" s="34" t="s">
        <v>48</v>
      </c>
      <c r="O334" s="33" t="n">
        <f>3192</f>
        <v>3192.0</v>
      </c>
      <c r="P334" s="34" t="s">
        <v>78</v>
      </c>
      <c r="Q334" s="33" t="n">
        <f>3196</f>
        <v>3196.0</v>
      </c>
      <c r="R334" s="34" t="s">
        <v>50</v>
      </c>
      <c r="S334" s="35" t="n">
        <f>3269.37</f>
        <v>3269.37</v>
      </c>
      <c r="T334" s="32" t="n">
        <f>2355422</f>
        <v>2355422.0</v>
      </c>
      <c r="U334" s="32" t="n">
        <f>2018310</f>
        <v>2018310.0</v>
      </c>
      <c r="V334" s="32" t="n">
        <f>7543092271</f>
        <v>7.543092271E9</v>
      </c>
      <c r="W334" s="32" t="n">
        <f>6448041748</f>
        <v>6.448041748E9</v>
      </c>
      <c r="X334" s="36" t="n">
        <f>19</f>
        <v>19.0</v>
      </c>
    </row>
    <row r="335">
      <c r="A335" s="27" t="s">
        <v>42</v>
      </c>
      <c r="B335" s="27" t="s">
        <v>1053</v>
      </c>
      <c r="C335" s="27" t="s">
        <v>1054</v>
      </c>
      <c r="D335" s="27" t="s">
        <v>1055</v>
      </c>
      <c r="E335" s="28" t="s">
        <v>46</v>
      </c>
      <c r="F335" s="29" t="s">
        <v>46</v>
      </c>
      <c r="G335" s="30" t="s">
        <v>46</v>
      </c>
      <c r="H335" s="31"/>
      <c r="I335" s="31" t="s">
        <v>47</v>
      </c>
      <c r="J335" s="32" t="n">
        <v>10.0</v>
      </c>
      <c r="K335" s="33" t="n">
        <f>586.8</f>
        <v>586.8</v>
      </c>
      <c r="L335" s="34" t="s">
        <v>48</v>
      </c>
      <c r="M335" s="33" t="n">
        <f>586.8</f>
        <v>586.8</v>
      </c>
      <c r="N335" s="34" t="s">
        <v>48</v>
      </c>
      <c r="O335" s="33" t="n">
        <f>555.3</f>
        <v>555.3</v>
      </c>
      <c r="P335" s="34" t="s">
        <v>50</v>
      </c>
      <c r="Q335" s="33" t="n">
        <f>555.3</f>
        <v>555.3</v>
      </c>
      <c r="R335" s="34" t="s">
        <v>50</v>
      </c>
      <c r="S335" s="35" t="n">
        <f>567.88</f>
        <v>567.88</v>
      </c>
      <c r="T335" s="32" t="n">
        <f>89760</f>
        <v>89760.0</v>
      </c>
      <c r="U335" s="32" t="n">
        <f>4060</f>
        <v>4060.0</v>
      </c>
      <c r="V335" s="32" t="n">
        <f>51250352</f>
        <v>5.1250352E7</v>
      </c>
      <c r="W335" s="32" t="n">
        <f>2308068</f>
        <v>2308068.0</v>
      </c>
      <c r="X335" s="36" t="n">
        <f>19</f>
        <v>19.0</v>
      </c>
    </row>
    <row r="336">
      <c r="A336" s="27" t="s">
        <v>42</v>
      </c>
      <c r="B336" s="27" t="s">
        <v>1056</v>
      </c>
      <c r="C336" s="27" t="s">
        <v>1057</v>
      </c>
      <c r="D336" s="27" t="s">
        <v>1058</v>
      </c>
      <c r="E336" s="28" t="s">
        <v>46</v>
      </c>
      <c r="F336" s="29" t="s">
        <v>46</v>
      </c>
      <c r="G336" s="30" t="s">
        <v>46</v>
      </c>
      <c r="H336" s="31"/>
      <c r="I336" s="31" t="s">
        <v>47</v>
      </c>
      <c r="J336" s="32" t="n">
        <v>1.0</v>
      </c>
      <c r="K336" s="33" t="n">
        <f>10300</f>
        <v>10300.0</v>
      </c>
      <c r="L336" s="34" t="s">
        <v>48</v>
      </c>
      <c r="M336" s="33" t="n">
        <f>10300</f>
        <v>10300.0</v>
      </c>
      <c r="N336" s="34" t="s">
        <v>48</v>
      </c>
      <c r="O336" s="33" t="n">
        <f>9290</f>
        <v>9290.0</v>
      </c>
      <c r="P336" s="34" t="s">
        <v>50</v>
      </c>
      <c r="Q336" s="33" t="n">
        <f>9300</f>
        <v>9300.0</v>
      </c>
      <c r="R336" s="34" t="s">
        <v>50</v>
      </c>
      <c r="S336" s="35" t="n">
        <f>9714</f>
        <v>9714.0</v>
      </c>
      <c r="T336" s="32" t="n">
        <f>3272</f>
        <v>3272.0</v>
      </c>
      <c r="U336" s="32" t="str">
        <f>"－"</f>
        <v>－</v>
      </c>
      <c r="V336" s="32" t="n">
        <f>31617935</f>
        <v>3.1617935E7</v>
      </c>
      <c r="W336" s="32" t="str">
        <f>"－"</f>
        <v>－</v>
      </c>
      <c r="X336" s="36" t="n">
        <f>19</f>
        <v>19.0</v>
      </c>
    </row>
    <row r="337">
      <c r="A337" s="27" t="s">
        <v>42</v>
      </c>
      <c r="B337" s="27" t="s">
        <v>1059</v>
      </c>
      <c r="C337" s="27" t="s">
        <v>1060</v>
      </c>
      <c r="D337" s="27" t="s">
        <v>1061</v>
      </c>
      <c r="E337" s="28" t="s">
        <v>46</v>
      </c>
      <c r="F337" s="29" t="s">
        <v>46</v>
      </c>
      <c r="G337" s="30" t="s">
        <v>46</v>
      </c>
      <c r="H337" s="31"/>
      <c r="I337" s="31" t="s">
        <v>47</v>
      </c>
      <c r="J337" s="32" t="n">
        <v>1.0</v>
      </c>
      <c r="K337" s="33" t="n">
        <f>2281</f>
        <v>2281.0</v>
      </c>
      <c r="L337" s="34" t="s">
        <v>48</v>
      </c>
      <c r="M337" s="33" t="n">
        <f>2440</f>
        <v>2440.0</v>
      </c>
      <c r="N337" s="34" t="s">
        <v>50</v>
      </c>
      <c r="O337" s="33" t="n">
        <f>2082</f>
        <v>2082.0</v>
      </c>
      <c r="P337" s="34" t="s">
        <v>71</v>
      </c>
      <c r="Q337" s="33" t="n">
        <f>2413</f>
        <v>2413.0</v>
      </c>
      <c r="R337" s="34" t="s">
        <v>50</v>
      </c>
      <c r="S337" s="35" t="n">
        <f>2268.26</f>
        <v>2268.26</v>
      </c>
      <c r="T337" s="32" t="n">
        <f>3619286</f>
        <v>3619286.0</v>
      </c>
      <c r="U337" s="32" t="n">
        <f>181529</f>
        <v>181529.0</v>
      </c>
      <c r="V337" s="32" t="n">
        <f>8191296396</f>
        <v>8.191296396E9</v>
      </c>
      <c r="W337" s="32" t="n">
        <f>413345197</f>
        <v>4.13345197E8</v>
      </c>
      <c r="X337" s="36" t="n">
        <f>19</f>
        <v>19.0</v>
      </c>
    </row>
    <row r="338">
      <c r="A338" s="27" t="s">
        <v>42</v>
      </c>
      <c r="B338" s="27" t="s">
        <v>1062</v>
      </c>
      <c r="C338" s="27" t="s">
        <v>1063</v>
      </c>
      <c r="D338" s="27" t="s">
        <v>1064</v>
      </c>
      <c r="E338" s="28" t="s">
        <v>46</v>
      </c>
      <c r="F338" s="29" t="s">
        <v>46</v>
      </c>
      <c r="G338" s="30" t="s">
        <v>46</v>
      </c>
      <c r="H338" s="31"/>
      <c r="I338" s="31" t="s">
        <v>47</v>
      </c>
      <c r="J338" s="32" t="n">
        <v>1.0</v>
      </c>
      <c r="K338" s="33" t="n">
        <f>3500</f>
        <v>3500.0</v>
      </c>
      <c r="L338" s="34" t="s">
        <v>48</v>
      </c>
      <c r="M338" s="33" t="n">
        <f>3500</f>
        <v>3500.0</v>
      </c>
      <c r="N338" s="34" t="s">
        <v>48</v>
      </c>
      <c r="O338" s="33" t="n">
        <f>3220</f>
        <v>3220.0</v>
      </c>
      <c r="P338" s="34" t="s">
        <v>217</v>
      </c>
      <c r="Q338" s="33" t="n">
        <f>3348</f>
        <v>3348.0</v>
      </c>
      <c r="R338" s="34" t="s">
        <v>50</v>
      </c>
      <c r="S338" s="35" t="n">
        <f>3311.05</f>
        <v>3311.05</v>
      </c>
      <c r="T338" s="32" t="n">
        <f>2500</f>
        <v>2500.0</v>
      </c>
      <c r="U338" s="32" t="str">
        <f>"－"</f>
        <v>－</v>
      </c>
      <c r="V338" s="32" t="n">
        <f>8326118</f>
        <v>8326118.0</v>
      </c>
      <c r="W338" s="32" t="str">
        <f>"－"</f>
        <v>－</v>
      </c>
      <c r="X338" s="36" t="n">
        <f>19</f>
        <v>19.0</v>
      </c>
    </row>
    <row r="339">
      <c r="A339" s="27" t="s">
        <v>42</v>
      </c>
      <c r="B339" s="27" t="s">
        <v>1065</v>
      </c>
      <c r="C339" s="27" t="s">
        <v>1066</v>
      </c>
      <c r="D339" s="27" t="s">
        <v>1067</v>
      </c>
      <c r="E339" s="28" t="s">
        <v>46</v>
      </c>
      <c r="F339" s="29" t="s">
        <v>46</v>
      </c>
      <c r="G339" s="30" t="s">
        <v>46</v>
      </c>
      <c r="H339" s="31"/>
      <c r="I339" s="31" t="s">
        <v>47</v>
      </c>
      <c r="J339" s="32" t="n">
        <v>1.0</v>
      </c>
      <c r="K339" s="33" t="n">
        <f>4965</f>
        <v>4965.0</v>
      </c>
      <c r="L339" s="34" t="s">
        <v>48</v>
      </c>
      <c r="M339" s="33" t="n">
        <f>4980</f>
        <v>4980.0</v>
      </c>
      <c r="N339" s="34" t="s">
        <v>48</v>
      </c>
      <c r="O339" s="33" t="n">
        <f>4500</f>
        <v>4500.0</v>
      </c>
      <c r="P339" s="34" t="s">
        <v>49</v>
      </c>
      <c r="Q339" s="33" t="n">
        <f>4853</f>
        <v>4853.0</v>
      </c>
      <c r="R339" s="34" t="s">
        <v>50</v>
      </c>
      <c r="S339" s="35" t="n">
        <f>4823.26</f>
        <v>4823.26</v>
      </c>
      <c r="T339" s="32" t="n">
        <f>48239</f>
        <v>48239.0</v>
      </c>
      <c r="U339" s="32" t="str">
        <f>"－"</f>
        <v>－</v>
      </c>
      <c r="V339" s="32" t="n">
        <f>231766195</f>
        <v>2.31766195E8</v>
      </c>
      <c r="W339" s="32" t="str">
        <f>"－"</f>
        <v>－</v>
      </c>
      <c r="X339" s="36" t="n">
        <f>19</f>
        <v>19.0</v>
      </c>
    </row>
    <row r="340">
      <c r="A340" s="27" t="s">
        <v>42</v>
      </c>
      <c r="B340" s="27" t="s">
        <v>1068</v>
      </c>
      <c r="C340" s="27" t="s">
        <v>1069</v>
      </c>
      <c r="D340" s="27" t="s">
        <v>1070</v>
      </c>
      <c r="E340" s="28" t="s">
        <v>46</v>
      </c>
      <c r="F340" s="29" t="s">
        <v>46</v>
      </c>
      <c r="G340" s="30" t="s">
        <v>46</v>
      </c>
      <c r="H340" s="31"/>
      <c r="I340" s="31" t="s">
        <v>47</v>
      </c>
      <c r="J340" s="32" t="n">
        <v>1.0</v>
      </c>
      <c r="K340" s="33" t="n">
        <f>8693</f>
        <v>8693.0</v>
      </c>
      <c r="L340" s="34" t="s">
        <v>48</v>
      </c>
      <c r="M340" s="33" t="n">
        <f>8695</f>
        <v>8695.0</v>
      </c>
      <c r="N340" s="34" t="s">
        <v>48</v>
      </c>
      <c r="O340" s="33" t="n">
        <f>8247</f>
        <v>8247.0</v>
      </c>
      <c r="P340" s="34" t="s">
        <v>71</v>
      </c>
      <c r="Q340" s="33" t="n">
        <f>8279</f>
        <v>8279.0</v>
      </c>
      <c r="R340" s="34" t="s">
        <v>50</v>
      </c>
      <c r="S340" s="35" t="n">
        <f>8390.26</f>
        <v>8390.26</v>
      </c>
      <c r="T340" s="32" t="n">
        <f>146647</f>
        <v>146647.0</v>
      </c>
      <c r="U340" s="32" t="n">
        <f>120034</f>
        <v>120034.0</v>
      </c>
      <c r="V340" s="32" t="n">
        <f>1258176908</f>
        <v>1.258176908E9</v>
      </c>
      <c r="W340" s="32" t="n">
        <f>1033837620</f>
        <v>1.03383762E9</v>
      </c>
      <c r="X340" s="36" t="n">
        <f>19</f>
        <v>19.0</v>
      </c>
    </row>
    <row r="341">
      <c r="A341" s="27" t="s">
        <v>42</v>
      </c>
      <c r="B341" s="27" t="s">
        <v>1071</v>
      </c>
      <c r="C341" s="27" t="s">
        <v>1072</v>
      </c>
      <c r="D341" s="27" t="s">
        <v>1073</v>
      </c>
      <c r="E341" s="28" t="s">
        <v>46</v>
      </c>
      <c r="F341" s="29" t="s">
        <v>46</v>
      </c>
      <c r="G341" s="30" t="s">
        <v>46</v>
      </c>
      <c r="H341" s="31"/>
      <c r="I341" s="31" t="s">
        <v>47</v>
      </c>
      <c r="J341" s="32" t="n">
        <v>1.0</v>
      </c>
      <c r="K341" s="33" t="n">
        <f>4950</f>
        <v>4950.0</v>
      </c>
      <c r="L341" s="34" t="s">
        <v>48</v>
      </c>
      <c r="M341" s="33" t="n">
        <f>4950</f>
        <v>4950.0</v>
      </c>
      <c r="N341" s="34" t="s">
        <v>48</v>
      </c>
      <c r="O341" s="33" t="n">
        <f>4781</f>
        <v>4781.0</v>
      </c>
      <c r="P341" s="34" t="s">
        <v>78</v>
      </c>
      <c r="Q341" s="33" t="n">
        <f>4798</f>
        <v>4798.0</v>
      </c>
      <c r="R341" s="34" t="s">
        <v>50</v>
      </c>
      <c r="S341" s="35" t="n">
        <f>4876.83</f>
        <v>4876.83</v>
      </c>
      <c r="T341" s="32" t="n">
        <f>348848</f>
        <v>348848.0</v>
      </c>
      <c r="U341" s="32" t="n">
        <f>153237</f>
        <v>153237.0</v>
      </c>
      <c r="V341" s="32" t="n">
        <f>1699029045</f>
        <v>1.699029045E9</v>
      </c>
      <c r="W341" s="32" t="n">
        <f>750647165</f>
        <v>7.50647165E8</v>
      </c>
      <c r="X341" s="36" t="n">
        <f>18</f>
        <v>18.0</v>
      </c>
    </row>
    <row r="342">
      <c r="A342" s="27" t="s">
        <v>42</v>
      </c>
      <c r="B342" s="27" t="s">
        <v>1074</v>
      </c>
      <c r="C342" s="27" t="s">
        <v>1075</v>
      </c>
      <c r="D342" s="27" t="s">
        <v>1076</v>
      </c>
      <c r="E342" s="28" t="s">
        <v>46</v>
      </c>
      <c r="F342" s="29" t="s">
        <v>46</v>
      </c>
      <c r="G342" s="30" t="s">
        <v>46</v>
      </c>
      <c r="H342" s="31"/>
      <c r="I342" s="31" t="s">
        <v>47</v>
      </c>
      <c r="J342" s="32" t="n">
        <v>1.0</v>
      </c>
      <c r="K342" s="33" t="n">
        <f>1378</f>
        <v>1378.0</v>
      </c>
      <c r="L342" s="34" t="s">
        <v>48</v>
      </c>
      <c r="M342" s="33" t="n">
        <f>1378</f>
        <v>1378.0</v>
      </c>
      <c r="N342" s="34" t="s">
        <v>48</v>
      </c>
      <c r="O342" s="33" t="n">
        <f>1290</f>
        <v>1290.0</v>
      </c>
      <c r="P342" s="34" t="s">
        <v>217</v>
      </c>
      <c r="Q342" s="33" t="n">
        <f>1314</f>
        <v>1314.0</v>
      </c>
      <c r="R342" s="34" t="s">
        <v>50</v>
      </c>
      <c r="S342" s="35" t="n">
        <f>1316.16</f>
        <v>1316.16</v>
      </c>
      <c r="T342" s="32" t="n">
        <f>94257</f>
        <v>94257.0</v>
      </c>
      <c r="U342" s="32" t="str">
        <f>"－"</f>
        <v>－</v>
      </c>
      <c r="V342" s="32" t="n">
        <f>123377986</f>
        <v>1.23377986E8</v>
      </c>
      <c r="W342" s="32" t="str">
        <f>"－"</f>
        <v>－</v>
      </c>
      <c r="X342" s="36" t="n">
        <f>19</f>
        <v>19.0</v>
      </c>
    </row>
    <row r="343">
      <c r="A343" s="27" t="s">
        <v>42</v>
      </c>
      <c r="B343" s="27" t="s">
        <v>1077</v>
      </c>
      <c r="C343" s="27" t="s">
        <v>1078</v>
      </c>
      <c r="D343" s="27" t="s">
        <v>1079</v>
      </c>
      <c r="E343" s="28" t="s">
        <v>46</v>
      </c>
      <c r="F343" s="29" t="s">
        <v>46</v>
      </c>
      <c r="G343" s="30" t="s">
        <v>46</v>
      </c>
      <c r="H343" s="31"/>
      <c r="I343" s="31" t="s">
        <v>47</v>
      </c>
      <c r="J343" s="32" t="n">
        <v>1.0</v>
      </c>
      <c r="K343" s="33" t="n">
        <f>2714</f>
        <v>2714.0</v>
      </c>
      <c r="L343" s="34" t="s">
        <v>48</v>
      </c>
      <c r="M343" s="33" t="n">
        <f>2790</f>
        <v>2790.0</v>
      </c>
      <c r="N343" s="34" t="s">
        <v>200</v>
      </c>
      <c r="O343" s="33" t="n">
        <f>2564</f>
        <v>2564.0</v>
      </c>
      <c r="P343" s="34" t="s">
        <v>71</v>
      </c>
      <c r="Q343" s="33" t="n">
        <f>2741</f>
        <v>2741.0</v>
      </c>
      <c r="R343" s="34" t="s">
        <v>50</v>
      </c>
      <c r="S343" s="35" t="n">
        <f>2665.79</f>
        <v>2665.79</v>
      </c>
      <c r="T343" s="32" t="n">
        <f>1497119</f>
        <v>1497119.0</v>
      </c>
      <c r="U343" s="32" t="n">
        <f>19025</f>
        <v>19025.0</v>
      </c>
      <c r="V343" s="32" t="n">
        <f>4011928258</f>
        <v>4.011928258E9</v>
      </c>
      <c r="W343" s="32" t="n">
        <f>50646108</f>
        <v>5.0646108E7</v>
      </c>
      <c r="X343" s="36" t="n">
        <f>19</f>
        <v>19.0</v>
      </c>
    </row>
    <row r="344">
      <c r="A344" s="27" t="s">
        <v>42</v>
      </c>
      <c r="B344" s="27" t="s">
        <v>1080</v>
      </c>
      <c r="C344" s="27" t="s">
        <v>1081</v>
      </c>
      <c r="D344" s="27" t="s">
        <v>1082</v>
      </c>
      <c r="E344" s="28" t="s">
        <v>46</v>
      </c>
      <c r="F344" s="29" t="s">
        <v>46</v>
      </c>
      <c r="G344" s="30" t="s">
        <v>46</v>
      </c>
      <c r="H344" s="31"/>
      <c r="I344" s="31" t="s">
        <v>47</v>
      </c>
      <c r="J344" s="32" t="n">
        <v>1.0</v>
      </c>
      <c r="K344" s="33" t="n">
        <f>1695</f>
        <v>1695.0</v>
      </c>
      <c r="L344" s="34" t="s">
        <v>48</v>
      </c>
      <c r="M344" s="33" t="n">
        <f>1753</f>
        <v>1753.0</v>
      </c>
      <c r="N344" s="34" t="s">
        <v>200</v>
      </c>
      <c r="O344" s="33" t="n">
        <f>1657</f>
        <v>1657.0</v>
      </c>
      <c r="P344" s="34" t="s">
        <v>71</v>
      </c>
      <c r="Q344" s="33" t="n">
        <f>1734</f>
        <v>1734.0</v>
      </c>
      <c r="R344" s="34" t="s">
        <v>50</v>
      </c>
      <c r="S344" s="35" t="n">
        <f>1695.58</f>
        <v>1695.58</v>
      </c>
      <c r="T344" s="32" t="n">
        <f>1813074</f>
        <v>1813074.0</v>
      </c>
      <c r="U344" s="32" t="n">
        <f>778930</f>
        <v>778930.0</v>
      </c>
      <c r="V344" s="32" t="n">
        <f>3070025701</f>
        <v>3.070025701E9</v>
      </c>
      <c r="W344" s="32" t="n">
        <f>1311060868</f>
        <v>1.311060868E9</v>
      </c>
      <c r="X344" s="36" t="n">
        <f>19</f>
        <v>19.0</v>
      </c>
    </row>
    <row r="345">
      <c r="A345" s="27" t="s">
        <v>42</v>
      </c>
      <c r="B345" s="27" t="s">
        <v>1083</v>
      </c>
      <c r="C345" s="27" t="s">
        <v>1084</v>
      </c>
      <c r="D345" s="27" t="s">
        <v>1085</v>
      </c>
      <c r="E345" s="28" t="s">
        <v>46</v>
      </c>
      <c r="F345" s="29" t="s">
        <v>46</v>
      </c>
      <c r="G345" s="30" t="s">
        <v>46</v>
      </c>
      <c r="H345" s="31"/>
      <c r="I345" s="31" t="s">
        <v>47</v>
      </c>
      <c r="J345" s="32" t="n">
        <v>1.0</v>
      </c>
      <c r="K345" s="33" t="n">
        <f>12205</f>
        <v>12205.0</v>
      </c>
      <c r="L345" s="34" t="s">
        <v>48</v>
      </c>
      <c r="M345" s="33" t="n">
        <f>12455</f>
        <v>12455.0</v>
      </c>
      <c r="N345" s="34" t="s">
        <v>66</v>
      </c>
      <c r="O345" s="33" t="n">
        <f>11735</f>
        <v>11735.0</v>
      </c>
      <c r="P345" s="34" t="s">
        <v>286</v>
      </c>
      <c r="Q345" s="33" t="n">
        <f>11845</f>
        <v>11845.0</v>
      </c>
      <c r="R345" s="34" t="s">
        <v>50</v>
      </c>
      <c r="S345" s="35" t="n">
        <f>12170.79</f>
        <v>12170.79</v>
      </c>
      <c r="T345" s="32" t="n">
        <f>107266</f>
        <v>107266.0</v>
      </c>
      <c r="U345" s="32" t="n">
        <f>608</f>
        <v>608.0</v>
      </c>
      <c r="V345" s="32" t="n">
        <f>1305016150</f>
        <v>1.30501615E9</v>
      </c>
      <c r="W345" s="32" t="n">
        <f>7379455</f>
        <v>7379455.0</v>
      </c>
      <c r="X345" s="36" t="n">
        <f>19</f>
        <v>19.0</v>
      </c>
    </row>
    <row r="346">
      <c r="A346" s="27" t="s">
        <v>42</v>
      </c>
      <c r="B346" s="27" t="s">
        <v>1086</v>
      </c>
      <c r="C346" s="27" t="s">
        <v>1087</v>
      </c>
      <c r="D346" s="27" t="s">
        <v>1088</v>
      </c>
      <c r="E346" s="28" t="s">
        <v>46</v>
      </c>
      <c r="F346" s="29" t="s">
        <v>46</v>
      </c>
      <c r="G346" s="30" t="s">
        <v>46</v>
      </c>
      <c r="H346" s="31"/>
      <c r="I346" s="31" t="s">
        <v>47</v>
      </c>
      <c r="J346" s="32" t="n">
        <v>1.0</v>
      </c>
      <c r="K346" s="33" t="n">
        <f>3665</f>
        <v>3665.0</v>
      </c>
      <c r="L346" s="34" t="s">
        <v>48</v>
      </c>
      <c r="M346" s="33" t="n">
        <f>3665</f>
        <v>3665.0</v>
      </c>
      <c r="N346" s="34" t="s">
        <v>48</v>
      </c>
      <c r="O346" s="33" t="n">
        <f>3585</f>
        <v>3585.0</v>
      </c>
      <c r="P346" s="34" t="s">
        <v>308</v>
      </c>
      <c r="Q346" s="33" t="n">
        <f>3618</f>
        <v>3618.0</v>
      </c>
      <c r="R346" s="34" t="s">
        <v>50</v>
      </c>
      <c r="S346" s="35" t="n">
        <f>3618.32</f>
        <v>3618.32</v>
      </c>
      <c r="T346" s="32" t="n">
        <f>436596</f>
        <v>436596.0</v>
      </c>
      <c r="U346" s="32" t="n">
        <f>361010</f>
        <v>361010.0</v>
      </c>
      <c r="V346" s="32" t="n">
        <f>1571071645</f>
        <v>1.571071645E9</v>
      </c>
      <c r="W346" s="32" t="n">
        <f>1297628010</f>
        <v>1.29762801E9</v>
      </c>
      <c r="X346" s="36" t="n">
        <f>19</f>
        <v>19.0</v>
      </c>
    </row>
    <row r="347">
      <c r="A347" s="27" t="s">
        <v>42</v>
      </c>
      <c r="B347" s="27" t="s">
        <v>1089</v>
      </c>
      <c r="C347" s="27" t="s">
        <v>1090</v>
      </c>
      <c r="D347" s="27" t="s">
        <v>1091</v>
      </c>
      <c r="E347" s="28" t="s">
        <v>46</v>
      </c>
      <c r="F347" s="29" t="s">
        <v>46</v>
      </c>
      <c r="G347" s="30" t="s">
        <v>46</v>
      </c>
      <c r="H347" s="31"/>
      <c r="I347" s="31" t="s">
        <v>47</v>
      </c>
      <c r="J347" s="32" t="n">
        <v>1.0</v>
      </c>
      <c r="K347" s="33" t="n">
        <f>5584</f>
        <v>5584.0</v>
      </c>
      <c r="L347" s="34" t="s">
        <v>48</v>
      </c>
      <c r="M347" s="33" t="n">
        <f>5598</f>
        <v>5598.0</v>
      </c>
      <c r="N347" s="34" t="s">
        <v>48</v>
      </c>
      <c r="O347" s="33" t="n">
        <f>5270</f>
        <v>5270.0</v>
      </c>
      <c r="P347" s="34" t="s">
        <v>50</v>
      </c>
      <c r="Q347" s="33" t="n">
        <f>5287</f>
        <v>5287.0</v>
      </c>
      <c r="R347" s="34" t="s">
        <v>50</v>
      </c>
      <c r="S347" s="35" t="n">
        <f>5386.42</f>
        <v>5386.42</v>
      </c>
      <c r="T347" s="32" t="n">
        <f>711742</f>
        <v>711742.0</v>
      </c>
      <c r="U347" s="32" t="n">
        <f>619550</f>
        <v>619550.0</v>
      </c>
      <c r="V347" s="32" t="n">
        <f>3828739528</f>
        <v>3.828739528E9</v>
      </c>
      <c r="W347" s="32" t="n">
        <f>3333759291</f>
        <v>3.333759291E9</v>
      </c>
      <c r="X347" s="36" t="n">
        <f>19</f>
        <v>19.0</v>
      </c>
    </row>
    <row r="348">
      <c r="A348" s="27" t="s">
        <v>42</v>
      </c>
      <c r="B348" s="27" t="s">
        <v>1092</v>
      </c>
      <c r="C348" s="27" t="s">
        <v>1093</v>
      </c>
      <c r="D348" s="27" t="s">
        <v>1094</v>
      </c>
      <c r="E348" s="28" t="s">
        <v>46</v>
      </c>
      <c r="F348" s="29" t="s">
        <v>46</v>
      </c>
      <c r="G348" s="30" t="s">
        <v>46</v>
      </c>
      <c r="H348" s="31"/>
      <c r="I348" s="31" t="s">
        <v>47</v>
      </c>
      <c r="J348" s="32" t="n">
        <v>1.0</v>
      </c>
      <c r="K348" s="33" t="n">
        <f>3540</f>
        <v>3540.0</v>
      </c>
      <c r="L348" s="34" t="s">
        <v>48</v>
      </c>
      <c r="M348" s="33" t="n">
        <f>3669</f>
        <v>3669.0</v>
      </c>
      <c r="N348" s="34" t="s">
        <v>200</v>
      </c>
      <c r="O348" s="33" t="n">
        <f>3472</f>
        <v>3472.0</v>
      </c>
      <c r="P348" s="34" t="s">
        <v>67</v>
      </c>
      <c r="Q348" s="33" t="n">
        <f>3630</f>
        <v>3630.0</v>
      </c>
      <c r="R348" s="34" t="s">
        <v>50</v>
      </c>
      <c r="S348" s="35" t="n">
        <f>3550.16</f>
        <v>3550.16</v>
      </c>
      <c r="T348" s="32" t="n">
        <f>2338757</f>
        <v>2338757.0</v>
      </c>
      <c r="U348" s="32" t="n">
        <f>2172410</f>
        <v>2172410.0</v>
      </c>
      <c r="V348" s="32" t="n">
        <f>8173999813</f>
        <v>8.173999813E9</v>
      </c>
      <c r="W348" s="32" t="n">
        <f>7578474553</f>
        <v>7.578474553E9</v>
      </c>
      <c r="X348" s="36" t="n">
        <f>19</f>
        <v>19.0</v>
      </c>
    </row>
    <row r="349">
      <c r="A349" s="27" t="s">
        <v>42</v>
      </c>
      <c r="B349" s="27" t="s">
        <v>1095</v>
      </c>
      <c r="C349" s="27" t="s">
        <v>1096</v>
      </c>
      <c r="D349" s="27" t="s">
        <v>1097</v>
      </c>
      <c r="E349" s="28" t="s">
        <v>46</v>
      </c>
      <c r="F349" s="29" t="s">
        <v>46</v>
      </c>
      <c r="G349" s="30" t="s">
        <v>46</v>
      </c>
      <c r="H349" s="31"/>
      <c r="I349" s="31" t="s">
        <v>47</v>
      </c>
      <c r="J349" s="32" t="n">
        <v>1.0</v>
      </c>
      <c r="K349" s="33" t="n">
        <f>2564</f>
        <v>2564.0</v>
      </c>
      <c r="L349" s="34" t="s">
        <v>48</v>
      </c>
      <c r="M349" s="33" t="n">
        <f>2590</f>
        <v>2590.0</v>
      </c>
      <c r="N349" s="34" t="s">
        <v>82</v>
      </c>
      <c r="O349" s="33" t="n">
        <f>2469</f>
        <v>2469.0</v>
      </c>
      <c r="P349" s="34" t="s">
        <v>200</v>
      </c>
      <c r="Q349" s="33" t="n">
        <f>2485</f>
        <v>2485.0</v>
      </c>
      <c r="R349" s="34" t="s">
        <v>50</v>
      </c>
      <c r="S349" s="35" t="n">
        <f>2522.74</f>
        <v>2522.74</v>
      </c>
      <c r="T349" s="32" t="n">
        <f>929552</f>
        <v>929552.0</v>
      </c>
      <c r="U349" s="32" t="n">
        <f>630110</f>
        <v>630110.0</v>
      </c>
      <c r="V349" s="32" t="n">
        <f>2361240900</f>
        <v>2.3612409E9</v>
      </c>
      <c r="W349" s="32" t="n">
        <f>1610134451</f>
        <v>1.610134451E9</v>
      </c>
      <c r="X349" s="36" t="n">
        <f>19</f>
        <v>19.0</v>
      </c>
    </row>
    <row r="350">
      <c r="A350" s="27" t="s">
        <v>42</v>
      </c>
      <c r="B350" s="27" t="s">
        <v>1098</v>
      </c>
      <c r="C350" s="27" t="s">
        <v>1099</v>
      </c>
      <c r="D350" s="27" t="s">
        <v>1100</v>
      </c>
      <c r="E350" s="28" t="s">
        <v>46</v>
      </c>
      <c r="F350" s="29" t="s">
        <v>46</v>
      </c>
      <c r="G350" s="30" t="s">
        <v>46</v>
      </c>
      <c r="H350" s="31"/>
      <c r="I350" s="31" t="s">
        <v>47</v>
      </c>
      <c r="J350" s="32" t="n">
        <v>1.0</v>
      </c>
      <c r="K350" s="33" t="n">
        <f>3100</f>
        <v>3100.0</v>
      </c>
      <c r="L350" s="34" t="s">
        <v>48</v>
      </c>
      <c r="M350" s="33" t="n">
        <f>3116</f>
        <v>3116.0</v>
      </c>
      <c r="N350" s="34" t="s">
        <v>48</v>
      </c>
      <c r="O350" s="33" t="n">
        <f>2920</f>
        <v>2920.0</v>
      </c>
      <c r="P350" s="34" t="s">
        <v>49</v>
      </c>
      <c r="Q350" s="33" t="n">
        <f>3051</f>
        <v>3051.0</v>
      </c>
      <c r="R350" s="34" t="s">
        <v>50</v>
      </c>
      <c r="S350" s="35" t="n">
        <f>3014.32</f>
        <v>3014.32</v>
      </c>
      <c r="T350" s="32" t="n">
        <f>15585</f>
        <v>15585.0</v>
      </c>
      <c r="U350" s="32" t="str">
        <f>"－"</f>
        <v>－</v>
      </c>
      <c r="V350" s="32" t="n">
        <f>47728511</f>
        <v>4.7728511E7</v>
      </c>
      <c r="W350" s="32" t="str">
        <f>"－"</f>
        <v>－</v>
      </c>
      <c r="X350" s="36" t="n">
        <f>19</f>
        <v>19.0</v>
      </c>
    </row>
    <row r="351">
      <c r="A351" s="27" t="s">
        <v>42</v>
      </c>
      <c r="B351" s="27" t="s">
        <v>1101</v>
      </c>
      <c r="C351" s="27" t="s">
        <v>1102</v>
      </c>
      <c r="D351" s="27" t="s">
        <v>1103</v>
      </c>
      <c r="E351" s="28" t="s">
        <v>46</v>
      </c>
      <c r="F351" s="29" t="s">
        <v>46</v>
      </c>
      <c r="G351" s="30" t="s">
        <v>46</v>
      </c>
      <c r="H351" s="31"/>
      <c r="I351" s="31" t="s">
        <v>47</v>
      </c>
      <c r="J351" s="32" t="n">
        <v>1.0</v>
      </c>
      <c r="K351" s="33" t="n">
        <f>3076</f>
        <v>3076.0</v>
      </c>
      <c r="L351" s="34" t="s">
        <v>48</v>
      </c>
      <c r="M351" s="33" t="n">
        <f>3162</f>
        <v>3162.0</v>
      </c>
      <c r="N351" s="34" t="s">
        <v>66</v>
      </c>
      <c r="O351" s="33" t="n">
        <f>2973</f>
        <v>2973.0</v>
      </c>
      <c r="P351" s="34" t="s">
        <v>49</v>
      </c>
      <c r="Q351" s="33" t="n">
        <f>3106</f>
        <v>3106.0</v>
      </c>
      <c r="R351" s="34" t="s">
        <v>50</v>
      </c>
      <c r="S351" s="35" t="n">
        <f>3058</f>
        <v>3058.0</v>
      </c>
      <c r="T351" s="32" t="n">
        <f>2233</f>
        <v>2233.0</v>
      </c>
      <c r="U351" s="32" t="str">
        <f>"－"</f>
        <v>－</v>
      </c>
      <c r="V351" s="32" t="n">
        <f>6840699</f>
        <v>6840699.0</v>
      </c>
      <c r="W351" s="32" t="str">
        <f>"－"</f>
        <v>－</v>
      </c>
      <c r="X351" s="36" t="n">
        <f>17</f>
        <v>17.0</v>
      </c>
    </row>
    <row r="352">
      <c r="A352" s="27" t="s">
        <v>42</v>
      </c>
      <c r="B352" s="27" t="s">
        <v>1104</v>
      </c>
      <c r="C352" s="27" t="s">
        <v>1105</v>
      </c>
      <c r="D352" s="27" t="s">
        <v>1106</v>
      </c>
      <c r="E352" s="28" t="s">
        <v>46</v>
      </c>
      <c r="F352" s="29" t="s">
        <v>46</v>
      </c>
      <c r="G352" s="30" t="s">
        <v>46</v>
      </c>
      <c r="H352" s="31"/>
      <c r="I352" s="31" t="s">
        <v>47</v>
      </c>
      <c r="J352" s="32" t="n">
        <v>1.0</v>
      </c>
      <c r="K352" s="33" t="n">
        <f>5640</f>
        <v>5640.0</v>
      </c>
      <c r="L352" s="34" t="s">
        <v>48</v>
      </c>
      <c r="M352" s="33" t="n">
        <f>5699</f>
        <v>5699.0</v>
      </c>
      <c r="N352" s="34" t="s">
        <v>66</v>
      </c>
      <c r="O352" s="33" t="n">
        <f>5345</f>
        <v>5345.0</v>
      </c>
      <c r="P352" s="34" t="s">
        <v>49</v>
      </c>
      <c r="Q352" s="33" t="n">
        <f>5483</f>
        <v>5483.0</v>
      </c>
      <c r="R352" s="34" t="s">
        <v>50</v>
      </c>
      <c r="S352" s="35" t="n">
        <f>5502.84</f>
        <v>5502.84</v>
      </c>
      <c r="T352" s="32" t="n">
        <f>64784</f>
        <v>64784.0</v>
      </c>
      <c r="U352" s="32" t="n">
        <f>40000</f>
        <v>40000.0</v>
      </c>
      <c r="V352" s="32" t="n">
        <f>357352084</f>
        <v>3.57352084E8</v>
      </c>
      <c r="W352" s="32" t="n">
        <f>220818800</f>
        <v>2.208188E8</v>
      </c>
      <c r="X352" s="36" t="n">
        <f>19</f>
        <v>19.0</v>
      </c>
    </row>
    <row r="353">
      <c r="A353" s="27" t="s">
        <v>42</v>
      </c>
      <c r="B353" s="27" t="s">
        <v>1107</v>
      </c>
      <c r="C353" s="27" t="s">
        <v>1108</v>
      </c>
      <c r="D353" s="27" t="s">
        <v>1109</v>
      </c>
      <c r="E353" s="28" t="s">
        <v>46</v>
      </c>
      <c r="F353" s="29" t="s">
        <v>46</v>
      </c>
      <c r="G353" s="30" t="s">
        <v>46</v>
      </c>
      <c r="H353" s="31" t="s">
        <v>1110</v>
      </c>
      <c r="I353" s="31" t="s">
        <v>47</v>
      </c>
      <c r="J353" s="32" t="n">
        <v>10.0</v>
      </c>
      <c r="K353" s="33" t="n">
        <f>414.9</f>
        <v>414.9</v>
      </c>
      <c r="L353" s="34" t="s">
        <v>48</v>
      </c>
      <c r="M353" s="33" t="n">
        <f>416.2</f>
        <v>416.2</v>
      </c>
      <c r="N353" s="34" t="s">
        <v>66</v>
      </c>
      <c r="O353" s="33" t="n">
        <f>382.8</f>
        <v>382.8</v>
      </c>
      <c r="P353" s="34" t="s">
        <v>49</v>
      </c>
      <c r="Q353" s="33" t="n">
        <f>399.2</f>
        <v>399.2</v>
      </c>
      <c r="R353" s="34" t="s">
        <v>50</v>
      </c>
      <c r="S353" s="35" t="n">
        <f>396.9</f>
        <v>396.9</v>
      </c>
      <c r="T353" s="32" t="n">
        <f>435500</f>
        <v>435500.0</v>
      </c>
      <c r="U353" s="32" t="n">
        <f>100030</f>
        <v>100030.0</v>
      </c>
      <c r="V353" s="32" t="n">
        <f>173333491</f>
        <v>1.73333491E8</v>
      </c>
      <c r="W353" s="32" t="n">
        <f>39844249</f>
        <v>3.9844249E7</v>
      </c>
      <c r="X353" s="36" t="n">
        <f>19</f>
        <v>19.0</v>
      </c>
    </row>
    <row r="354">
      <c r="A354" s="27" t="s">
        <v>42</v>
      </c>
      <c r="B354" s="27" t="s">
        <v>1111</v>
      </c>
      <c r="C354" s="27" t="s">
        <v>1112</v>
      </c>
      <c r="D354" s="27" t="s">
        <v>1113</v>
      </c>
      <c r="E354" s="28" t="s">
        <v>46</v>
      </c>
      <c r="F354" s="29" t="s">
        <v>46</v>
      </c>
      <c r="G354" s="30" t="s">
        <v>46</v>
      </c>
      <c r="H354" s="31"/>
      <c r="I354" s="31" t="s">
        <v>47</v>
      </c>
      <c r="J354" s="32" t="n">
        <v>10.0</v>
      </c>
      <c r="K354" s="33" t="n">
        <f>175.6</f>
        <v>175.6</v>
      </c>
      <c r="L354" s="34" t="s">
        <v>48</v>
      </c>
      <c r="M354" s="33" t="n">
        <f>176.8</f>
        <v>176.8</v>
      </c>
      <c r="N354" s="34" t="s">
        <v>48</v>
      </c>
      <c r="O354" s="33" t="n">
        <f>167.2</f>
        <v>167.2</v>
      </c>
      <c r="P354" s="34" t="s">
        <v>78</v>
      </c>
      <c r="Q354" s="33" t="n">
        <f>167.8</f>
        <v>167.8</v>
      </c>
      <c r="R354" s="34" t="s">
        <v>50</v>
      </c>
      <c r="S354" s="35" t="n">
        <f>171.74</f>
        <v>171.74</v>
      </c>
      <c r="T354" s="32" t="n">
        <f>470010</f>
        <v>470010.0</v>
      </c>
      <c r="U354" s="32" t="n">
        <f>18980</f>
        <v>18980.0</v>
      </c>
      <c r="V354" s="32" t="n">
        <f>81211321</f>
        <v>8.1211321E7</v>
      </c>
      <c r="W354" s="32" t="n">
        <f>3219857</f>
        <v>3219857.0</v>
      </c>
      <c r="X354" s="36" t="n">
        <f>19</f>
        <v>19.0</v>
      </c>
    </row>
    <row r="355">
      <c r="A355" s="27" t="s">
        <v>42</v>
      </c>
      <c r="B355" s="27" t="s">
        <v>1114</v>
      </c>
      <c r="C355" s="27" t="s">
        <v>1115</v>
      </c>
      <c r="D355" s="27" t="s">
        <v>1116</v>
      </c>
      <c r="E355" s="28" t="s">
        <v>46</v>
      </c>
      <c r="F355" s="29" t="s">
        <v>46</v>
      </c>
      <c r="G355" s="30" t="s">
        <v>46</v>
      </c>
      <c r="H355" s="31"/>
      <c r="I355" s="31" t="s">
        <v>47</v>
      </c>
      <c r="J355" s="32" t="n">
        <v>10.0</v>
      </c>
      <c r="K355" s="33" t="n">
        <f>609.3</f>
        <v>609.3</v>
      </c>
      <c r="L355" s="34" t="s">
        <v>66</v>
      </c>
      <c r="M355" s="33" t="n">
        <f>617</f>
        <v>617.0</v>
      </c>
      <c r="N355" s="34" t="s">
        <v>98</v>
      </c>
      <c r="O355" s="33" t="n">
        <f>598</f>
        <v>598.0</v>
      </c>
      <c r="P355" s="34" t="s">
        <v>286</v>
      </c>
      <c r="Q355" s="33" t="n">
        <f>598.6</f>
        <v>598.6</v>
      </c>
      <c r="R355" s="34" t="s">
        <v>50</v>
      </c>
      <c r="S355" s="35" t="n">
        <f>603.88</f>
        <v>603.88</v>
      </c>
      <c r="T355" s="32" t="n">
        <f>1860</f>
        <v>1860.0</v>
      </c>
      <c r="U355" s="32" t="str">
        <f>"－"</f>
        <v>－</v>
      </c>
      <c r="V355" s="32" t="n">
        <f>1126710</f>
        <v>1126710.0</v>
      </c>
      <c r="W355" s="32" t="str">
        <f>"－"</f>
        <v>－</v>
      </c>
      <c r="X355" s="36" t="n">
        <f>15</f>
        <v>15.0</v>
      </c>
    </row>
    <row r="356">
      <c r="A356" s="27" t="s">
        <v>42</v>
      </c>
      <c r="B356" s="27" t="s">
        <v>1117</v>
      </c>
      <c r="C356" s="27" t="s">
        <v>1118</v>
      </c>
      <c r="D356" s="27" t="s">
        <v>1119</v>
      </c>
      <c r="E356" s="28" t="s">
        <v>46</v>
      </c>
      <c r="F356" s="29" t="s">
        <v>46</v>
      </c>
      <c r="G356" s="30" t="s">
        <v>46</v>
      </c>
      <c r="H356" s="31"/>
      <c r="I356" s="31" t="s">
        <v>47</v>
      </c>
      <c r="J356" s="32" t="n">
        <v>1.0</v>
      </c>
      <c r="K356" s="33" t="n">
        <f>2856</f>
        <v>2856.0</v>
      </c>
      <c r="L356" s="34" t="s">
        <v>48</v>
      </c>
      <c r="M356" s="33" t="n">
        <f>2856</f>
        <v>2856.0</v>
      </c>
      <c r="N356" s="34" t="s">
        <v>48</v>
      </c>
      <c r="O356" s="33" t="n">
        <f>2535</f>
        <v>2535.0</v>
      </c>
      <c r="P356" s="34" t="s">
        <v>49</v>
      </c>
      <c r="Q356" s="33" t="n">
        <f>2804</f>
        <v>2804.0</v>
      </c>
      <c r="R356" s="34" t="s">
        <v>50</v>
      </c>
      <c r="S356" s="35" t="n">
        <f>2713.16</f>
        <v>2713.16</v>
      </c>
      <c r="T356" s="32" t="n">
        <f>1068351</f>
        <v>1068351.0</v>
      </c>
      <c r="U356" s="32" t="n">
        <f>3500</f>
        <v>3500.0</v>
      </c>
      <c r="V356" s="32" t="n">
        <f>2890476386</f>
        <v>2.890476386E9</v>
      </c>
      <c r="W356" s="32" t="n">
        <f>9263275</f>
        <v>9263275.0</v>
      </c>
      <c r="X356" s="36" t="n">
        <f>19</f>
        <v>19.0</v>
      </c>
    </row>
    <row r="357">
      <c r="A357" s="27" t="s">
        <v>42</v>
      </c>
      <c r="B357" s="27" t="s">
        <v>1120</v>
      </c>
      <c r="C357" s="27" t="s">
        <v>1121</v>
      </c>
      <c r="D357" s="27" t="s">
        <v>1122</v>
      </c>
      <c r="E357" s="28" t="s">
        <v>46</v>
      </c>
      <c r="F357" s="29" t="s">
        <v>46</v>
      </c>
      <c r="G357" s="30" t="s">
        <v>46</v>
      </c>
      <c r="H357" s="31"/>
      <c r="I357" s="31" t="s">
        <v>47</v>
      </c>
      <c r="J357" s="32" t="n">
        <v>1.0</v>
      </c>
      <c r="K357" s="33" t="n">
        <f>955</f>
        <v>955.0</v>
      </c>
      <c r="L357" s="34" t="s">
        <v>48</v>
      </c>
      <c r="M357" s="33" t="n">
        <f>955</f>
        <v>955.0</v>
      </c>
      <c r="N357" s="34" t="s">
        <v>48</v>
      </c>
      <c r="O357" s="33" t="n">
        <f>896</f>
        <v>896.0</v>
      </c>
      <c r="P357" s="34" t="s">
        <v>50</v>
      </c>
      <c r="Q357" s="33" t="n">
        <f>902</f>
        <v>902.0</v>
      </c>
      <c r="R357" s="34" t="s">
        <v>50</v>
      </c>
      <c r="S357" s="35" t="n">
        <f>920.63</f>
        <v>920.63</v>
      </c>
      <c r="T357" s="32" t="n">
        <f>83530</f>
        <v>83530.0</v>
      </c>
      <c r="U357" s="32" t="str">
        <f>"－"</f>
        <v>－</v>
      </c>
      <c r="V357" s="32" t="n">
        <f>77775375</f>
        <v>7.7775375E7</v>
      </c>
      <c r="W357" s="32" t="str">
        <f>"－"</f>
        <v>－</v>
      </c>
      <c r="X357" s="36" t="n">
        <f>19</f>
        <v>19.0</v>
      </c>
    </row>
    <row r="358">
      <c r="A358" s="27" t="s">
        <v>42</v>
      </c>
      <c r="B358" s="27" t="s">
        <v>1123</v>
      </c>
      <c r="C358" s="27" t="s">
        <v>1124</v>
      </c>
      <c r="D358" s="27" t="s">
        <v>1125</v>
      </c>
      <c r="E358" s="28" t="s">
        <v>46</v>
      </c>
      <c r="F358" s="29" t="s">
        <v>46</v>
      </c>
      <c r="G358" s="30" t="s">
        <v>46</v>
      </c>
      <c r="H358" s="31"/>
      <c r="I358" s="31" t="s">
        <v>47</v>
      </c>
      <c r="J358" s="32" t="n">
        <v>10.0</v>
      </c>
      <c r="K358" s="33" t="n">
        <f>644.8</f>
        <v>644.8</v>
      </c>
      <c r="L358" s="34" t="s">
        <v>48</v>
      </c>
      <c r="M358" s="33" t="n">
        <f>646.8</f>
        <v>646.8</v>
      </c>
      <c r="N358" s="34" t="s">
        <v>98</v>
      </c>
      <c r="O358" s="33" t="n">
        <f>631.4</f>
        <v>631.4</v>
      </c>
      <c r="P358" s="34" t="s">
        <v>78</v>
      </c>
      <c r="Q358" s="33" t="n">
        <f>632.9</f>
        <v>632.9</v>
      </c>
      <c r="R358" s="34" t="s">
        <v>50</v>
      </c>
      <c r="S358" s="35" t="n">
        <f>639.46</f>
        <v>639.46</v>
      </c>
      <c r="T358" s="32" t="n">
        <f>3136340</f>
        <v>3136340.0</v>
      </c>
      <c r="U358" s="32" t="n">
        <f>2173480</f>
        <v>2173480.0</v>
      </c>
      <c r="V358" s="32" t="n">
        <f>1992878675</f>
        <v>1.992878675E9</v>
      </c>
      <c r="W358" s="32" t="n">
        <f>1376673872</f>
        <v>1.376673872E9</v>
      </c>
      <c r="X358" s="36" t="n">
        <f>19</f>
        <v>19.0</v>
      </c>
    </row>
    <row r="359">
      <c r="A359" s="27" t="s">
        <v>42</v>
      </c>
      <c r="B359" s="27" t="s">
        <v>1126</v>
      </c>
      <c r="C359" s="27" t="s">
        <v>1127</v>
      </c>
      <c r="D359" s="27" t="s">
        <v>1128</v>
      </c>
      <c r="E359" s="28" t="s">
        <v>46</v>
      </c>
      <c r="F359" s="29" t="s">
        <v>46</v>
      </c>
      <c r="G359" s="30" t="s">
        <v>46</v>
      </c>
      <c r="H359" s="31"/>
      <c r="I359" s="31" t="s">
        <v>47</v>
      </c>
      <c r="J359" s="32" t="n">
        <v>10.0</v>
      </c>
      <c r="K359" s="33" t="n">
        <f>622.1</f>
        <v>622.1</v>
      </c>
      <c r="L359" s="34" t="s">
        <v>48</v>
      </c>
      <c r="M359" s="33" t="n">
        <f>622.8</f>
        <v>622.8</v>
      </c>
      <c r="N359" s="34" t="s">
        <v>82</v>
      </c>
      <c r="O359" s="33" t="n">
        <f>610</f>
        <v>610.0</v>
      </c>
      <c r="P359" s="34" t="s">
        <v>71</v>
      </c>
      <c r="Q359" s="33" t="n">
        <f>611.4</f>
        <v>611.4</v>
      </c>
      <c r="R359" s="34" t="s">
        <v>50</v>
      </c>
      <c r="S359" s="35" t="n">
        <f>615.52</f>
        <v>615.52</v>
      </c>
      <c r="T359" s="32" t="n">
        <f>3277350</f>
        <v>3277350.0</v>
      </c>
      <c r="U359" s="32" t="n">
        <f>1953840</f>
        <v>1953840.0</v>
      </c>
      <c r="V359" s="32" t="n">
        <f>2010313602</f>
        <v>2.010313602E9</v>
      </c>
      <c r="W359" s="32" t="n">
        <f>1197212866</f>
        <v>1.197212866E9</v>
      </c>
      <c r="X359" s="36" t="n">
        <f>18</f>
        <v>18.0</v>
      </c>
    </row>
    <row r="360">
      <c r="A360" s="27" t="s">
        <v>42</v>
      </c>
      <c r="B360" s="27" t="s">
        <v>1129</v>
      </c>
      <c r="C360" s="27" t="s">
        <v>1130</v>
      </c>
      <c r="D360" s="27" t="s">
        <v>1131</v>
      </c>
      <c r="E360" s="28" t="s">
        <v>46</v>
      </c>
      <c r="F360" s="29" t="s">
        <v>46</v>
      </c>
      <c r="G360" s="30" t="s">
        <v>46</v>
      </c>
      <c r="H360" s="31"/>
      <c r="I360" s="31" t="s">
        <v>47</v>
      </c>
      <c r="J360" s="32" t="n">
        <v>1.0</v>
      </c>
      <c r="K360" s="33" t="n">
        <f>1523</f>
        <v>1523.0</v>
      </c>
      <c r="L360" s="34" t="s">
        <v>48</v>
      </c>
      <c r="M360" s="33" t="n">
        <f>1549</f>
        <v>1549.0</v>
      </c>
      <c r="N360" s="34" t="s">
        <v>49</v>
      </c>
      <c r="O360" s="33" t="n">
        <f>1450</f>
        <v>1450.0</v>
      </c>
      <c r="P360" s="34" t="s">
        <v>49</v>
      </c>
      <c r="Q360" s="33" t="n">
        <f>1540</f>
        <v>1540.0</v>
      </c>
      <c r="R360" s="34" t="s">
        <v>50</v>
      </c>
      <c r="S360" s="35" t="n">
        <f>1506.21</f>
        <v>1506.21</v>
      </c>
      <c r="T360" s="32" t="n">
        <f>18064</f>
        <v>18064.0</v>
      </c>
      <c r="U360" s="32" t="str">
        <f>"－"</f>
        <v>－</v>
      </c>
      <c r="V360" s="32" t="n">
        <f>27178326</f>
        <v>2.7178326E7</v>
      </c>
      <c r="W360" s="32" t="str">
        <f>"－"</f>
        <v>－</v>
      </c>
      <c r="X360" s="36" t="n">
        <f>19</f>
        <v>19.0</v>
      </c>
    </row>
    <row r="361">
      <c r="A361" s="27" t="s">
        <v>42</v>
      </c>
      <c r="B361" s="27" t="s">
        <v>1132</v>
      </c>
      <c r="C361" s="27" t="s">
        <v>1133</v>
      </c>
      <c r="D361" s="27" t="s">
        <v>1134</v>
      </c>
      <c r="E361" s="28" t="s">
        <v>46</v>
      </c>
      <c r="F361" s="29" t="s">
        <v>46</v>
      </c>
      <c r="G361" s="30" t="s">
        <v>46</v>
      </c>
      <c r="H361" s="31"/>
      <c r="I361" s="31" t="s">
        <v>47</v>
      </c>
      <c r="J361" s="32" t="n">
        <v>1.0</v>
      </c>
      <c r="K361" s="33" t="n">
        <f>3239</f>
        <v>3239.0</v>
      </c>
      <c r="L361" s="34" t="s">
        <v>48</v>
      </c>
      <c r="M361" s="33" t="n">
        <f>3239</f>
        <v>3239.0</v>
      </c>
      <c r="N361" s="34" t="s">
        <v>48</v>
      </c>
      <c r="O361" s="33" t="n">
        <f>3142</f>
        <v>3142.0</v>
      </c>
      <c r="P361" s="34" t="s">
        <v>308</v>
      </c>
      <c r="Q361" s="33" t="n">
        <f>3197</f>
        <v>3197.0</v>
      </c>
      <c r="R361" s="34" t="s">
        <v>50</v>
      </c>
      <c r="S361" s="35" t="n">
        <f>3184.37</f>
        <v>3184.37</v>
      </c>
      <c r="T361" s="32" t="n">
        <f>150856</f>
        <v>150856.0</v>
      </c>
      <c r="U361" s="32" t="n">
        <f>63490</f>
        <v>63490.0</v>
      </c>
      <c r="V361" s="32" t="n">
        <f>478209600</f>
        <v>4.782096E8</v>
      </c>
      <c r="W361" s="32" t="n">
        <f>200229845</f>
        <v>2.00229845E8</v>
      </c>
      <c r="X361" s="36" t="n">
        <f>19</f>
        <v>19.0</v>
      </c>
    </row>
    <row r="362">
      <c r="A362" s="27" t="s">
        <v>42</v>
      </c>
      <c r="B362" s="27" t="s">
        <v>1135</v>
      </c>
      <c r="C362" s="27" t="s">
        <v>1136</v>
      </c>
      <c r="D362" s="27" t="s">
        <v>1137</v>
      </c>
      <c r="E362" s="28" t="s">
        <v>46</v>
      </c>
      <c r="F362" s="29" t="s">
        <v>46</v>
      </c>
      <c r="G362" s="30" t="s">
        <v>46</v>
      </c>
      <c r="H362" s="31"/>
      <c r="I362" s="31" t="s">
        <v>47</v>
      </c>
      <c r="J362" s="32" t="n">
        <v>1.0</v>
      </c>
      <c r="K362" s="33" t="n">
        <f>3316</f>
        <v>3316.0</v>
      </c>
      <c r="L362" s="34" t="s">
        <v>48</v>
      </c>
      <c r="M362" s="33" t="n">
        <f>3316</f>
        <v>3316.0</v>
      </c>
      <c r="N362" s="34" t="s">
        <v>48</v>
      </c>
      <c r="O362" s="33" t="n">
        <f>3165</f>
        <v>3165.0</v>
      </c>
      <c r="P362" s="34" t="s">
        <v>49</v>
      </c>
      <c r="Q362" s="33" t="n">
        <f>3206</f>
        <v>3206.0</v>
      </c>
      <c r="R362" s="34" t="s">
        <v>50</v>
      </c>
      <c r="S362" s="35" t="n">
        <f>3231</f>
        <v>3231.0</v>
      </c>
      <c r="T362" s="32" t="n">
        <f>21302</f>
        <v>21302.0</v>
      </c>
      <c r="U362" s="32" t="n">
        <f>620</f>
        <v>620.0</v>
      </c>
      <c r="V362" s="32" t="n">
        <f>69051984</f>
        <v>6.9051984E7</v>
      </c>
      <c r="W362" s="32" t="n">
        <f>1984860</f>
        <v>1984860.0</v>
      </c>
      <c r="X362" s="36" t="n">
        <f>19</f>
        <v>19.0</v>
      </c>
    </row>
    <row r="363">
      <c r="A363" s="27" t="s">
        <v>42</v>
      </c>
      <c r="B363" s="27" t="s">
        <v>1138</v>
      </c>
      <c r="C363" s="27" t="s">
        <v>1139</v>
      </c>
      <c r="D363" s="27" t="s">
        <v>1140</v>
      </c>
      <c r="E363" s="28" t="s">
        <v>46</v>
      </c>
      <c r="F363" s="29" t="s">
        <v>46</v>
      </c>
      <c r="G363" s="30" t="s">
        <v>46</v>
      </c>
      <c r="H363" s="31"/>
      <c r="I363" s="31" t="s">
        <v>47</v>
      </c>
      <c r="J363" s="32" t="n">
        <v>1.0</v>
      </c>
      <c r="K363" s="33" t="n">
        <f>5660</f>
        <v>5660.0</v>
      </c>
      <c r="L363" s="34" t="s">
        <v>48</v>
      </c>
      <c r="M363" s="33" t="n">
        <f>5735</f>
        <v>5735.0</v>
      </c>
      <c r="N363" s="34" t="s">
        <v>66</v>
      </c>
      <c r="O363" s="33" t="n">
        <f>5184</f>
        <v>5184.0</v>
      </c>
      <c r="P363" s="34" t="s">
        <v>50</v>
      </c>
      <c r="Q363" s="33" t="n">
        <f>5202</f>
        <v>5202.0</v>
      </c>
      <c r="R363" s="34" t="s">
        <v>50</v>
      </c>
      <c r="S363" s="35" t="n">
        <f>5381.53</f>
        <v>5381.53</v>
      </c>
      <c r="T363" s="32" t="n">
        <f>95947</f>
        <v>95947.0</v>
      </c>
      <c r="U363" s="32" t="n">
        <f>55580</f>
        <v>55580.0</v>
      </c>
      <c r="V363" s="32" t="n">
        <f>515917694</f>
        <v>5.15917694E8</v>
      </c>
      <c r="W363" s="32" t="n">
        <f>299967763</f>
        <v>2.99967763E8</v>
      </c>
      <c r="X363" s="36" t="n">
        <f>19</f>
        <v>19.0</v>
      </c>
    </row>
    <row r="364">
      <c r="A364" s="27" t="s">
        <v>42</v>
      </c>
      <c r="B364" s="27" t="s">
        <v>1141</v>
      </c>
      <c r="C364" s="27" t="s">
        <v>1142</v>
      </c>
      <c r="D364" s="27" t="s">
        <v>1143</v>
      </c>
      <c r="E364" s="28" t="s">
        <v>46</v>
      </c>
      <c r="F364" s="29" t="s">
        <v>46</v>
      </c>
      <c r="G364" s="30" t="s">
        <v>46</v>
      </c>
      <c r="H364" s="31"/>
      <c r="I364" s="31" t="s">
        <v>47</v>
      </c>
      <c r="J364" s="32" t="n">
        <v>1.0</v>
      </c>
      <c r="K364" s="33" t="n">
        <f>3834</f>
        <v>3834.0</v>
      </c>
      <c r="L364" s="34" t="s">
        <v>48</v>
      </c>
      <c r="M364" s="33" t="n">
        <f>3879</f>
        <v>3879.0</v>
      </c>
      <c r="N364" s="34" t="s">
        <v>71</v>
      </c>
      <c r="O364" s="33" t="n">
        <f>3691</f>
        <v>3691.0</v>
      </c>
      <c r="P364" s="34" t="s">
        <v>50</v>
      </c>
      <c r="Q364" s="33" t="n">
        <f>3693</f>
        <v>3693.0</v>
      </c>
      <c r="R364" s="34" t="s">
        <v>50</v>
      </c>
      <c r="S364" s="35" t="n">
        <f>3772.08</f>
        <v>3772.08</v>
      </c>
      <c r="T364" s="32" t="n">
        <f>208</f>
        <v>208.0</v>
      </c>
      <c r="U364" s="32" t="str">
        <f>"－"</f>
        <v>－</v>
      </c>
      <c r="V364" s="32" t="n">
        <f>792326</f>
        <v>792326.0</v>
      </c>
      <c r="W364" s="32" t="str">
        <f>"－"</f>
        <v>－</v>
      </c>
      <c r="X364" s="36" t="n">
        <f>13</f>
        <v>13.0</v>
      </c>
    </row>
    <row r="365">
      <c r="A365" s="27" t="s">
        <v>42</v>
      </c>
      <c r="B365" s="27" t="s">
        <v>1144</v>
      </c>
      <c r="C365" s="27" t="s">
        <v>1145</v>
      </c>
      <c r="D365" s="27" t="s">
        <v>1146</v>
      </c>
      <c r="E365" s="28" t="s">
        <v>46</v>
      </c>
      <c r="F365" s="29" t="s">
        <v>46</v>
      </c>
      <c r="G365" s="30" t="s">
        <v>46</v>
      </c>
      <c r="H365" s="31"/>
      <c r="I365" s="31" t="s">
        <v>47</v>
      </c>
      <c r="J365" s="32" t="n">
        <v>1.0</v>
      </c>
      <c r="K365" s="33" t="n">
        <f>1363</f>
        <v>1363.0</v>
      </c>
      <c r="L365" s="34" t="s">
        <v>48</v>
      </c>
      <c r="M365" s="33" t="n">
        <f>1363</f>
        <v>1363.0</v>
      </c>
      <c r="N365" s="34" t="s">
        <v>48</v>
      </c>
      <c r="O365" s="33" t="n">
        <f>1269</f>
        <v>1269.0</v>
      </c>
      <c r="P365" s="34" t="s">
        <v>78</v>
      </c>
      <c r="Q365" s="33" t="n">
        <f>1274</f>
        <v>1274.0</v>
      </c>
      <c r="R365" s="34" t="s">
        <v>50</v>
      </c>
      <c r="S365" s="35" t="n">
        <f>1295.68</f>
        <v>1295.68</v>
      </c>
      <c r="T365" s="32" t="n">
        <f>9159</f>
        <v>9159.0</v>
      </c>
      <c r="U365" s="32" t="str">
        <f>"－"</f>
        <v>－</v>
      </c>
      <c r="V365" s="32" t="n">
        <f>11754107</f>
        <v>1.1754107E7</v>
      </c>
      <c r="W365" s="32" t="str">
        <f>"－"</f>
        <v>－</v>
      </c>
      <c r="X365" s="36" t="n">
        <f>19</f>
        <v>19.0</v>
      </c>
    </row>
    <row r="366">
      <c r="A366" s="27" t="s">
        <v>42</v>
      </c>
      <c r="B366" s="27" t="s">
        <v>1147</v>
      </c>
      <c r="C366" s="27" t="s">
        <v>1148</v>
      </c>
      <c r="D366" s="27" t="s">
        <v>1149</v>
      </c>
      <c r="E366" s="28" t="s">
        <v>46</v>
      </c>
      <c r="F366" s="29" t="s">
        <v>46</v>
      </c>
      <c r="G366" s="30" t="s">
        <v>46</v>
      </c>
      <c r="H366" s="31"/>
      <c r="I366" s="31" t="s">
        <v>47</v>
      </c>
      <c r="J366" s="32" t="n">
        <v>1.0</v>
      </c>
      <c r="K366" s="33" t="n">
        <f>1289</f>
        <v>1289.0</v>
      </c>
      <c r="L366" s="34" t="s">
        <v>48</v>
      </c>
      <c r="M366" s="33" t="n">
        <f>1300</f>
        <v>1300.0</v>
      </c>
      <c r="N366" s="34" t="s">
        <v>200</v>
      </c>
      <c r="O366" s="33" t="n">
        <f>1229</f>
        <v>1229.0</v>
      </c>
      <c r="P366" s="34" t="s">
        <v>71</v>
      </c>
      <c r="Q366" s="33" t="n">
        <f>1288</f>
        <v>1288.0</v>
      </c>
      <c r="R366" s="34" t="s">
        <v>50</v>
      </c>
      <c r="S366" s="35" t="n">
        <f>1265.95</f>
        <v>1265.95</v>
      </c>
      <c r="T366" s="32" t="n">
        <f>6783893</f>
        <v>6783893.0</v>
      </c>
      <c r="U366" s="32" t="n">
        <f>1622</f>
        <v>1622.0</v>
      </c>
      <c r="V366" s="32" t="n">
        <f>8577884191</f>
        <v>8.577884191E9</v>
      </c>
      <c r="W366" s="32" t="n">
        <f>2068729</f>
        <v>2068729.0</v>
      </c>
      <c r="X366" s="36" t="n">
        <f>19</f>
        <v>19.0</v>
      </c>
    </row>
    <row r="367">
      <c r="A367" s="27" t="s">
        <v>42</v>
      </c>
      <c r="B367" s="27" t="s">
        <v>1150</v>
      </c>
      <c r="C367" s="27" t="s">
        <v>1151</v>
      </c>
      <c r="D367" s="27" t="s">
        <v>1152</v>
      </c>
      <c r="E367" s="28" t="s">
        <v>46</v>
      </c>
      <c r="F367" s="29" t="s">
        <v>46</v>
      </c>
      <c r="G367" s="30" t="s">
        <v>46</v>
      </c>
      <c r="H367" s="31"/>
      <c r="I367" s="31" t="s">
        <v>47</v>
      </c>
      <c r="J367" s="32" t="n">
        <v>1.0</v>
      </c>
      <c r="K367" s="33" t="n">
        <f>987</f>
        <v>987.0</v>
      </c>
      <c r="L367" s="34" t="s">
        <v>48</v>
      </c>
      <c r="M367" s="33" t="n">
        <f>989</f>
        <v>989.0</v>
      </c>
      <c r="N367" s="34" t="s">
        <v>48</v>
      </c>
      <c r="O367" s="33" t="n">
        <f>929</f>
        <v>929.0</v>
      </c>
      <c r="P367" s="34" t="s">
        <v>50</v>
      </c>
      <c r="Q367" s="33" t="n">
        <f>933</f>
        <v>933.0</v>
      </c>
      <c r="R367" s="34" t="s">
        <v>50</v>
      </c>
      <c r="S367" s="35" t="n">
        <f>950.53</f>
        <v>950.53</v>
      </c>
      <c r="T367" s="32" t="n">
        <f>951171</f>
        <v>951171.0</v>
      </c>
      <c r="U367" s="32" t="n">
        <f>53</f>
        <v>53.0</v>
      </c>
      <c r="V367" s="32" t="n">
        <f>905186077</f>
        <v>9.05186077E8</v>
      </c>
      <c r="W367" s="32" t="n">
        <f>50465</f>
        <v>50465.0</v>
      </c>
      <c r="X367" s="36" t="n">
        <f>19</f>
        <v>19.0</v>
      </c>
    </row>
    <row r="368">
      <c r="A368" s="27" t="s">
        <v>42</v>
      </c>
      <c r="B368" s="27" t="s">
        <v>1153</v>
      </c>
      <c r="C368" s="27" t="s">
        <v>1154</v>
      </c>
      <c r="D368" s="27" t="s">
        <v>1155</v>
      </c>
      <c r="E368" s="28" t="s">
        <v>46</v>
      </c>
      <c r="F368" s="29" t="s">
        <v>46</v>
      </c>
      <c r="G368" s="30" t="s">
        <v>46</v>
      </c>
      <c r="H368" s="31"/>
      <c r="I368" s="31" t="s">
        <v>47</v>
      </c>
      <c r="J368" s="32" t="n">
        <v>1.0</v>
      </c>
      <c r="K368" s="33" t="n">
        <f>1749</f>
        <v>1749.0</v>
      </c>
      <c r="L368" s="34" t="s">
        <v>48</v>
      </c>
      <c r="M368" s="33" t="n">
        <f>1850</f>
        <v>1850.0</v>
      </c>
      <c r="N368" s="34" t="s">
        <v>82</v>
      </c>
      <c r="O368" s="33" t="n">
        <f>1610</f>
        <v>1610.0</v>
      </c>
      <c r="P368" s="34" t="s">
        <v>71</v>
      </c>
      <c r="Q368" s="33" t="n">
        <f>1639</f>
        <v>1639.0</v>
      </c>
      <c r="R368" s="34" t="s">
        <v>50</v>
      </c>
      <c r="S368" s="35" t="n">
        <f>1670.63</f>
        <v>1670.63</v>
      </c>
      <c r="T368" s="32" t="n">
        <f>35263</f>
        <v>35263.0</v>
      </c>
      <c r="U368" s="32" t="str">
        <f>"－"</f>
        <v>－</v>
      </c>
      <c r="V368" s="32" t="n">
        <f>59567110</f>
        <v>5.956711E7</v>
      </c>
      <c r="W368" s="32" t="str">
        <f>"－"</f>
        <v>－</v>
      </c>
      <c r="X368" s="36" t="n">
        <f>19</f>
        <v>19.0</v>
      </c>
    </row>
    <row r="369">
      <c r="A369" s="27" t="s">
        <v>42</v>
      </c>
      <c r="B369" s="27" t="s">
        <v>1156</v>
      </c>
      <c r="C369" s="27" t="s">
        <v>1157</v>
      </c>
      <c r="D369" s="27" t="s">
        <v>1158</v>
      </c>
      <c r="E369" s="28" t="s">
        <v>46</v>
      </c>
      <c r="F369" s="29" t="s">
        <v>46</v>
      </c>
      <c r="G369" s="30" t="s">
        <v>46</v>
      </c>
      <c r="H369" s="31"/>
      <c r="I369" s="31" t="s">
        <v>47</v>
      </c>
      <c r="J369" s="32" t="n">
        <v>1.0</v>
      </c>
      <c r="K369" s="33" t="n">
        <f>1153</f>
        <v>1153.0</v>
      </c>
      <c r="L369" s="34" t="s">
        <v>48</v>
      </c>
      <c r="M369" s="33" t="n">
        <f>1155</f>
        <v>1155.0</v>
      </c>
      <c r="N369" s="34" t="s">
        <v>48</v>
      </c>
      <c r="O369" s="33" t="n">
        <f>1098</f>
        <v>1098.0</v>
      </c>
      <c r="P369" s="34" t="s">
        <v>217</v>
      </c>
      <c r="Q369" s="33" t="n">
        <f>1135</f>
        <v>1135.0</v>
      </c>
      <c r="R369" s="34" t="s">
        <v>50</v>
      </c>
      <c r="S369" s="35" t="n">
        <f>1126.11</f>
        <v>1126.11</v>
      </c>
      <c r="T369" s="32" t="n">
        <f>1209530</f>
        <v>1209530.0</v>
      </c>
      <c r="U369" s="32" t="n">
        <f>37</f>
        <v>37.0</v>
      </c>
      <c r="V369" s="32" t="n">
        <f>1363122732</f>
        <v>1.363122732E9</v>
      </c>
      <c r="W369" s="32" t="n">
        <f>41500</f>
        <v>41500.0</v>
      </c>
      <c r="X369" s="36" t="n">
        <f>19</f>
        <v>19.0</v>
      </c>
    </row>
    <row r="370">
      <c r="A370" s="27" t="s">
        <v>42</v>
      </c>
      <c r="B370" s="27" t="s">
        <v>1159</v>
      </c>
      <c r="C370" s="27" t="s">
        <v>1160</v>
      </c>
      <c r="D370" s="27" t="s">
        <v>1161</v>
      </c>
      <c r="E370" s="28" t="s">
        <v>46</v>
      </c>
      <c r="F370" s="29" t="s">
        <v>46</v>
      </c>
      <c r="G370" s="30" t="s">
        <v>46</v>
      </c>
      <c r="H370" s="31"/>
      <c r="I370" s="31" t="s">
        <v>47</v>
      </c>
      <c r="J370" s="32" t="n">
        <v>1.0</v>
      </c>
      <c r="K370" s="33" t="n">
        <f>2928</f>
        <v>2928.0</v>
      </c>
      <c r="L370" s="34" t="s">
        <v>48</v>
      </c>
      <c r="M370" s="33" t="n">
        <f>3190</f>
        <v>3190.0</v>
      </c>
      <c r="N370" s="34" t="s">
        <v>200</v>
      </c>
      <c r="O370" s="33" t="n">
        <f>2809</f>
        <v>2809.0</v>
      </c>
      <c r="P370" s="34" t="s">
        <v>67</v>
      </c>
      <c r="Q370" s="33" t="n">
        <f>3090</f>
        <v>3090.0</v>
      </c>
      <c r="R370" s="34" t="s">
        <v>50</v>
      </c>
      <c r="S370" s="35" t="n">
        <f>2943.37</f>
        <v>2943.37</v>
      </c>
      <c r="T370" s="32" t="n">
        <f>3836717</f>
        <v>3836717.0</v>
      </c>
      <c r="U370" s="32" t="n">
        <f>17995</f>
        <v>17995.0</v>
      </c>
      <c r="V370" s="32" t="n">
        <f>11322756579</f>
        <v>1.1322756579E10</v>
      </c>
      <c r="W370" s="32" t="n">
        <f>52891933</f>
        <v>5.2891933E7</v>
      </c>
      <c r="X370" s="36" t="n">
        <f>19</f>
        <v>19.0</v>
      </c>
    </row>
    <row r="371">
      <c r="A371" s="27" t="s">
        <v>42</v>
      </c>
      <c r="B371" s="27" t="s">
        <v>1162</v>
      </c>
      <c r="C371" s="27" t="s">
        <v>1163</v>
      </c>
      <c r="D371" s="27" t="s">
        <v>1164</v>
      </c>
      <c r="E371" s="28" t="s">
        <v>46</v>
      </c>
      <c r="F371" s="29" t="s">
        <v>46</v>
      </c>
      <c r="G371" s="30" t="s">
        <v>46</v>
      </c>
      <c r="H371" s="31"/>
      <c r="I371" s="31" t="s">
        <v>47</v>
      </c>
      <c r="J371" s="32" t="n">
        <v>1.0</v>
      </c>
      <c r="K371" s="33" t="n">
        <f>7617</f>
        <v>7617.0</v>
      </c>
      <c r="L371" s="34" t="s">
        <v>48</v>
      </c>
      <c r="M371" s="33" t="n">
        <f>7891</f>
        <v>7891.0</v>
      </c>
      <c r="N371" s="34" t="s">
        <v>67</v>
      </c>
      <c r="O371" s="33" t="n">
        <f>7020</f>
        <v>7020.0</v>
      </c>
      <c r="P371" s="34" t="s">
        <v>200</v>
      </c>
      <c r="Q371" s="33" t="n">
        <f>7135</f>
        <v>7135.0</v>
      </c>
      <c r="R371" s="34" t="s">
        <v>50</v>
      </c>
      <c r="S371" s="35" t="n">
        <f>7537.47</f>
        <v>7537.47</v>
      </c>
      <c r="T371" s="32" t="n">
        <f>339034</f>
        <v>339034.0</v>
      </c>
      <c r="U371" s="32" t="n">
        <f>456</f>
        <v>456.0</v>
      </c>
      <c r="V371" s="32" t="n">
        <f>2544324337</f>
        <v>2.544324337E9</v>
      </c>
      <c r="W371" s="32" t="n">
        <f>3437676</f>
        <v>3437676.0</v>
      </c>
      <c r="X371" s="36" t="n">
        <f>19</f>
        <v>19.0</v>
      </c>
    </row>
    <row r="372">
      <c r="A372" s="27" t="s">
        <v>42</v>
      </c>
      <c r="B372" s="27" t="s">
        <v>1165</v>
      </c>
      <c r="C372" s="27" t="s">
        <v>1166</v>
      </c>
      <c r="D372" s="27" t="s">
        <v>1167</v>
      </c>
      <c r="E372" s="28" t="s">
        <v>46</v>
      </c>
      <c r="F372" s="29" t="s">
        <v>46</v>
      </c>
      <c r="G372" s="30" t="s">
        <v>46</v>
      </c>
      <c r="H372" s="31"/>
      <c r="I372" s="31" t="s">
        <v>47</v>
      </c>
      <c r="J372" s="32" t="n">
        <v>1.0</v>
      </c>
      <c r="K372" s="33" t="n">
        <f>2976</f>
        <v>2976.0</v>
      </c>
      <c r="L372" s="34" t="s">
        <v>48</v>
      </c>
      <c r="M372" s="33" t="n">
        <f>3000</f>
        <v>3000.0</v>
      </c>
      <c r="N372" s="34" t="s">
        <v>50</v>
      </c>
      <c r="O372" s="33" t="n">
        <f>2859</f>
        <v>2859.0</v>
      </c>
      <c r="P372" s="34" t="s">
        <v>49</v>
      </c>
      <c r="Q372" s="33" t="n">
        <f>3000</f>
        <v>3000.0</v>
      </c>
      <c r="R372" s="34" t="s">
        <v>50</v>
      </c>
      <c r="S372" s="35" t="n">
        <f>2930.73</f>
        <v>2930.73</v>
      </c>
      <c r="T372" s="32" t="n">
        <f>1142</f>
        <v>1142.0</v>
      </c>
      <c r="U372" s="32" t="str">
        <f>"－"</f>
        <v>－</v>
      </c>
      <c r="V372" s="32" t="n">
        <f>3359095</f>
        <v>3359095.0</v>
      </c>
      <c r="W372" s="32" t="str">
        <f>"－"</f>
        <v>－</v>
      </c>
      <c r="X372" s="36" t="n">
        <f>15</f>
        <v>15.0</v>
      </c>
    </row>
    <row r="373">
      <c r="A373" s="27" t="s">
        <v>42</v>
      </c>
      <c r="B373" s="27" t="s">
        <v>1168</v>
      </c>
      <c r="C373" s="27" t="s">
        <v>1169</v>
      </c>
      <c r="D373" s="27" t="s">
        <v>1170</v>
      </c>
      <c r="E373" s="28" t="s">
        <v>46</v>
      </c>
      <c r="F373" s="29" t="s">
        <v>46</v>
      </c>
      <c r="G373" s="30" t="s">
        <v>46</v>
      </c>
      <c r="H373" s="31"/>
      <c r="I373" s="31" t="s">
        <v>47</v>
      </c>
      <c r="J373" s="32" t="n">
        <v>1.0</v>
      </c>
      <c r="K373" s="33" t="n">
        <f>10305</f>
        <v>10305.0</v>
      </c>
      <c r="L373" s="34" t="s">
        <v>66</v>
      </c>
      <c r="M373" s="33" t="n">
        <f>10305</f>
        <v>10305.0</v>
      </c>
      <c r="N373" s="34" t="s">
        <v>66</v>
      </c>
      <c r="O373" s="33" t="n">
        <f>9567</f>
        <v>9567.0</v>
      </c>
      <c r="P373" s="34" t="s">
        <v>50</v>
      </c>
      <c r="Q373" s="33" t="n">
        <f>9567</f>
        <v>9567.0</v>
      </c>
      <c r="R373" s="34" t="s">
        <v>50</v>
      </c>
      <c r="S373" s="35" t="n">
        <f>9784.21</f>
        <v>9784.21</v>
      </c>
      <c r="T373" s="32" t="n">
        <f>177</f>
        <v>177.0</v>
      </c>
      <c r="U373" s="32" t="str">
        <f>"－"</f>
        <v>－</v>
      </c>
      <c r="V373" s="32" t="n">
        <f>1723618</f>
        <v>1723618.0</v>
      </c>
      <c r="W373" s="32" t="str">
        <f>"－"</f>
        <v>－</v>
      </c>
      <c r="X373" s="36" t="n">
        <f>14</f>
        <v>14.0</v>
      </c>
    </row>
    <row r="374">
      <c r="A374" s="27" t="s">
        <v>42</v>
      </c>
      <c r="B374" s="27" t="s">
        <v>1171</v>
      </c>
      <c r="C374" s="27" t="s">
        <v>1172</v>
      </c>
      <c r="D374" s="27" t="s">
        <v>1173</v>
      </c>
      <c r="E374" s="28" t="s">
        <v>46</v>
      </c>
      <c r="F374" s="29" t="s">
        <v>46</v>
      </c>
      <c r="G374" s="30" t="s">
        <v>46</v>
      </c>
      <c r="H374" s="31"/>
      <c r="I374" s="31" t="s">
        <v>47</v>
      </c>
      <c r="J374" s="32" t="n">
        <v>1.0</v>
      </c>
      <c r="K374" s="33" t="n">
        <f>109200</f>
        <v>109200.0</v>
      </c>
      <c r="L374" s="34" t="s">
        <v>48</v>
      </c>
      <c r="M374" s="33" t="n">
        <f>109300</f>
        <v>109300.0</v>
      </c>
      <c r="N374" s="34" t="s">
        <v>48</v>
      </c>
      <c r="O374" s="33" t="n">
        <f>104500</f>
        <v>104500.0</v>
      </c>
      <c r="P374" s="34" t="s">
        <v>50</v>
      </c>
      <c r="Q374" s="33" t="n">
        <f>104900</f>
        <v>104900.0</v>
      </c>
      <c r="R374" s="34" t="s">
        <v>50</v>
      </c>
      <c r="S374" s="35" t="n">
        <f>106789.47</f>
        <v>106789.47</v>
      </c>
      <c r="T374" s="32" t="n">
        <f>27127</f>
        <v>27127.0</v>
      </c>
      <c r="U374" s="32" t="n">
        <f>3070</f>
        <v>3070.0</v>
      </c>
      <c r="V374" s="32" t="n">
        <f>2896281843</f>
        <v>2.896281843E9</v>
      </c>
      <c r="W374" s="32" t="n">
        <f>327617043</f>
        <v>3.27617043E8</v>
      </c>
      <c r="X374" s="36" t="n">
        <f>19</f>
        <v>19.0</v>
      </c>
    </row>
    <row r="375">
      <c r="A375" s="27" t="s">
        <v>42</v>
      </c>
      <c r="B375" s="27" t="s">
        <v>1174</v>
      </c>
      <c r="C375" s="27" t="s">
        <v>1175</v>
      </c>
      <c r="D375" s="27" t="s">
        <v>1176</v>
      </c>
      <c r="E375" s="28" t="s">
        <v>46</v>
      </c>
      <c r="F375" s="29" t="s">
        <v>46</v>
      </c>
      <c r="G375" s="30" t="s">
        <v>46</v>
      </c>
      <c r="H375" s="31" t="s">
        <v>1110</v>
      </c>
      <c r="I375" s="31" t="s">
        <v>414</v>
      </c>
      <c r="J375" s="32" t="n">
        <v>1.0</v>
      </c>
      <c r="K375" s="33" t="n">
        <f>107800</f>
        <v>107800.0</v>
      </c>
      <c r="L375" s="34" t="s">
        <v>48</v>
      </c>
      <c r="M375" s="33" t="n">
        <f>126200</f>
        <v>126200.0</v>
      </c>
      <c r="N375" s="34" t="s">
        <v>286</v>
      </c>
      <c r="O375" s="33" t="n">
        <f>102600</f>
        <v>102600.0</v>
      </c>
      <c r="P375" s="34" t="s">
        <v>49</v>
      </c>
      <c r="Q375" s="33" t="n">
        <f>125000</f>
        <v>125000.0</v>
      </c>
      <c r="R375" s="34" t="s">
        <v>50</v>
      </c>
      <c r="S375" s="35" t="n">
        <f>108215.79</f>
        <v>108215.79</v>
      </c>
      <c r="T375" s="32" t="n">
        <f>82167</f>
        <v>82167.0</v>
      </c>
      <c r="U375" s="32" t="n">
        <f>5129</f>
        <v>5129.0</v>
      </c>
      <c r="V375" s="32" t="n">
        <f>9622608763</f>
        <v>9.622608763E9</v>
      </c>
      <c r="W375" s="32" t="n">
        <f>575284663</f>
        <v>5.75284663E8</v>
      </c>
      <c r="X375" s="36" t="n">
        <f>19</f>
        <v>19.0</v>
      </c>
    </row>
    <row r="376">
      <c r="A376" s="27" t="s">
        <v>42</v>
      </c>
      <c r="B376" s="27" t="s">
        <v>1177</v>
      </c>
      <c r="C376" s="27" t="s">
        <v>1178</v>
      </c>
      <c r="D376" s="27" t="s">
        <v>1179</v>
      </c>
      <c r="E376" s="28" t="s">
        <v>46</v>
      </c>
      <c r="F376" s="29" t="s">
        <v>46</v>
      </c>
      <c r="G376" s="30" t="s">
        <v>46</v>
      </c>
      <c r="H376" s="31"/>
      <c r="I376" s="31" t="s">
        <v>47</v>
      </c>
      <c r="J376" s="32" t="n">
        <v>1.0</v>
      </c>
      <c r="K376" s="33" t="n">
        <f>103000</f>
        <v>103000.0</v>
      </c>
      <c r="L376" s="34" t="s">
        <v>48</v>
      </c>
      <c r="M376" s="33" t="n">
        <f>103000</f>
        <v>103000.0</v>
      </c>
      <c r="N376" s="34" t="s">
        <v>48</v>
      </c>
      <c r="O376" s="33" t="n">
        <f>97900</f>
        <v>97900.0</v>
      </c>
      <c r="P376" s="34" t="s">
        <v>157</v>
      </c>
      <c r="Q376" s="33" t="n">
        <f>99400</f>
        <v>99400.0</v>
      </c>
      <c r="R376" s="34" t="s">
        <v>50</v>
      </c>
      <c r="S376" s="35" t="n">
        <f>99905.26</f>
        <v>99905.26</v>
      </c>
      <c r="T376" s="32" t="n">
        <f>74659</f>
        <v>74659.0</v>
      </c>
      <c r="U376" s="32" t="n">
        <f>13111</f>
        <v>13111.0</v>
      </c>
      <c r="V376" s="32" t="n">
        <f>7446459087</f>
        <v>7.446459087E9</v>
      </c>
      <c r="W376" s="32" t="n">
        <f>1304705387</f>
        <v>1.304705387E9</v>
      </c>
      <c r="X376" s="36" t="n">
        <f>19</f>
        <v>19.0</v>
      </c>
    </row>
    <row r="377">
      <c r="A377" s="27" t="s">
        <v>42</v>
      </c>
      <c r="B377" s="27" t="s">
        <v>1180</v>
      </c>
      <c r="C377" s="27" t="s">
        <v>1181</v>
      </c>
      <c r="D377" s="27" t="s">
        <v>1182</v>
      </c>
      <c r="E377" s="28" t="s">
        <v>46</v>
      </c>
      <c r="F377" s="29" t="s">
        <v>46</v>
      </c>
      <c r="G377" s="30" t="s">
        <v>46</v>
      </c>
      <c r="H377" s="31"/>
      <c r="I377" s="31" t="s">
        <v>414</v>
      </c>
      <c r="J377" s="32" t="n">
        <v>1.0</v>
      </c>
      <c r="K377" s="33" t="n">
        <f>97200</f>
        <v>97200.0</v>
      </c>
      <c r="L377" s="34" t="s">
        <v>48</v>
      </c>
      <c r="M377" s="33" t="n">
        <f>97300</f>
        <v>97300.0</v>
      </c>
      <c r="N377" s="34" t="s">
        <v>48</v>
      </c>
      <c r="O377" s="33" t="n">
        <f>90500</f>
        <v>90500.0</v>
      </c>
      <c r="P377" s="34" t="s">
        <v>78</v>
      </c>
      <c r="Q377" s="33" t="n">
        <f>90700</f>
        <v>90700.0</v>
      </c>
      <c r="R377" s="34" t="s">
        <v>50</v>
      </c>
      <c r="S377" s="35" t="n">
        <f>94036.84</f>
        <v>94036.84</v>
      </c>
      <c r="T377" s="32" t="n">
        <f>71060</f>
        <v>71060.0</v>
      </c>
      <c r="U377" s="32" t="n">
        <f>4207</f>
        <v>4207.0</v>
      </c>
      <c r="V377" s="32" t="n">
        <f>6664681762</f>
        <v>6.664681762E9</v>
      </c>
      <c r="W377" s="32" t="n">
        <f>394649062</f>
        <v>3.94649062E8</v>
      </c>
      <c r="X377" s="36" t="n">
        <f>19</f>
        <v>19.0</v>
      </c>
    </row>
    <row r="378">
      <c r="A378" s="27" t="s">
        <v>42</v>
      </c>
      <c r="B378" s="27" t="s">
        <v>1183</v>
      </c>
      <c r="C378" s="27" t="s">
        <v>1184</v>
      </c>
      <c r="D378" s="27" t="s">
        <v>1185</v>
      </c>
      <c r="E378" s="28" t="s">
        <v>46</v>
      </c>
      <c r="F378" s="29" t="s">
        <v>46</v>
      </c>
      <c r="G378" s="30" t="s">
        <v>46</v>
      </c>
      <c r="H378" s="31"/>
      <c r="I378" s="31" t="s">
        <v>47</v>
      </c>
      <c r="J378" s="32" t="n">
        <v>10.0</v>
      </c>
      <c r="K378" s="33" t="n">
        <f>265</f>
        <v>265.0</v>
      </c>
      <c r="L378" s="34" t="s">
        <v>48</v>
      </c>
      <c r="M378" s="33" t="n">
        <f>275.5</f>
        <v>275.5</v>
      </c>
      <c r="N378" s="34" t="s">
        <v>157</v>
      </c>
      <c r="O378" s="33" t="n">
        <f>255.1</f>
        <v>255.1</v>
      </c>
      <c r="P378" s="34" t="s">
        <v>71</v>
      </c>
      <c r="Q378" s="33" t="n">
        <f>269.9</f>
        <v>269.9</v>
      </c>
      <c r="R378" s="34" t="s">
        <v>50</v>
      </c>
      <c r="S378" s="35" t="n">
        <f>263.26</f>
        <v>263.26</v>
      </c>
      <c r="T378" s="32" t="n">
        <f>734910</f>
        <v>734910.0</v>
      </c>
      <c r="U378" s="32" t="str">
        <f>"－"</f>
        <v>－</v>
      </c>
      <c r="V378" s="32" t="n">
        <f>194010663</f>
        <v>1.94010663E8</v>
      </c>
      <c r="W378" s="32" t="str">
        <f>"－"</f>
        <v>－</v>
      </c>
      <c r="X378" s="36" t="n">
        <f>19</f>
        <v>19.0</v>
      </c>
    </row>
    <row r="379">
      <c r="A379" s="27" t="s">
        <v>42</v>
      </c>
      <c r="B379" s="27" t="s">
        <v>1186</v>
      </c>
      <c r="C379" s="27" t="s">
        <v>1187</v>
      </c>
      <c r="D379" s="27" t="s">
        <v>1188</v>
      </c>
      <c r="E379" s="28" t="s">
        <v>46</v>
      </c>
      <c r="F379" s="29" t="s">
        <v>46</v>
      </c>
      <c r="G379" s="30" t="s">
        <v>46</v>
      </c>
      <c r="H379" s="31"/>
      <c r="I379" s="31" t="s">
        <v>47</v>
      </c>
      <c r="J379" s="32" t="n">
        <v>10.0</v>
      </c>
      <c r="K379" s="33" t="n">
        <f>336.6</f>
        <v>336.6</v>
      </c>
      <c r="L379" s="34" t="s">
        <v>48</v>
      </c>
      <c r="M379" s="33" t="n">
        <f>337.4</f>
        <v>337.4</v>
      </c>
      <c r="N379" s="34" t="s">
        <v>48</v>
      </c>
      <c r="O379" s="33" t="n">
        <f>306.5</f>
        <v>306.5</v>
      </c>
      <c r="P379" s="34" t="s">
        <v>78</v>
      </c>
      <c r="Q379" s="33" t="n">
        <f>310.3</f>
        <v>310.3</v>
      </c>
      <c r="R379" s="34" t="s">
        <v>50</v>
      </c>
      <c r="S379" s="35" t="n">
        <f>320.78</f>
        <v>320.78</v>
      </c>
      <c r="T379" s="32" t="n">
        <f>44778870</f>
        <v>4.477887E7</v>
      </c>
      <c r="U379" s="32" t="n">
        <f>1408030</f>
        <v>1408030.0</v>
      </c>
      <c r="V379" s="32" t="n">
        <f>14276023668</f>
        <v>1.4276023668E10</v>
      </c>
      <c r="W379" s="32" t="n">
        <f>448534284</f>
        <v>4.48534284E8</v>
      </c>
      <c r="X379" s="36" t="n">
        <f>19</f>
        <v>19.0</v>
      </c>
    </row>
    <row r="380">
      <c r="A380" s="27" t="s">
        <v>42</v>
      </c>
      <c r="B380" s="27" t="s">
        <v>1189</v>
      </c>
      <c r="C380" s="27" t="s">
        <v>1190</v>
      </c>
      <c r="D380" s="27" t="s">
        <v>1191</v>
      </c>
      <c r="E380" s="28" t="s">
        <v>46</v>
      </c>
      <c r="F380" s="29" t="s">
        <v>46</v>
      </c>
      <c r="G380" s="30" t="s">
        <v>46</v>
      </c>
      <c r="H380" s="31"/>
      <c r="I380" s="31" t="s">
        <v>47</v>
      </c>
      <c r="J380" s="32" t="n">
        <v>1.0</v>
      </c>
      <c r="K380" s="33" t="n">
        <f>1946</f>
        <v>1946.0</v>
      </c>
      <c r="L380" s="34" t="s">
        <v>48</v>
      </c>
      <c r="M380" s="33" t="n">
        <f>2024</f>
        <v>2024.0</v>
      </c>
      <c r="N380" s="34" t="s">
        <v>82</v>
      </c>
      <c r="O380" s="33" t="n">
        <f>1902</f>
        <v>1902.0</v>
      </c>
      <c r="P380" s="34" t="s">
        <v>157</v>
      </c>
      <c r="Q380" s="33" t="n">
        <f>2011</f>
        <v>2011.0</v>
      </c>
      <c r="R380" s="34" t="s">
        <v>50</v>
      </c>
      <c r="S380" s="35" t="n">
        <f>1966.32</f>
        <v>1966.32</v>
      </c>
      <c r="T380" s="32" t="n">
        <f>5011181</f>
        <v>5011181.0</v>
      </c>
      <c r="U380" s="32" t="n">
        <f>2546919</f>
        <v>2546919.0</v>
      </c>
      <c r="V380" s="32" t="n">
        <f>9843085824</f>
        <v>9.843085824E9</v>
      </c>
      <c r="W380" s="32" t="n">
        <f>4989794372</f>
        <v>4.989794372E9</v>
      </c>
      <c r="X380" s="36" t="n">
        <f>19</f>
        <v>19.0</v>
      </c>
    </row>
    <row r="381">
      <c r="A381" s="27" t="s">
        <v>42</v>
      </c>
      <c r="B381" s="27" t="s">
        <v>1192</v>
      </c>
      <c r="C381" s="27" t="s">
        <v>1193</v>
      </c>
      <c r="D381" s="27" t="s">
        <v>1194</v>
      </c>
      <c r="E381" s="28" t="s">
        <v>46</v>
      </c>
      <c r="F381" s="29" t="s">
        <v>46</v>
      </c>
      <c r="G381" s="30" t="s">
        <v>46</v>
      </c>
      <c r="H381" s="31"/>
      <c r="I381" s="31" t="s">
        <v>47</v>
      </c>
      <c r="J381" s="32" t="n">
        <v>1.0</v>
      </c>
      <c r="K381" s="33" t="n">
        <f>2760</f>
        <v>2760.0</v>
      </c>
      <c r="L381" s="34" t="s">
        <v>48</v>
      </c>
      <c r="M381" s="33" t="n">
        <f>2827</f>
        <v>2827.0</v>
      </c>
      <c r="N381" s="34" t="s">
        <v>200</v>
      </c>
      <c r="O381" s="33" t="n">
        <f>2600</f>
        <v>2600.0</v>
      </c>
      <c r="P381" s="34" t="s">
        <v>71</v>
      </c>
      <c r="Q381" s="33" t="n">
        <f>2769</f>
        <v>2769.0</v>
      </c>
      <c r="R381" s="34" t="s">
        <v>50</v>
      </c>
      <c r="S381" s="35" t="n">
        <f>2704.05</f>
        <v>2704.05</v>
      </c>
      <c r="T381" s="32" t="n">
        <f>3028383</f>
        <v>3028383.0</v>
      </c>
      <c r="U381" s="32" t="n">
        <f>252</f>
        <v>252.0</v>
      </c>
      <c r="V381" s="32" t="n">
        <f>8238993349</f>
        <v>8.238993349E9</v>
      </c>
      <c r="W381" s="32" t="n">
        <f>672018</f>
        <v>672018.0</v>
      </c>
      <c r="X381" s="36" t="n">
        <f>19</f>
        <v>19.0</v>
      </c>
    </row>
    <row r="382">
      <c r="A382" s="27" t="s">
        <v>42</v>
      </c>
      <c r="B382" s="27" t="s">
        <v>1195</v>
      </c>
      <c r="C382" s="27" t="s">
        <v>1196</v>
      </c>
      <c r="D382" s="27" t="s">
        <v>1197</v>
      </c>
      <c r="E382" s="28" t="s">
        <v>46</v>
      </c>
      <c r="F382" s="29" t="s">
        <v>46</v>
      </c>
      <c r="G382" s="30" t="s">
        <v>46</v>
      </c>
      <c r="H382" s="31"/>
      <c r="I382" s="31" t="s">
        <v>47</v>
      </c>
      <c r="J382" s="32" t="n">
        <v>10.0</v>
      </c>
      <c r="K382" s="33" t="n">
        <f>360.6</f>
        <v>360.6</v>
      </c>
      <c r="L382" s="34" t="s">
        <v>48</v>
      </c>
      <c r="M382" s="33" t="n">
        <f>373.5</f>
        <v>373.5</v>
      </c>
      <c r="N382" s="34" t="s">
        <v>66</v>
      </c>
      <c r="O382" s="33" t="n">
        <f>337</f>
        <v>337.0</v>
      </c>
      <c r="P382" s="34" t="s">
        <v>50</v>
      </c>
      <c r="Q382" s="33" t="n">
        <f>337.3</f>
        <v>337.3</v>
      </c>
      <c r="R382" s="34" t="s">
        <v>50</v>
      </c>
      <c r="S382" s="35" t="n">
        <f>349.56</f>
        <v>349.56</v>
      </c>
      <c r="T382" s="32" t="n">
        <f>22647800</f>
        <v>2.26478E7</v>
      </c>
      <c r="U382" s="32" t="n">
        <f>4500</f>
        <v>4500.0</v>
      </c>
      <c r="V382" s="32" t="n">
        <f>7934599002</f>
        <v>7.934599002E9</v>
      </c>
      <c r="W382" s="32" t="n">
        <f>1574564</f>
        <v>1574564.0</v>
      </c>
      <c r="X382" s="36" t="n">
        <f>19</f>
        <v>19.0</v>
      </c>
    </row>
    <row r="383">
      <c r="A383" s="27" t="s">
        <v>42</v>
      </c>
      <c r="B383" s="27" t="s">
        <v>1198</v>
      </c>
      <c r="C383" s="27" t="s">
        <v>1199</v>
      </c>
      <c r="D383" s="27" t="s">
        <v>1200</v>
      </c>
      <c r="E383" s="28" t="s">
        <v>46</v>
      </c>
      <c r="F383" s="29" t="s">
        <v>46</v>
      </c>
      <c r="G383" s="30" t="s">
        <v>46</v>
      </c>
      <c r="H383" s="31"/>
      <c r="I383" s="31" t="s">
        <v>47</v>
      </c>
      <c r="J383" s="32" t="n">
        <v>1.0</v>
      </c>
      <c r="K383" s="33" t="n">
        <f>118700</f>
        <v>118700.0</v>
      </c>
      <c r="L383" s="34" t="s">
        <v>48</v>
      </c>
      <c r="M383" s="33" t="n">
        <f>119300</f>
        <v>119300.0</v>
      </c>
      <c r="N383" s="34" t="s">
        <v>66</v>
      </c>
      <c r="O383" s="33" t="n">
        <f>113500</f>
        <v>113500.0</v>
      </c>
      <c r="P383" s="34" t="s">
        <v>50</v>
      </c>
      <c r="Q383" s="33" t="n">
        <f>113900</f>
        <v>113900.0</v>
      </c>
      <c r="R383" s="34" t="s">
        <v>50</v>
      </c>
      <c r="S383" s="35" t="n">
        <f>116436.84</f>
        <v>116436.84</v>
      </c>
      <c r="T383" s="32" t="n">
        <f>184765</f>
        <v>184765.0</v>
      </c>
      <c r="U383" s="32" t="n">
        <f>39930</f>
        <v>39930.0</v>
      </c>
      <c r="V383" s="32" t="n">
        <f>21449185451</f>
        <v>2.1449185451E10</v>
      </c>
      <c r="W383" s="32" t="n">
        <f>4629522851</f>
        <v>4.629522851E9</v>
      </c>
      <c r="X383" s="36" t="n">
        <f>19</f>
        <v>19.0</v>
      </c>
    </row>
    <row r="384">
      <c r="A384" s="27" t="s">
        <v>42</v>
      </c>
      <c r="B384" s="27" t="s">
        <v>1201</v>
      </c>
      <c r="C384" s="27" t="s">
        <v>1202</v>
      </c>
      <c r="D384" s="27" t="s">
        <v>1203</v>
      </c>
      <c r="E384" s="28" t="s">
        <v>46</v>
      </c>
      <c r="F384" s="29" t="s">
        <v>46</v>
      </c>
      <c r="G384" s="30" t="s">
        <v>46</v>
      </c>
      <c r="H384" s="31"/>
      <c r="I384" s="31" t="s">
        <v>47</v>
      </c>
      <c r="J384" s="32" t="n">
        <v>1.0</v>
      </c>
      <c r="K384" s="33" t="n">
        <f>128000</f>
        <v>128000.0</v>
      </c>
      <c r="L384" s="34" t="s">
        <v>48</v>
      </c>
      <c r="M384" s="33" t="n">
        <f>128500</f>
        <v>128500.0</v>
      </c>
      <c r="N384" s="34" t="s">
        <v>48</v>
      </c>
      <c r="O384" s="33" t="n">
        <f>120200</f>
        <v>120200.0</v>
      </c>
      <c r="P384" s="34" t="s">
        <v>50</v>
      </c>
      <c r="Q384" s="33" t="n">
        <f>120700</f>
        <v>120700.0</v>
      </c>
      <c r="R384" s="34" t="s">
        <v>50</v>
      </c>
      <c r="S384" s="35" t="n">
        <f>124294.74</f>
        <v>124294.74</v>
      </c>
      <c r="T384" s="32" t="n">
        <f>139293</f>
        <v>139293.0</v>
      </c>
      <c r="U384" s="32" t="n">
        <f>25784</f>
        <v>25784.0</v>
      </c>
      <c r="V384" s="32" t="n">
        <f>17224278154</f>
        <v>1.7224278154E10</v>
      </c>
      <c r="W384" s="32" t="n">
        <f>3193642154</f>
        <v>3.193642154E9</v>
      </c>
      <c r="X384" s="36" t="n">
        <f>19</f>
        <v>19.0</v>
      </c>
    </row>
    <row r="385">
      <c r="A385" s="27" t="s">
        <v>42</v>
      </c>
      <c r="B385" s="27" t="s">
        <v>1204</v>
      </c>
      <c r="C385" s="27" t="s">
        <v>1205</v>
      </c>
      <c r="D385" s="27" t="s">
        <v>1206</v>
      </c>
      <c r="E385" s="28" t="s">
        <v>46</v>
      </c>
      <c r="F385" s="29" t="s">
        <v>46</v>
      </c>
      <c r="G385" s="30" t="s">
        <v>46</v>
      </c>
      <c r="H385" s="31"/>
      <c r="I385" s="31" t="s">
        <v>47</v>
      </c>
      <c r="J385" s="32" t="n">
        <v>1.0</v>
      </c>
      <c r="K385" s="33" t="n">
        <f>135800</f>
        <v>135800.0</v>
      </c>
      <c r="L385" s="34" t="s">
        <v>48</v>
      </c>
      <c r="M385" s="33" t="n">
        <f>139600</f>
        <v>139600.0</v>
      </c>
      <c r="N385" s="34" t="s">
        <v>49</v>
      </c>
      <c r="O385" s="33" t="n">
        <f>130600</f>
        <v>130600.0</v>
      </c>
      <c r="P385" s="34" t="s">
        <v>50</v>
      </c>
      <c r="Q385" s="33" t="n">
        <f>132200</f>
        <v>132200.0</v>
      </c>
      <c r="R385" s="34" t="s">
        <v>50</v>
      </c>
      <c r="S385" s="35" t="n">
        <f>135468.42</f>
        <v>135468.42</v>
      </c>
      <c r="T385" s="32" t="n">
        <f>192911</f>
        <v>192911.0</v>
      </c>
      <c r="U385" s="32" t="n">
        <f>46983</f>
        <v>46983.0</v>
      </c>
      <c r="V385" s="32" t="n">
        <f>26107447700</f>
        <v>2.61074477E10</v>
      </c>
      <c r="W385" s="32" t="n">
        <f>6349799600</f>
        <v>6.3497996E9</v>
      </c>
      <c r="X385" s="36" t="n">
        <f>19</f>
        <v>19.0</v>
      </c>
    </row>
    <row r="386">
      <c r="A386" s="27" t="s">
        <v>42</v>
      </c>
      <c r="B386" s="27" t="s">
        <v>1207</v>
      </c>
      <c r="C386" s="27" t="s">
        <v>1208</v>
      </c>
      <c r="D386" s="27" t="s">
        <v>1209</v>
      </c>
      <c r="E386" s="28" t="s">
        <v>46</v>
      </c>
      <c r="F386" s="29" t="s">
        <v>46</v>
      </c>
      <c r="G386" s="30" t="s">
        <v>46</v>
      </c>
      <c r="H386" s="31"/>
      <c r="I386" s="31" t="s">
        <v>47</v>
      </c>
      <c r="J386" s="32" t="n">
        <v>1.0</v>
      </c>
      <c r="K386" s="33" t="n">
        <f>145600</f>
        <v>145600.0</v>
      </c>
      <c r="L386" s="34" t="s">
        <v>48</v>
      </c>
      <c r="M386" s="33" t="n">
        <f>147500</f>
        <v>147500.0</v>
      </c>
      <c r="N386" s="34" t="s">
        <v>49</v>
      </c>
      <c r="O386" s="33" t="n">
        <f>139100</f>
        <v>139100.0</v>
      </c>
      <c r="P386" s="34" t="s">
        <v>50</v>
      </c>
      <c r="Q386" s="33" t="n">
        <f>139100</f>
        <v>139100.0</v>
      </c>
      <c r="R386" s="34" t="s">
        <v>50</v>
      </c>
      <c r="S386" s="35" t="n">
        <f>142878.95</f>
        <v>142878.95</v>
      </c>
      <c r="T386" s="32" t="n">
        <f>222083</f>
        <v>222083.0</v>
      </c>
      <c r="U386" s="32" t="n">
        <f>42110</f>
        <v>42110.0</v>
      </c>
      <c r="V386" s="32" t="n">
        <f>31689528612</f>
        <v>3.1689528612E10</v>
      </c>
      <c r="W386" s="32" t="n">
        <f>6019601812</f>
        <v>6.019601812E9</v>
      </c>
      <c r="X386" s="36" t="n">
        <f>19</f>
        <v>19.0</v>
      </c>
    </row>
    <row r="387">
      <c r="A387" s="27" t="s">
        <v>42</v>
      </c>
      <c r="B387" s="27" t="s">
        <v>1210</v>
      </c>
      <c r="C387" s="27" t="s">
        <v>1211</v>
      </c>
      <c r="D387" s="27" t="s">
        <v>1212</v>
      </c>
      <c r="E387" s="28" t="s">
        <v>46</v>
      </c>
      <c r="F387" s="29" t="s">
        <v>46</v>
      </c>
      <c r="G387" s="30" t="s">
        <v>46</v>
      </c>
      <c r="H387" s="31"/>
      <c r="I387" s="31" t="s">
        <v>47</v>
      </c>
      <c r="J387" s="32" t="n">
        <v>1.0</v>
      </c>
      <c r="K387" s="33" t="n">
        <f>135900</f>
        <v>135900.0</v>
      </c>
      <c r="L387" s="34" t="s">
        <v>48</v>
      </c>
      <c r="M387" s="33" t="n">
        <f>137500</f>
        <v>137500.0</v>
      </c>
      <c r="N387" s="34" t="s">
        <v>66</v>
      </c>
      <c r="O387" s="33" t="n">
        <f>127100</f>
        <v>127100.0</v>
      </c>
      <c r="P387" s="34" t="s">
        <v>50</v>
      </c>
      <c r="Q387" s="33" t="n">
        <f>127500</f>
        <v>127500.0</v>
      </c>
      <c r="R387" s="34" t="s">
        <v>50</v>
      </c>
      <c r="S387" s="35" t="n">
        <f>131536.84</f>
        <v>131536.84</v>
      </c>
      <c r="T387" s="32" t="n">
        <f>144875</f>
        <v>144875.0</v>
      </c>
      <c r="U387" s="32" t="n">
        <f>46167</f>
        <v>46167.0</v>
      </c>
      <c r="V387" s="32" t="n">
        <f>19069204246</f>
        <v>1.9069204246E10</v>
      </c>
      <c r="W387" s="32" t="n">
        <f>6057888546</f>
        <v>6.057888546E9</v>
      </c>
      <c r="X387" s="36" t="n">
        <f>19</f>
        <v>19.0</v>
      </c>
    </row>
    <row r="388">
      <c r="A388" s="27" t="s">
        <v>42</v>
      </c>
      <c r="B388" s="27" t="s">
        <v>1213</v>
      </c>
      <c r="C388" s="27" t="s">
        <v>1214</v>
      </c>
      <c r="D388" s="27" t="s">
        <v>1215</v>
      </c>
      <c r="E388" s="28" t="s">
        <v>46</v>
      </c>
      <c r="F388" s="29" t="s">
        <v>46</v>
      </c>
      <c r="G388" s="30" t="s">
        <v>46</v>
      </c>
      <c r="H388" s="31"/>
      <c r="I388" s="31" t="s">
        <v>47</v>
      </c>
      <c r="J388" s="32" t="n">
        <v>1.0</v>
      </c>
      <c r="K388" s="33" t="n">
        <f>134500</f>
        <v>134500.0</v>
      </c>
      <c r="L388" s="34" t="s">
        <v>48</v>
      </c>
      <c r="M388" s="33" t="n">
        <f>136600</f>
        <v>136600.0</v>
      </c>
      <c r="N388" s="34" t="s">
        <v>49</v>
      </c>
      <c r="O388" s="33" t="n">
        <f>130100</f>
        <v>130100.0</v>
      </c>
      <c r="P388" s="34" t="s">
        <v>50</v>
      </c>
      <c r="Q388" s="33" t="n">
        <f>131300</f>
        <v>131300.0</v>
      </c>
      <c r="R388" s="34" t="s">
        <v>50</v>
      </c>
      <c r="S388" s="35" t="n">
        <f>133315.79</f>
        <v>133315.79</v>
      </c>
      <c r="T388" s="32" t="n">
        <f>397350</f>
        <v>397350.0</v>
      </c>
      <c r="U388" s="32" t="n">
        <f>108378</f>
        <v>108378.0</v>
      </c>
      <c r="V388" s="32" t="n">
        <f>53040360820</f>
        <v>5.304036082E10</v>
      </c>
      <c r="W388" s="32" t="n">
        <f>14481343720</f>
        <v>1.448134372E10</v>
      </c>
      <c r="X388" s="36" t="n">
        <f>19</f>
        <v>19.0</v>
      </c>
    </row>
    <row r="389">
      <c r="A389" s="27" t="s">
        <v>42</v>
      </c>
      <c r="B389" s="27" t="s">
        <v>1216</v>
      </c>
      <c r="C389" s="27" t="s">
        <v>1217</v>
      </c>
      <c r="D389" s="27" t="s">
        <v>1218</v>
      </c>
      <c r="E389" s="28" t="s">
        <v>46</v>
      </c>
      <c r="F389" s="29" t="s">
        <v>46</v>
      </c>
      <c r="G389" s="30" t="s">
        <v>46</v>
      </c>
      <c r="H389" s="31"/>
      <c r="I389" s="31" t="s">
        <v>47</v>
      </c>
      <c r="J389" s="32" t="n">
        <v>1.0</v>
      </c>
      <c r="K389" s="33" t="n">
        <f>99000</f>
        <v>99000.0</v>
      </c>
      <c r="L389" s="34" t="s">
        <v>48</v>
      </c>
      <c r="M389" s="33" t="n">
        <f>99900</f>
        <v>99900.0</v>
      </c>
      <c r="N389" s="34" t="s">
        <v>48</v>
      </c>
      <c r="O389" s="33" t="n">
        <f>93800</f>
        <v>93800.0</v>
      </c>
      <c r="P389" s="34" t="s">
        <v>50</v>
      </c>
      <c r="Q389" s="33" t="n">
        <f>94300</f>
        <v>94300.0</v>
      </c>
      <c r="R389" s="34" t="s">
        <v>50</v>
      </c>
      <c r="S389" s="35" t="n">
        <f>96984.21</f>
        <v>96984.21</v>
      </c>
      <c r="T389" s="32" t="n">
        <f>174526</f>
        <v>174526.0</v>
      </c>
      <c r="U389" s="32" t="n">
        <f>48857</f>
        <v>48857.0</v>
      </c>
      <c r="V389" s="32" t="n">
        <f>16947374840</f>
        <v>1.694737484E10</v>
      </c>
      <c r="W389" s="32" t="n">
        <f>4744968340</f>
        <v>4.74496834E9</v>
      </c>
      <c r="X389" s="36" t="n">
        <f>19</f>
        <v>19.0</v>
      </c>
    </row>
    <row r="390">
      <c r="A390" s="27" t="s">
        <v>42</v>
      </c>
      <c r="B390" s="27" t="s">
        <v>1219</v>
      </c>
      <c r="C390" s="27" t="s">
        <v>1220</v>
      </c>
      <c r="D390" s="27" t="s">
        <v>1221</v>
      </c>
      <c r="E390" s="28" t="s">
        <v>46</v>
      </c>
      <c r="F390" s="29" t="s">
        <v>46</v>
      </c>
      <c r="G390" s="30" t="s">
        <v>46</v>
      </c>
      <c r="H390" s="31"/>
      <c r="I390" s="31" t="s">
        <v>47</v>
      </c>
      <c r="J390" s="32" t="n">
        <v>1.0</v>
      </c>
      <c r="K390" s="33" t="n">
        <f>87400</f>
        <v>87400.0</v>
      </c>
      <c r="L390" s="34" t="s">
        <v>48</v>
      </c>
      <c r="M390" s="33" t="n">
        <f>88300</f>
        <v>88300.0</v>
      </c>
      <c r="N390" s="34" t="s">
        <v>48</v>
      </c>
      <c r="O390" s="33" t="n">
        <f>82500</f>
        <v>82500.0</v>
      </c>
      <c r="P390" s="34" t="s">
        <v>50</v>
      </c>
      <c r="Q390" s="33" t="n">
        <f>82800</f>
        <v>82800.0</v>
      </c>
      <c r="R390" s="34" t="s">
        <v>50</v>
      </c>
      <c r="S390" s="35" t="n">
        <f>84705.26</f>
        <v>84705.26</v>
      </c>
      <c r="T390" s="32" t="n">
        <f>388965</f>
        <v>388965.0</v>
      </c>
      <c r="U390" s="32" t="n">
        <f>81408</f>
        <v>81408.0</v>
      </c>
      <c r="V390" s="32" t="n">
        <f>33026182553</f>
        <v>3.3026182553E10</v>
      </c>
      <c r="W390" s="32" t="n">
        <f>6907872853</f>
        <v>6.907872853E9</v>
      </c>
      <c r="X390" s="36" t="n">
        <f>19</f>
        <v>19.0</v>
      </c>
    </row>
    <row r="391">
      <c r="A391" s="27" t="s">
        <v>42</v>
      </c>
      <c r="B391" s="27" t="s">
        <v>1222</v>
      </c>
      <c r="C391" s="27" t="s">
        <v>1223</v>
      </c>
      <c r="D391" s="27" t="s">
        <v>1224</v>
      </c>
      <c r="E391" s="28" t="s">
        <v>46</v>
      </c>
      <c r="F391" s="29" t="s">
        <v>46</v>
      </c>
      <c r="G391" s="30" t="s">
        <v>46</v>
      </c>
      <c r="H391" s="31"/>
      <c r="I391" s="31" t="s">
        <v>47</v>
      </c>
      <c r="J391" s="32" t="n">
        <v>1.0</v>
      </c>
      <c r="K391" s="33" t="n">
        <f>242000</f>
        <v>242000.0</v>
      </c>
      <c r="L391" s="34" t="s">
        <v>48</v>
      </c>
      <c r="M391" s="33" t="n">
        <f>243100</f>
        <v>243100.0</v>
      </c>
      <c r="N391" s="34" t="s">
        <v>66</v>
      </c>
      <c r="O391" s="33" t="n">
        <f>231200</f>
        <v>231200.0</v>
      </c>
      <c r="P391" s="34" t="s">
        <v>50</v>
      </c>
      <c r="Q391" s="33" t="n">
        <f>231200</f>
        <v>231200.0</v>
      </c>
      <c r="R391" s="34" t="s">
        <v>50</v>
      </c>
      <c r="S391" s="35" t="n">
        <f>236778.95</f>
        <v>236778.95</v>
      </c>
      <c r="T391" s="32" t="n">
        <f>41819</f>
        <v>41819.0</v>
      </c>
      <c r="U391" s="32" t="n">
        <f>7757</f>
        <v>7757.0</v>
      </c>
      <c r="V391" s="32" t="n">
        <f>9920302405</f>
        <v>9.920302405E9</v>
      </c>
      <c r="W391" s="32" t="n">
        <f>1840529105</f>
        <v>1.840529105E9</v>
      </c>
      <c r="X391" s="36" t="n">
        <f>19</f>
        <v>19.0</v>
      </c>
    </row>
    <row r="392">
      <c r="A392" s="27" t="s">
        <v>42</v>
      </c>
      <c r="B392" s="27" t="s">
        <v>1225</v>
      </c>
      <c r="C392" s="27" t="s">
        <v>1226</v>
      </c>
      <c r="D392" s="27" t="s">
        <v>1227</v>
      </c>
      <c r="E392" s="28" t="s">
        <v>46</v>
      </c>
      <c r="F392" s="29" t="s">
        <v>46</v>
      </c>
      <c r="G392" s="30" t="s">
        <v>46</v>
      </c>
      <c r="H392" s="31"/>
      <c r="I392" s="31" t="s">
        <v>47</v>
      </c>
      <c r="J392" s="32" t="n">
        <v>1.0</v>
      </c>
      <c r="K392" s="33" t="n">
        <f>1383</f>
        <v>1383.0</v>
      </c>
      <c r="L392" s="34" t="s">
        <v>48</v>
      </c>
      <c r="M392" s="33" t="n">
        <f>1390</f>
        <v>1390.0</v>
      </c>
      <c r="N392" s="34" t="s">
        <v>48</v>
      </c>
      <c r="O392" s="33" t="n">
        <f>1311</f>
        <v>1311.0</v>
      </c>
      <c r="P392" s="34" t="s">
        <v>50</v>
      </c>
      <c r="Q392" s="33" t="n">
        <f>1331</f>
        <v>1331.0</v>
      </c>
      <c r="R392" s="34" t="s">
        <v>50</v>
      </c>
      <c r="S392" s="35" t="n">
        <f>1352.05</f>
        <v>1352.05</v>
      </c>
      <c r="T392" s="32" t="n">
        <f>36343</f>
        <v>36343.0</v>
      </c>
      <c r="U392" s="32" t="str">
        <f>"－"</f>
        <v>－</v>
      </c>
      <c r="V392" s="32" t="n">
        <f>49370392</f>
        <v>4.9370392E7</v>
      </c>
      <c r="W392" s="32" t="str">
        <f>"－"</f>
        <v>－</v>
      </c>
      <c r="X392" s="36" t="n">
        <f>19</f>
        <v>19.0</v>
      </c>
    </row>
    <row r="393">
      <c r="A393" s="27" t="s">
        <v>42</v>
      </c>
      <c r="B393" s="27" t="s">
        <v>1228</v>
      </c>
      <c r="C393" s="27" t="s">
        <v>1229</v>
      </c>
      <c r="D393" s="27" t="s">
        <v>1230</v>
      </c>
      <c r="E393" s="28" t="s">
        <v>46</v>
      </c>
      <c r="F393" s="29" t="s">
        <v>46</v>
      </c>
      <c r="G393" s="30" t="s">
        <v>46</v>
      </c>
      <c r="H393" s="31"/>
      <c r="I393" s="31" t="s">
        <v>47</v>
      </c>
      <c r="J393" s="32" t="n">
        <v>1.0</v>
      </c>
      <c r="K393" s="33" t="n">
        <f>75000</f>
        <v>75000.0</v>
      </c>
      <c r="L393" s="34" t="s">
        <v>48</v>
      </c>
      <c r="M393" s="33" t="n">
        <f>76100</f>
        <v>76100.0</v>
      </c>
      <c r="N393" s="34" t="s">
        <v>114</v>
      </c>
      <c r="O393" s="33" t="n">
        <f>73300</f>
        <v>73300.0</v>
      </c>
      <c r="P393" s="34" t="s">
        <v>71</v>
      </c>
      <c r="Q393" s="33" t="n">
        <f>75600</f>
        <v>75600.0</v>
      </c>
      <c r="R393" s="34" t="s">
        <v>50</v>
      </c>
      <c r="S393" s="35" t="n">
        <f>74736.84</f>
        <v>74736.84</v>
      </c>
      <c r="T393" s="32" t="n">
        <f>74127</f>
        <v>74127.0</v>
      </c>
      <c r="U393" s="32" t="n">
        <f>12380</f>
        <v>12380.0</v>
      </c>
      <c r="V393" s="32" t="n">
        <f>5539793231</f>
        <v>5.539793231E9</v>
      </c>
      <c r="W393" s="32" t="n">
        <f>924515531</f>
        <v>9.24515531E8</v>
      </c>
      <c r="X393" s="36" t="n">
        <f>19</f>
        <v>19.0</v>
      </c>
    </row>
    <row r="394">
      <c r="A394" s="27" t="s">
        <v>42</v>
      </c>
      <c r="B394" s="27" t="s">
        <v>1231</v>
      </c>
      <c r="C394" s="27" t="s">
        <v>1232</v>
      </c>
      <c r="D394" s="27" t="s">
        <v>1233</v>
      </c>
      <c r="E394" s="28" t="s">
        <v>46</v>
      </c>
      <c r="F394" s="29" t="s">
        <v>46</v>
      </c>
      <c r="G394" s="30" t="s">
        <v>46</v>
      </c>
      <c r="H394" s="31"/>
      <c r="I394" s="31" t="s">
        <v>47</v>
      </c>
      <c r="J394" s="32" t="n">
        <v>1.0</v>
      </c>
      <c r="K394" s="33" t="n">
        <f>118400</f>
        <v>118400.0</v>
      </c>
      <c r="L394" s="34" t="s">
        <v>48</v>
      </c>
      <c r="M394" s="33" t="n">
        <f>118800</f>
        <v>118800.0</v>
      </c>
      <c r="N394" s="34" t="s">
        <v>48</v>
      </c>
      <c r="O394" s="33" t="n">
        <f>110400</f>
        <v>110400.0</v>
      </c>
      <c r="P394" s="34" t="s">
        <v>50</v>
      </c>
      <c r="Q394" s="33" t="n">
        <f>110700</f>
        <v>110700.0</v>
      </c>
      <c r="R394" s="34" t="s">
        <v>50</v>
      </c>
      <c r="S394" s="35" t="n">
        <f>114410.53</f>
        <v>114410.53</v>
      </c>
      <c r="T394" s="32" t="n">
        <f>184841</f>
        <v>184841.0</v>
      </c>
      <c r="U394" s="32" t="n">
        <f>34629</f>
        <v>34629.0</v>
      </c>
      <c r="V394" s="32" t="n">
        <f>21029032105</f>
        <v>2.1029032105E10</v>
      </c>
      <c r="W394" s="32" t="n">
        <f>3930614805</f>
        <v>3.930614805E9</v>
      </c>
      <c r="X394" s="36" t="n">
        <f>19</f>
        <v>19.0</v>
      </c>
    </row>
    <row r="395">
      <c r="A395" s="27" t="s">
        <v>42</v>
      </c>
      <c r="B395" s="27" t="s">
        <v>1234</v>
      </c>
      <c r="C395" s="27" t="s">
        <v>1235</v>
      </c>
      <c r="D395" s="27" t="s">
        <v>1236</v>
      </c>
      <c r="E395" s="28" t="s">
        <v>46</v>
      </c>
      <c r="F395" s="29" t="s">
        <v>46</v>
      </c>
      <c r="G395" s="30" t="s">
        <v>46</v>
      </c>
      <c r="H395" s="31"/>
      <c r="I395" s="31" t="s">
        <v>47</v>
      </c>
      <c r="J395" s="32" t="n">
        <v>1.0</v>
      </c>
      <c r="K395" s="33" t="n">
        <f>150000</f>
        <v>150000.0</v>
      </c>
      <c r="L395" s="34" t="s">
        <v>48</v>
      </c>
      <c r="M395" s="33" t="n">
        <f>150900</f>
        <v>150900.0</v>
      </c>
      <c r="N395" s="34" t="s">
        <v>48</v>
      </c>
      <c r="O395" s="33" t="n">
        <f>143200</f>
        <v>143200.0</v>
      </c>
      <c r="P395" s="34" t="s">
        <v>50</v>
      </c>
      <c r="Q395" s="33" t="n">
        <f>144300</f>
        <v>144300.0</v>
      </c>
      <c r="R395" s="34" t="s">
        <v>50</v>
      </c>
      <c r="S395" s="35" t="n">
        <f>147557.89</f>
        <v>147557.89</v>
      </c>
      <c r="T395" s="32" t="n">
        <f>78799</f>
        <v>78799.0</v>
      </c>
      <c r="U395" s="32" t="n">
        <f>14423</f>
        <v>14423.0</v>
      </c>
      <c r="V395" s="32" t="n">
        <f>11611113985</f>
        <v>1.1611113985E10</v>
      </c>
      <c r="W395" s="32" t="n">
        <f>2126005385</f>
        <v>2.126005385E9</v>
      </c>
      <c r="X395" s="36" t="n">
        <f>19</f>
        <v>19.0</v>
      </c>
    </row>
    <row r="396">
      <c r="A396" s="27" t="s">
        <v>42</v>
      </c>
      <c r="B396" s="27" t="s">
        <v>1237</v>
      </c>
      <c r="C396" s="27" t="s">
        <v>1238</v>
      </c>
      <c r="D396" s="27" t="s">
        <v>1239</v>
      </c>
      <c r="E396" s="28" t="s">
        <v>46</v>
      </c>
      <c r="F396" s="29" t="s">
        <v>46</v>
      </c>
      <c r="G396" s="30" t="s">
        <v>46</v>
      </c>
      <c r="H396" s="31"/>
      <c r="I396" s="31" t="s">
        <v>47</v>
      </c>
      <c r="J396" s="32" t="n">
        <v>1.0</v>
      </c>
      <c r="K396" s="33" t="n">
        <f>82100</f>
        <v>82100.0</v>
      </c>
      <c r="L396" s="34" t="s">
        <v>48</v>
      </c>
      <c r="M396" s="33" t="n">
        <f>83000</f>
        <v>83000.0</v>
      </c>
      <c r="N396" s="34" t="s">
        <v>82</v>
      </c>
      <c r="O396" s="33" t="n">
        <f>78800</f>
        <v>78800.0</v>
      </c>
      <c r="P396" s="34" t="s">
        <v>50</v>
      </c>
      <c r="Q396" s="33" t="n">
        <f>79000</f>
        <v>79000.0</v>
      </c>
      <c r="R396" s="34" t="s">
        <v>50</v>
      </c>
      <c r="S396" s="35" t="n">
        <f>80784.21</f>
        <v>80784.21</v>
      </c>
      <c r="T396" s="32" t="n">
        <f>128925</f>
        <v>128925.0</v>
      </c>
      <c r="U396" s="32" t="n">
        <f>33651</f>
        <v>33651.0</v>
      </c>
      <c r="V396" s="32" t="n">
        <f>10428927082</f>
        <v>1.0428927082E10</v>
      </c>
      <c r="W396" s="32" t="n">
        <f>2719842782</f>
        <v>2.719842782E9</v>
      </c>
      <c r="X396" s="36" t="n">
        <f>19</f>
        <v>19.0</v>
      </c>
    </row>
    <row r="397">
      <c r="A397" s="27" t="s">
        <v>42</v>
      </c>
      <c r="B397" s="27" t="s">
        <v>1240</v>
      </c>
      <c r="C397" s="27" t="s">
        <v>1241</v>
      </c>
      <c r="D397" s="27" t="s">
        <v>1242</v>
      </c>
      <c r="E397" s="28" t="s">
        <v>46</v>
      </c>
      <c r="F397" s="29" t="s">
        <v>46</v>
      </c>
      <c r="G397" s="30" t="s">
        <v>46</v>
      </c>
      <c r="H397" s="31"/>
      <c r="I397" s="31" t="s">
        <v>47</v>
      </c>
      <c r="J397" s="32" t="n">
        <v>1.0</v>
      </c>
      <c r="K397" s="33" t="n">
        <f>73200</f>
        <v>73200.0</v>
      </c>
      <c r="L397" s="34" t="s">
        <v>48</v>
      </c>
      <c r="M397" s="33" t="n">
        <f>73700</f>
        <v>73700.0</v>
      </c>
      <c r="N397" s="34" t="s">
        <v>48</v>
      </c>
      <c r="O397" s="33" t="n">
        <f>69500</f>
        <v>69500.0</v>
      </c>
      <c r="P397" s="34" t="s">
        <v>78</v>
      </c>
      <c r="Q397" s="33" t="n">
        <f>69600</f>
        <v>69600.0</v>
      </c>
      <c r="R397" s="34" t="s">
        <v>50</v>
      </c>
      <c r="S397" s="35" t="n">
        <f>71531.58</f>
        <v>71531.58</v>
      </c>
      <c r="T397" s="32" t="n">
        <f>345006</f>
        <v>345006.0</v>
      </c>
      <c r="U397" s="32" t="n">
        <f>65762</f>
        <v>65762.0</v>
      </c>
      <c r="V397" s="32" t="n">
        <f>24650639765</f>
        <v>2.4650639765E10</v>
      </c>
      <c r="W397" s="32" t="n">
        <f>4695541665</f>
        <v>4.695541665E9</v>
      </c>
      <c r="X397" s="36" t="n">
        <f>19</f>
        <v>19.0</v>
      </c>
    </row>
    <row r="398">
      <c r="A398" s="27" t="s">
        <v>42</v>
      </c>
      <c r="B398" s="27" t="s">
        <v>1243</v>
      </c>
      <c r="C398" s="27" t="s">
        <v>1244</v>
      </c>
      <c r="D398" s="27" t="s">
        <v>1245</v>
      </c>
      <c r="E398" s="28" t="s">
        <v>46</v>
      </c>
      <c r="F398" s="29" t="s">
        <v>46</v>
      </c>
      <c r="G398" s="30" t="s">
        <v>46</v>
      </c>
      <c r="H398" s="31"/>
      <c r="I398" s="31" t="s">
        <v>414</v>
      </c>
      <c r="J398" s="32" t="n">
        <v>1.0</v>
      </c>
      <c r="K398" s="33" t="n">
        <f>130900</f>
        <v>130900.0</v>
      </c>
      <c r="L398" s="34" t="s">
        <v>48</v>
      </c>
      <c r="M398" s="33" t="n">
        <f>131200</f>
        <v>131200.0</v>
      </c>
      <c r="N398" s="34" t="s">
        <v>48</v>
      </c>
      <c r="O398" s="33" t="n">
        <f>126200</f>
        <v>126200.0</v>
      </c>
      <c r="P398" s="34" t="s">
        <v>98</v>
      </c>
      <c r="Q398" s="33" t="n">
        <f>128100</f>
        <v>128100.0</v>
      </c>
      <c r="R398" s="34" t="s">
        <v>50</v>
      </c>
      <c r="S398" s="35" t="n">
        <f>128515.79</f>
        <v>128515.79</v>
      </c>
      <c r="T398" s="32" t="n">
        <f>18906</f>
        <v>18906.0</v>
      </c>
      <c r="U398" s="32" t="n">
        <f>2546</f>
        <v>2546.0</v>
      </c>
      <c r="V398" s="32" t="n">
        <f>2428066284</f>
        <v>2.428066284E9</v>
      </c>
      <c r="W398" s="32" t="n">
        <f>326730484</f>
        <v>3.26730484E8</v>
      </c>
      <c r="X398" s="36" t="n">
        <f>19</f>
        <v>19.0</v>
      </c>
    </row>
    <row r="399">
      <c r="A399" s="27" t="s">
        <v>42</v>
      </c>
      <c r="B399" s="27" t="s">
        <v>1246</v>
      </c>
      <c r="C399" s="27" t="s">
        <v>1247</v>
      </c>
      <c r="D399" s="27" t="s">
        <v>1248</v>
      </c>
      <c r="E399" s="28" t="s">
        <v>46</v>
      </c>
      <c r="F399" s="29" t="s">
        <v>46</v>
      </c>
      <c r="G399" s="30" t="s">
        <v>46</v>
      </c>
      <c r="H399" s="31"/>
      <c r="I399" s="31" t="s">
        <v>47</v>
      </c>
      <c r="J399" s="32" t="n">
        <v>1.0</v>
      </c>
      <c r="K399" s="33" t="n">
        <f>95800</f>
        <v>95800.0</v>
      </c>
      <c r="L399" s="34" t="s">
        <v>48</v>
      </c>
      <c r="M399" s="33" t="n">
        <f>97500</f>
        <v>97500.0</v>
      </c>
      <c r="N399" s="34" t="s">
        <v>48</v>
      </c>
      <c r="O399" s="33" t="n">
        <f>94800</f>
        <v>94800.0</v>
      </c>
      <c r="P399" s="34" t="s">
        <v>82</v>
      </c>
      <c r="Q399" s="33" t="n">
        <f>95300</f>
        <v>95300.0</v>
      </c>
      <c r="R399" s="34" t="s">
        <v>50</v>
      </c>
      <c r="S399" s="35" t="n">
        <f>95942.11</f>
        <v>95942.11</v>
      </c>
      <c r="T399" s="32" t="n">
        <f>176998</f>
        <v>176998.0</v>
      </c>
      <c r="U399" s="32" t="n">
        <f>24290</f>
        <v>24290.0</v>
      </c>
      <c r="V399" s="32" t="n">
        <f>16949509258</f>
        <v>1.6949509258E10</v>
      </c>
      <c r="W399" s="32" t="n">
        <f>2327173458</f>
        <v>2.327173458E9</v>
      </c>
      <c r="X399" s="36" t="n">
        <f>19</f>
        <v>19.0</v>
      </c>
    </row>
    <row r="400">
      <c r="A400" s="27" t="s">
        <v>42</v>
      </c>
      <c r="B400" s="27" t="s">
        <v>1249</v>
      </c>
      <c r="C400" s="27" t="s">
        <v>1250</v>
      </c>
      <c r="D400" s="27" t="s">
        <v>1251</v>
      </c>
      <c r="E400" s="28" t="s">
        <v>46</v>
      </c>
      <c r="F400" s="29" t="s">
        <v>46</v>
      </c>
      <c r="G400" s="30" t="s">
        <v>46</v>
      </c>
      <c r="H400" s="31"/>
      <c r="I400" s="31" t="s">
        <v>47</v>
      </c>
      <c r="J400" s="32" t="n">
        <v>1.0</v>
      </c>
      <c r="K400" s="33" t="n">
        <f>90500</f>
        <v>90500.0</v>
      </c>
      <c r="L400" s="34" t="s">
        <v>48</v>
      </c>
      <c r="M400" s="33" t="n">
        <f>90600</f>
        <v>90600.0</v>
      </c>
      <c r="N400" s="34" t="s">
        <v>48</v>
      </c>
      <c r="O400" s="33" t="n">
        <f>84000</f>
        <v>84000.0</v>
      </c>
      <c r="P400" s="34" t="s">
        <v>50</v>
      </c>
      <c r="Q400" s="33" t="n">
        <f>84200</f>
        <v>84200.0</v>
      </c>
      <c r="R400" s="34" t="s">
        <v>50</v>
      </c>
      <c r="S400" s="35" t="n">
        <f>87247.37</f>
        <v>87247.37</v>
      </c>
      <c r="T400" s="32" t="n">
        <f>70087</f>
        <v>70087.0</v>
      </c>
      <c r="U400" s="32" t="n">
        <f>11383</f>
        <v>11383.0</v>
      </c>
      <c r="V400" s="32" t="n">
        <f>6073775664</f>
        <v>6.073775664E9</v>
      </c>
      <c r="W400" s="32" t="n">
        <f>981647464</f>
        <v>9.81647464E8</v>
      </c>
      <c r="X400" s="36" t="n">
        <f>19</f>
        <v>19.0</v>
      </c>
    </row>
    <row r="401">
      <c r="A401" s="27" t="s">
        <v>42</v>
      </c>
      <c r="B401" s="27" t="s">
        <v>1252</v>
      </c>
      <c r="C401" s="27" t="s">
        <v>1253</v>
      </c>
      <c r="D401" s="27" t="s">
        <v>1254</v>
      </c>
      <c r="E401" s="28" t="s">
        <v>46</v>
      </c>
      <c r="F401" s="29" t="s">
        <v>46</v>
      </c>
      <c r="G401" s="30" t="s">
        <v>46</v>
      </c>
      <c r="H401" s="31"/>
      <c r="I401" s="31" t="s">
        <v>414</v>
      </c>
      <c r="J401" s="32" t="n">
        <v>1.0</v>
      </c>
      <c r="K401" s="33" t="n">
        <f>15875</f>
        <v>15875.0</v>
      </c>
      <c r="L401" s="34" t="s">
        <v>48</v>
      </c>
      <c r="M401" s="33" t="n">
        <f>16145</f>
        <v>16145.0</v>
      </c>
      <c r="N401" s="34" t="s">
        <v>48</v>
      </c>
      <c r="O401" s="33" t="n">
        <f>15200</f>
        <v>15200.0</v>
      </c>
      <c r="P401" s="34" t="s">
        <v>49</v>
      </c>
      <c r="Q401" s="33" t="n">
        <f>15580</f>
        <v>15580.0</v>
      </c>
      <c r="R401" s="34" t="s">
        <v>50</v>
      </c>
      <c r="S401" s="35" t="n">
        <f>15640.79</f>
        <v>15640.79</v>
      </c>
      <c r="T401" s="32" t="n">
        <f>18651</f>
        <v>18651.0</v>
      </c>
      <c r="U401" s="32" t="str">
        <f>"－"</f>
        <v>－</v>
      </c>
      <c r="V401" s="32" t="n">
        <f>291784415</f>
        <v>2.91784415E8</v>
      </c>
      <c r="W401" s="32" t="str">
        <f>"－"</f>
        <v>－</v>
      </c>
      <c r="X401" s="36" t="n">
        <f>19</f>
        <v>19.0</v>
      </c>
    </row>
    <row r="402">
      <c r="A402" s="27" t="s">
        <v>42</v>
      </c>
      <c r="B402" s="27" t="s">
        <v>1255</v>
      </c>
      <c r="C402" s="27" t="s">
        <v>1256</v>
      </c>
      <c r="D402" s="27" t="s">
        <v>1257</v>
      </c>
      <c r="E402" s="28" t="s">
        <v>46</v>
      </c>
      <c r="F402" s="29" t="s">
        <v>46</v>
      </c>
      <c r="G402" s="30" t="s">
        <v>46</v>
      </c>
      <c r="H402" s="31"/>
      <c r="I402" s="31" t="s">
        <v>47</v>
      </c>
      <c r="J402" s="32" t="n">
        <v>1.0</v>
      </c>
      <c r="K402" s="33" t="n">
        <f>147000</f>
        <v>147000.0</v>
      </c>
      <c r="L402" s="34" t="s">
        <v>48</v>
      </c>
      <c r="M402" s="33" t="n">
        <f>148100</f>
        <v>148100.0</v>
      </c>
      <c r="N402" s="34" t="s">
        <v>48</v>
      </c>
      <c r="O402" s="33" t="n">
        <f>138600</f>
        <v>138600.0</v>
      </c>
      <c r="P402" s="34" t="s">
        <v>50</v>
      </c>
      <c r="Q402" s="33" t="n">
        <f>139400</f>
        <v>139400.0</v>
      </c>
      <c r="R402" s="34" t="s">
        <v>50</v>
      </c>
      <c r="S402" s="35" t="n">
        <f>143194.74</f>
        <v>143194.74</v>
      </c>
      <c r="T402" s="32" t="n">
        <f>247199</f>
        <v>247199.0</v>
      </c>
      <c r="U402" s="32" t="n">
        <f>78124</f>
        <v>78124.0</v>
      </c>
      <c r="V402" s="32" t="n">
        <f>35459412520</f>
        <v>3.545941252E10</v>
      </c>
      <c r="W402" s="32" t="n">
        <f>11254506820</f>
        <v>1.125450682E10</v>
      </c>
      <c r="X402" s="36" t="n">
        <f>19</f>
        <v>19.0</v>
      </c>
    </row>
    <row r="403">
      <c r="A403" s="27" t="s">
        <v>42</v>
      </c>
      <c r="B403" s="27" t="s">
        <v>1258</v>
      </c>
      <c r="C403" s="27" t="s">
        <v>1259</v>
      </c>
      <c r="D403" s="27" t="s">
        <v>1260</v>
      </c>
      <c r="E403" s="28" t="s">
        <v>46</v>
      </c>
      <c r="F403" s="29" t="s">
        <v>46</v>
      </c>
      <c r="G403" s="30" t="s">
        <v>46</v>
      </c>
      <c r="H403" s="31"/>
      <c r="I403" s="31" t="s">
        <v>414</v>
      </c>
      <c r="J403" s="32" t="n">
        <v>1.0</v>
      </c>
      <c r="K403" s="33" t="n">
        <f>111500</f>
        <v>111500.0</v>
      </c>
      <c r="L403" s="34" t="s">
        <v>48</v>
      </c>
      <c r="M403" s="33" t="n">
        <f>112500</f>
        <v>112500.0</v>
      </c>
      <c r="N403" s="34" t="s">
        <v>49</v>
      </c>
      <c r="O403" s="33" t="n">
        <f>106000</f>
        <v>106000.0</v>
      </c>
      <c r="P403" s="34" t="s">
        <v>78</v>
      </c>
      <c r="Q403" s="33" t="n">
        <f>108000</f>
        <v>108000.0</v>
      </c>
      <c r="R403" s="34" t="s">
        <v>50</v>
      </c>
      <c r="S403" s="35" t="n">
        <f>109600</f>
        <v>109600.0</v>
      </c>
      <c r="T403" s="32" t="n">
        <f>23560</f>
        <v>23560.0</v>
      </c>
      <c r="U403" s="32" t="n">
        <f>2903</f>
        <v>2903.0</v>
      </c>
      <c r="V403" s="32" t="n">
        <f>2584224921</f>
        <v>2.584224921E9</v>
      </c>
      <c r="W403" s="32" t="n">
        <f>318335721</f>
        <v>3.18335721E8</v>
      </c>
      <c r="X403" s="36" t="n">
        <f>19</f>
        <v>19.0</v>
      </c>
    </row>
    <row r="404">
      <c r="A404" s="27" t="s">
        <v>42</v>
      </c>
      <c r="B404" s="27" t="s">
        <v>1261</v>
      </c>
      <c r="C404" s="27" t="s">
        <v>1262</v>
      </c>
      <c r="D404" s="27" t="s">
        <v>1263</v>
      </c>
      <c r="E404" s="28" t="s">
        <v>46</v>
      </c>
      <c r="F404" s="29" t="s">
        <v>46</v>
      </c>
      <c r="G404" s="30" t="s">
        <v>46</v>
      </c>
      <c r="H404" s="31"/>
      <c r="I404" s="31" t="s">
        <v>47</v>
      </c>
      <c r="J404" s="32" t="n">
        <v>1.0</v>
      </c>
      <c r="K404" s="33" t="n">
        <f>142700</f>
        <v>142700.0</v>
      </c>
      <c r="L404" s="34" t="s">
        <v>48</v>
      </c>
      <c r="M404" s="33" t="n">
        <f>147100</f>
        <v>147100.0</v>
      </c>
      <c r="N404" s="34" t="s">
        <v>157</v>
      </c>
      <c r="O404" s="33" t="n">
        <f>138900</f>
        <v>138900.0</v>
      </c>
      <c r="P404" s="34" t="s">
        <v>114</v>
      </c>
      <c r="Q404" s="33" t="n">
        <f>144300</f>
        <v>144300.0</v>
      </c>
      <c r="R404" s="34" t="s">
        <v>50</v>
      </c>
      <c r="S404" s="35" t="n">
        <f>143473.68</f>
        <v>143473.68</v>
      </c>
      <c r="T404" s="32" t="n">
        <f>248428</f>
        <v>248428.0</v>
      </c>
      <c r="U404" s="32" t="n">
        <f>73428</f>
        <v>73428.0</v>
      </c>
      <c r="V404" s="32" t="n">
        <f>35592032793</f>
        <v>3.5592032793E10</v>
      </c>
      <c r="W404" s="32" t="n">
        <f>10523793593</f>
        <v>1.0523793593E10</v>
      </c>
      <c r="X404" s="36" t="n">
        <f>19</f>
        <v>19.0</v>
      </c>
    </row>
    <row r="405">
      <c r="A405" s="27" t="s">
        <v>42</v>
      </c>
      <c r="B405" s="27" t="s">
        <v>1264</v>
      </c>
      <c r="C405" s="27" t="s">
        <v>1265</v>
      </c>
      <c r="D405" s="27" t="s">
        <v>1266</v>
      </c>
      <c r="E405" s="28" t="s">
        <v>46</v>
      </c>
      <c r="F405" s="29" t="s">
        <v>46</v>
      </c>
      <c r="G405" s="30" t="s">
        <v>46</v>
      </c>
      <c r="H405" s="31"/>
      <c r="I405" s="31" t="s">
        <v>47</v>
      </c>
      <c r="J405" s="32" t="n">
        <v>1.0</v>
      </c>
      <c r="K405" s="33" t="n">
        <f>53500</f>
        <v>53500.0</v>
      </c>
      <c r="L405" s="34" t="s">
        <v>48</v>
      </c>
      <c r="M405" s="33" t="n">
        <f>55400</f>
        <v>55400.0</v>
      </c>
      <c r="N405" s="34" t="s">
        <v>114</v>
      </c>
      <c r="O405" s="33" t="n">
        <f>52100</f>
        <v>52100.0</v>
      </c>
      <c r="P405" s="34" t="s">
        <v>98</v>
      </c>
      <c r="Q405" s="33" t="n">
        <f>54500</f>
        <v>54500.0</v>
      </c>
      <c r="R405" s="34" t="s">
        <v>50</v>
      </c>
      <c r="S405" s="35" t="n">
        <f>53526.32</f>
        <v>53526.32</v>
      </c>
      <c r="T405" s="32" t="n">
        <f>269666</f>
        <v>269666.0</v>
      </c>
      <c r="U405" s="32" t="n">
        <f>53071</f>
        <v>53071.0</v>
      </c>
      <c r="V405" s="32" t="n">
        <f>14474030938</f>
        <v>1.4474030938E10</v>
      </c>
      <c r="W405" s="32" t="n">
        <f>2846584838</f>
        <v>2.846584838E9</v>
      </c>
      <c r="X405" s="36" t="n">
        <f>19</f>
        <v>19.0</v>
      </c>
    </row>
    <row r="406">
      <c r="A406" s="27" t="s">
        <v>42</v>
      </c>
      <c r="B406" s="27" t="s">
        <v>1267</v>
      </c>
      <c r="C406" s="27" t="s">
        <v>1268</v>
      </c>
      <c r="D406" s="27" t="s">
        <v>1269</v>
      </c>
      <c r="E406" s="28" t="s">
        <v>46</v>
      </c>
      <c r="F406" s="29" t="s">
        <v>46</v>
      </c>
      <c r="G406" s="30" t="s">
        <v>46</v>
      </c>
      <c r="H406" s="31"/>
      <c r="I406" s="31" t="s">
        <v>47</v>
      </c>
      <c r="J406" s="32" t="n">
        <v>1.0</v>
      </c>
      <c r="K406" s="33" t="n">
        <f>4900</f>
        <v>4900.0</v>
      </c>
      <c r="L406" s="34" t="s">
        <v>48</v>
      </c>
      <c r="M406" s="33" t="n">
        <f>5276</f>
        <v>5276.0</v>
      </c>
      <c r="N406" s="34" t="s">
        <v>200</v>
      </c>
      <c r="O406" s="33" t="n">
        <f>4615</f>
        <v>4615.0</v>
      </c>
      <c r="P406" s="34" t="s">
        <v>308</v>
      </c>
      <c r="Q406" s="33" t="n">
        <f>5190</f>
        <v>5190.0</v>
      </c>
      <c r="R406" s="34" t="s">
        <v>50</v>
      </c>
      <c r="S406" s="35" t="n">
        <f>4911.74</f>
        <v>4911.74</v>
      </c>
      <c r="T406" s="32" t="n">
        <f>111954</f>
        <v>111954.0</v>
      </c>
      <c r="U406" s="32" t="str">
        <f>"－"</f>
        <v>－</v>
      </c>
      <c r="V406" s="32" t="n">
        <f>551244417</f>
        <v>5.51244417E8</v>
      </c>
      <c r="W406" s="32" t="str">
        <f>"－"</f>
        <v>－</v>
      </c>
      <c r="X406" s="36" t="n">
        <f>19</f>
        <v>19.0</v>
      </c>
    </row>
    <row r="407">
      <c r="A407" s="27" t="s">
        <v>42</v>
      </c>
      <c r="B407" s="27" t="s">
        <v>1270</v>
      </c>
      <c r="C407" s="27" t="s">
        <v>1271</v>
      </c>
      <c r="D407" s="27" t="s">
        <v>1272</v>
      </c>
      <c r="E407" s="28" t="s">
        <v>46</v>
      </c>
      <c r="F407" s="29" t="s">
        <v>46</v>
      </c>
      <c r="G407" s="30" t="s">
        <v>46</v>
      </c>
      <c r="H407" s="31"/>
      <c r="I407" s="31" t="s">
        <v>414</v>
      </c>
      <c r="J407" s="32" t="n">
        <v>1.0</v>
      </c>
      <c r="K407" s="33" t="n">
        <f>100200</f>
        <v>100200.0</v>
      </c>
      <c r="L407" s="34" t="s">
        <v>48</v>
      </c>
      <c r="M407" s="33" t="n">
        <f>100400</f>
        <v>100400.0</v>
      </c>
      <c r="N407" s="34" t="s">
        <v>48</v>
      </c>
      <c r="O407" s="33" t="n">
        <f>96400</f>
        <v>96400.0</v>
      </c>
      <c r="P407" s="34" t="s">
        <v>50</v>
      </c>
      <c r="Q407" s="33" t="n">
        <f>96900</f>
        <v>96900.0</v>
      </c>
      <c r="R407" s="34" t="s">
        <v>50</v>
      </c>
      <c r="S407" s="35" t="n">
        <f>98142.11</f>
        <v>98142.11</v>
      </c>
      <c r="T407" s="32" t="n">
        <f>32797</f>
        <v>32797.0</v>
      </c>
      <c r="U407" s="32" t="n">
        <f>2816</f>
        <v>2816.0</v>
      </c>
      <c r="V407" s="32" t="n">
        <f>3216597957</f>
        <v>3.216597957E9</v>
      </c>
      <c r="W407" s="32" t="n">
        <f>275905057</f>
        <v>2.75905057E8</v>
      </c>
      <c r="X407" s="36" t="n">
        <f>19</f>
        <v>19.0</v>
      </c>
    </row>
    <row r="408">
      <c r="A408" s="27" t="s">
        <v>42</v>
      </c>
      <c r="B408" s="27" t="s">
        <v>1273</v>
      </c>
      <c r="C408" s="27" t="s">
        <v>1274</v>
      </c>
      <c r="D408" s="27" t="s">
        <v>1275</v>
      </c>
      <c r="E408" s="28" t="s">
        <v>46</v>
      </c>
      <c r="F408" s="29" t="s">
        <v>46</v>
      </c>
      <c r="G408" s="30" t="s">
        <v>46</v>
      </c>
      <c r="H408" s="31"/>
      <c r="I408" s="31" t="s">
        <v>47</v>
      </c>
      <c r="J408" s="32" t="n">
        <v>1.0</v>
      </c>
      <c r="K408" s="33" t="n">
        <f>103800</f>
        <v>103800.0</v>
      </c>
      <c r="L408" s="34" t="s">
        <v>48</v>
      </c>
      <c r="M408" s="33" t="n">
        <f>105800</f>
        <v>105800.0</v>
      </c>
      <c r="N408" s="34" t="s">
        <v>49</v>
      </c>
      <c r="O408" s="33" t="n">
        <f>98900</f>
        <v>98900.0</v>
      </c>
      <c r="P408" s="34" t="s">
        <v>50</v>
      </c>
      <c r="Q408" s="33" t="n">
        <f>99700</f>
        <v>99700.0</v>
      </c>
      <c r="R408" s="34" t="s">
        <v>50</v>
      </c>
      <c r="S408" s="35" t="n">
        <f>102273.68</f>
        <v>102273.68</v>
      </c>
      <c r="T408" s="32" t="n">
        <f>194329</f>
        <v>194329.0</v>
      </c>
      <c r="U408" s="32" t="n">
        <f>42583</f>
        <v>42583.0</v>
      </c>
      <c r="V408" s="32" t="n">
        <f>19845920446</f>
        <v>1.9845920446E10</v>
      </c>
      <c r="W408" s="32" t="n">
        <f>4339574746</f>
        <v>4.339574746E9</v>
      </c>
      <c r="X408" s="36" t="n">
        <f>19</f>
        <v>19.0</v>
      </c>
    </row>
    <row r="409">
      <c r="A409" s="27" t="s">
        <v>42</v>
      </c>
      <c r="B409" s="27" t="s">
        <v>1276</v>
      </c>
      <c r="C409" s="27" t="s">
        <v>1277</v>
      </c>
      <c r="D409" s="27" t="s">
        <v>1278</v>
      </c>
      <c r="E409" s="28" t="s">
        <v>46</v>
      </c>
      <c r="F409" s="29" t="s">
        <v>46</v>
      </c>
      <c r="G409" s="30" t="s">
        <v>46</v>
      </c>
      <c r="H409" s="31"/>
      <c r="I409" s="31" t="s">
        <v>414</v>
      </c>
      <c r="J409" s="32" t="n">
        <v>1.0</v>
      </c>
      <c r="K409" s="33" t="n">
        <f>66400</f>
        <v>66400.0</v>
      </c>
      <c r="L409" s="34" t="s">
        <v>48</v>
      </c>
      <c r="M409" s="33" t="n">
        <f>67600</f>
        <v>67600.0</v>
      </c>
      <c r="N409" s="34" t="s">
        <v>114</v>
      </c>
      <c r="O409" s="33" t="n">
        <f>64900</f>
        <v>64900.0</v>
      </c>
      <c r="P409" s="34" t="s">
        <v>49</v>
      </c>
      <c r="Q409" s="33" t="n">
        <f>66800</f>
        <v>66800.0</v>
      </c>
      <c r="R409" s="34" t="s">
        <v>50</v>
      </c>
      <c r="S409" s="35" t="n">
        <f>66400</f>
        <v>66400.0</v>
      </c>
      <c r="T409" s="32" t="n">
        <f>31272</f>
        <v>31272.0</v>
      </c>
      <c r="U409" s="32" t="n">
        <f>3911</f>
        <v>3911.0</v>
      </c>
      <c r="V409" s="32" t="n">
        <f>2070368266</f>
        <v>2.070368266E9</v>
      </c>
      <c r="W409" s="32" t="n">
        <f>259359266</f>
        <v>2.59359266E8</v>
      </c>
      <c r="X409" s="36" t="n">
        <f>19</f>
        <v>19.0</v>
      </c>
    </row>
    <row r="410">
      <c r="A410" s="27" t="s">
        <v>42</v>
      </c>
      <c r="B410" s="27" t="s">
        <v>1279</v>
      </c>
      <c r="C410" s="27" t="s">
        <v>1280</v>
      </c>
      <c r="D410" s="27" t="s">
        <v>1281</v>
      </c>
      <c r="E410" s="28" t="s">
        <v>46</v>
      </c>
      <c r="F410" s="29" t="s">
        <v>46</v>
      </c>
      <c r="G410" s="30" t="s">
        <v>46</v>
      </c>
      <c r="H410" s="31"/>
      <c r="I410" s="31" t="s">
        <v>47</v>
      </c>
      <c r="J410" s="32" t="n">
        <v>1.0</v>
      </c>
      <c r="K410" s="33" t="n">
        <f>41200</f>
        <v>41200.0</v>
      </c>
      <c r="L410" s="34" t="s">
        <v>48</v>
      </c>
      <c r="M410" s="33" t="n">
        <f>41950</f>
        <v>41950.0</v>
      </c>
      <c r="N410" s="34" t="s">
        <v>49</v>
      </c>
      <c r="O410" s="33" t="n">
        <f>40200</f>
        <v>40200.0</v>
      </c>
      <c r="P410" s="34" t="s">
        <v>50</v>
      </c>
      <c r="Q410" s="33" t="n">
        <f>40400</f>
        <v>40400.0</v>
      </c>
      <c r="R410" s="34" t="s">
        <v>50</v>
      </c>
      <c r="S410" s="35" t="n">
        <f>41239.47</f>
        <v>41239.47</v>
      </c>
      <c r="T410" s="32" t="n">
        <f>165167</f>
        <v>165167.0</v>
      </c>
      <c r="U410" s="32" t="n">
        <f>28278</f>
        <v>28278.0</v>
      </c>
      <c r="V410" s="32" t="n">
        <f>6805757282</f>
        <v>6.805757282E9</v>
      </c>
      <c r="W410" s="32" t="n">
        <f>1166212032</f>
        <v>1.166212032E9</v>
      </c>
      <c r="X410" s="36" t="n">
        <f>19</f>
        <v>19.0</v>
      </c>
    </row>
    <row r="411">
      <c r="A411" s="27" t="s">
        <v>42</v>
      </c>
      <c r="B411" s="27" t="s">
        <v>1282</v>
      </c>
      <c r="C411" s="27" t="s">
        <v>1283</v>
      </c>
      <c r="D411" s="27" t="s">
        <v>1284</v>
      </c>
      <c r="E411" s="28" t="s">
        <v>46</v>
      </c>
      <c r="F411" s="29" t="s">
        <v>46</v>
      </c>
      <c r="G411" s="30" t="s">
        <v>46</v>
      </c>
      <c r="H411" s="31"/>
      <c r="I411" s="31" t="s">
        <v>47</v>
      </c>
      <c r="J411" s="32" t="n">
        <v>1.0</v>
      </c>
      <c r="K411" s="33" t="n">
        <f>113900</f>
        <v>113900.0</v>
      </c>
      <c r="L411" s="34" t="s">
        <v>48</v>
      </c>
      <c r="M411" s="33" t="n">
        <f>115000</f>
        <v>115000.0</v>
      </c>
      <c r="N411" s="34" t="s">
        <v>49</v>
      </c>
      <c r="O411" s="33" t="n">
        <f>110100</f>
        <v>110100.0</v>
      </c>
      <c r="P411" s="34" t="s">
        <v>50</v>
      </c>
      <c r="Q411" s="33" t="n">
        <f>110800</f>
        <v>110800.0</v>
      </c>
      <c r="R411" s="34" t="s">
        <v>50</v>
      </c>
      <c r="S411" s="35" t="n">
        <f>112694.74</f>
        <v>112694.74</v>
      </c>
      <c r="T411" s="32" t="n">
        <f>109000</f>
        <v>109000.0</v>
      </c>
      <c r="U411" s="32" t="n">
        <f>33005</f>
        <v>33005.0</v>
      </c>
      <c r="V411" s="32" t="n">
        <f>12296070411</f>
        <v>1.2296070411E10</v>
      </c>
      <c r="W411" s="32" t="n">
        <f>3725453411</f>
        <v>3.725453411E9</v>
      </c>
      <c r="X411" s="36" t="n">
        <f>19</f>
        <v>19.0</v>
      </c>
    </row>
    <row r="412">
      <c r="A412" s="27" t="s">
        <v>42</v>
      </c>
      <c r="B412" s="27" t="s">
        <v>1285</v>
      </c>
      <c r="C412" s="27" t="s">
        <v>1286</v>
      </c>
      <c r="D412" s="27" t="s">
        <v>1287</v>
      </c>
      <c r="E412" s="28" t="s">
        <v>46</v>
      </c>
      <c r="F412" s="29" t="s">
        <v>46</v>
      </c>
      <c r="G412" s="30" t="s">
        <v>46</v>
      </c>
      <c r="H412" s="31"/>
      <c r="I412" s="31" t="s">
        <v>47</v>
      </c>
      <c r="J412" s="32" t="n">
        <v>1.0</v>
      </c>
      <c r="K412" s="33" t="n">
        <f>134300</f>
        <v>134300.0</v>
      </c>
      <c r="L412" s="34" t="s">
        <v>48</v>
      </c>
      <c r="M412" s="33" t="n">
        <f>139600</f>
        <v>139600.0</v>
      </c>
      <c r="N412" s="34" t="s">
        <v>49</v>
      </c>
      <c r="O412" s="33" t="n">
        <f>133500</f>
        <v>133500.0</v>
      </c>
      <c r="P412" s="34" t="s">
        <v>66</v>
      </c>
      <c r="Q412" s="33" t="n">
        <f>134600</f>
        <v>134600.0</v>
      </c>
      <c r="R412" s="34" t="s">
        <v>50</v>
      </c>
      <c r="S412" s="35" t="n">
        <f>135889.47</f>
        <v>135889.47</v>
      </c>
      <c r="T412" s="32" t="n">
        <f>50169</f>
        <v>50169.0</v>
      </c>
      <c r="U412" s="32" t="n">
        <f>9353</f>
        <v>9353.0</v>
      </c>
      <c r="V412" s="32" t="n">
        <f>6819350420</f>
        <v>6.81935042E9</v>
      </c>
      <c r="W412" s="32" t="n">
        <f>1271573420</f>
        <v>1.27157342E9</v>
      </c>
      <c r="X412" s="36" t="n">
        <f>19</f>
        <v>19.0</v>
      </c>
    </row>
    <row r="413">
      <c r="A413" s="27" t="s">
        <v>42</v>
      </c>
      <c r="B413" s="27" t="s">
        <v>1288</v>
      </c>
      <c r="C413" s="27" t="s">
        <v>1289</v>
      </c>
      <c r="D413" s="27" t="s">
        <v>1290</v>
      </c>
      <c r="E413" s="28" t="s">
        <v>46</v>
      </c>
      <c r="F413" s="29" t="s">
        <v>46</v>
      </c>
      <c r="G413" s="30" t="s">
        <v>46</v>
      </c>
      <c r="H413" s="31"/>
      <c r="I413" s="31" t="s">
        <v>414</v>
      </c>
      <c r="J413" s="32" t="n">
        <v>1.0</v>
      </c>
      <c r="K413" s="33" t="n">
        <f>102900</f>
        <v>102900.0</v>
      </c>
      <c r="L413" s="34" t="s">
        <v>48</v>
      </c>
      <c r="M413" s="33" t="n">
        <f>105900</f>
        <v>105900.0</v>
      </c>
      <c r="N413" s="34" t="s">
        <v>67</v>
      </c>
      <c r="O413" s="33" t="n">
        <f>102200</f>
        <v>102200.0</v>
      </c>
      <c r="P413" s="34" t="s">
        <v>48</v>
      </c>
      <c r="Q413" s="33" t="n">
        <f>104600</f>
        <v>104600.0</v>
      </c>
      <c r="R413" s="34" t="s">
        <v>50</v>
      </c>
      <c r="S413" s="35" t="n">
        <f>103984.21</f>
        <v>103984.21</v>
      </c>
      <c r="T413" s="32" t="n">
        <f>27133</f>
        <v>27133.0</v>
      </c>
      <c r="U413" s="32" t="n">
        <f>3238</f>
        <v>3238.0</v>
      </c>
      <c r="V413" s="32" t="n">
        <f>2819386260</f>
        <v>2.81938626E9</v>
      </c>
      <c r="W413" s="32" t="n">
        <f>335045660</f>
        <v>3.3504566E8</v>
      </c>
      <c r="X413" s="36" t="n">
        <f>19</f>
        <v>19.0</v>
      </c>
    </row>
    <row r="414">
      <c r="A414" s="27" t="s">
        <v>42</v>
      </c>
      <c r="B414" s="27" t="s">
        <v>1291</v>
      </c>
      <c r="C414" s="27" t="s">
        <v>1292</v>
      </c>
      <c r="D414" s="27" t="s">
        <v>1293</v>
      </c>
      <c r="E414" s="28" t="s">
        <v>46</v>
      </c>
      <c r="F414" s="29" t="s">
        <v>46</v>
      </c>
      <c r="G414" s="30" t="s">
        <v>46</v>
      </c>
      <c r="H414" s="31"/>
      <c r="I414" s="31" t="s">
        <v>47</v>
      </c>
      <c r="J414" s="32" t="n">
        <v>10.0</v>
      </c>
      <c r="K414" s="33" t="n">
        <f>303.7</f>
        <v>303.7</v>
      </c>
      <c r="L414" s="34" t="s">
        <v>48</v>
      </c>
      <c r="M414" s="33" t="n">
        <f>308</f>
        <v>308.0</v>
      </c>
      <c r="N414" s="34" t="s">
        <v>48</v>
      </c>
      <c r="O414" s="33" t="n">
        <f>290</f>
        <v>290.0</v>
      </c>
      <c r="P414" s="34" t="s">
        <v>49</v>
      </c>
      <c r="Q414" s="33" t="n">
        <f>301</f>
        <v>301.0</v>
      </c>
      <c r="R414" s="34" t="s">
        <v>50</v>
      </c>
      <c r="S414" s="35" t="n">
        <f>298.03</f>
        <v>298.03</v>
      </c>
      <c r="T414" s="32" t="n">
        <f>1518200</f>
        <v>1518200.0</v>
      </c>
      <c r="U414" s="32" t="n">
        <f>670</f>
        <v>670.0</v>
      </c>
      <c r="V414" s="32" t="n">
        <f>450736698</f>
        <v>4.50736698E8</v>
      </c>
      <c r="W414" s="32" t="n">
        <f>192426</f>
        <v>192426.0</v>
      </c>
      <c r="X414" s="36" t="n">
        <f>19</f>
        <v>19.0</v>
      </c>
    </row>
    <row r="415">
      <c r="A415" s="27" t="s">
        <v>42</v>
      </c>
      <c r="B415" s="27" t="s">
        <v>1294</v>
      </c>
      <c r="C415" s="27" t="s">
        <v>1295</v>
      </c>
      <c r="D415" s="27" t="s">
        <v>1296</v>
      </c>
      <c r="E415" s="28" t="s">
        <v>46</v>
      </c>
      <c r="F415" s="29" t="s">
        <v>46</v>
      </c>
      <c r="G415" s="30" t="s">
        <v>46</v>
      </c>
      <c r="H415" s="31"/>
      <c r="I415" s="31" t="s">
        <v>47</v>
      </c>
      <c r="J415" s="32" t="n">
        <v>1.0</v>
      </c>
      <c r="K415" s="33" t="n">
        <f>79300</f>
        <v>79300.0</v>
      </c>
      <c r="L415" s="34" t="s">
        <v>48</v>
      </c>
      <c r="M415" s="33" t="n">
        <f>79900</f>
        <v>79900.0</v>
      </c>
      <c r="N415" s="34" t="s">
        <v>114</v>
      </c>
      <c r="O415" s="33" t="n">
        <f>77800</f>
        <v>77800.0</v>
      </c>
      <c r="P415" s="34" t="s">
        <v>50</v>
      </c>
      <c r="Q415" s="33" t="n">
        <f>78500</f>
        <v>78500.0</v>
      </c>
      <c r="R415" s="34" t="s">
        <v>50</v>
      </c>
      <c r="S415" s="35" t="n">
        <f>78910.53</f>
        <v>78910.53</v>
      </c>
      <c r="T415" s="32" t="n">
        <f>165663</f>
        <v>165663.0</v>
      </c>
      <c r="U415" s="32" t="n">
        <f>17442</f>
        <v>17442.0</v>
      </c>
      <c r="V415" s="32" t="n">
        <f>13063205446</f>
        <v>1.3063205446E10</v>
      </c>
      <c r="W415" s="32" t="n">
        <f>1375114746</f>
        <v>1.375114746E9</v>
      </c>
      <c r="X415" s="36" t="n">
        <f>19</f>
        <v>19.0</v>
      </c>
    </row>
    <row r="416">
      <c r="A416" s="27" t="s">
        <v>42</v>
      </c>
      <c r="B416" s="27" t="s">
        <v>1297</v>
      </c>
      <c r="C416" s="27" t="s">
        <v>1298</v>
      </c>
      <c r="D416" s="27" t="s">
        <v>1299</v>
      </c>
      <c r="E416" s="28" t="s">
        <v>46</v>
      </c>
      <c r="F416" s="29" t="s">
        <v>46</v>
      </c>
      <c r="G416" s="30" t="s">
        <v>46</v>
      </c>
      <c r="H416" s="31"/>
      <c r="I416" s="31" t="s">
        <v>47</v>
      </c>
      <c r="J416" s="32" t="n">
        <v>10.0</v>
      </c>
      <c r="K416" s="33" t="n">
        <f>868</f>
        <v>868.0</v>
      </c>
      <c r="L416" s="34" t="s">
        <v>48</v>
      </c>
      <c r="M416" s="33" t="n">
        <f>873.9</f>
        <v>873.9</v>
      </c>
      <c r="N416" s="34" t="s">
        <v>48</v>
      </c>
      <c r="O416" s="33" t="n">
        <f>788.1</f>
        <v>788.1</v>
      </c>
      <c r="P416" s="34" t="s">
        <v>71</v>
      </c>
      <c r="Q416" s="33" t="n">
        <f>831</f>
        <v>831.0</v>
      </c>
      <c r="R416" s="34" t="s">
        <v>50</v>
      </c>
      <c r="S416" s="35" t="n">
        <f>824.41</f>
        <v>824.41</v>
      </c>
      <c r="T416" s="32" t="n">
        <f>68320</f>
        <v>68320.0</v>
      </c>
      <c r="U416" s="32" t="str">
        <f>"－"</f>
        <v>－</v>
      </c>
      <c r="V416" s="32" t="n">
        <f>55682866</f>
        <v>5.5682866E7</v>
      </c>
      <c r="W416" s="32" t="str">
        <f>"－"</f>
        <v>－</v>
      </c>
      <c r="X416" s="36" t="n">
        <f>19</f>
        <v>19.0</v>
      </c>
    </row>
    <row r="417">
      <c r="A417" s="27" t="s">
        <v>42</v>
      </c>
      <c r="B417" s="27" t="s">
        <v>1300</v>
      </c>
      <c r="C417" s="27" t="s">
        <v>1301</v>
      </c>
      <c r="D417" s="27" t="s">
        <v>1302</v>
      </c>
      <c r="E417" s="28" t="s">
        <v>46</v>
      </c>
      <c r="F417" s="29" t="s">
        <v>46</v>
      </c>
      <c r="G417" s="30" t="s">
        <v>46</v>
      </c>
      <c r="H417" s="31"/>
      <c r="I417" s="31" t="s">
        <v>47</v>
      </c>
      <c r="J417" s="32" t="n">
        <v>1.0</v>
      </c>
      <c r="K417" s="33" t="n">
        <f>3378</f>
        <v>3378.0</v>
      </c>
      <c r="L417" s="34" t="s">
        <v>48</v>
      </c>
      <c r="M417" s="33" t="n">
        <f>3445</f>
        <v>3445.0</v>
      </c>
      <c r="N417" s="34" t="s">
        <v>48</v>
      </c>
      <c r="O417" s="33" t="n">
        <f>3240</f>
        <v>3240.0</v>
      </c>
      <c r="P417" s="34" t="s">
        <v>49</v>
      </c>
      <c r="Q417" s="33" t="n">
        <f>3337</f>
        <v>3337.0</v>
      </c>
      <c r="R417" s="34" t="s">
        <v>50</v>
      </c>
      <c r="S417" s="35" t="n">
        <f>3345.32</f>
        <v>3345.32</v>
      </c>
      <c r="T417" s="32" t="n">
        <f>1857796</f>
        <v>1857796.0</v>
      </c>
      <c r="U417" s="32" t="n">
        <f>730991</f>
        <v>730991.0</v>
      </c>
      <c r="V417" s="32" t="n">
        <f>6202815941</f>
        <v>6.202815941E9</v>
      </c>
      <c r="W417" s="32" t="n">
        <f>2445223945</f>
        <v>2.445223945E9</v>
      </c>
      <c r="X417" s="36" t="n">
        <f>19</f>
        <v>19.0</v>
      </c>
    </row>
    <row r="418">
      <c r="A418" s="27" t="s">
        <v>42</v>
      </c>
      <c r="B418" s="27" t="s">
        <v>1303</v>
      </c>
      <c r="C418" s="27" t="s">
        <v>1304</v>
      </c>
      <c r="D418" s="27" t="s">
        <v>1305</v>
      </c>
      <c r="E418" s="28" t="s">
        <v>46</v>
      </c>
      <c r="F418" s="29" t="s">
        <v>46</v>
      </c>
      <c r="G418" s="30" t="s">
        <v>46</v>
      </c>
      <c r="H418" s="31"/>
      <c r="I418" s="31" t="s">
        <v>47</v>
      </c>
      <c r="J418" s="32" t="n">
        <v>1.0</v>
      </c>
      <c r="K418" s="33" t="n">
        <f>1596</f>
        <v>1596.0</v>
      </c>
      <c r="L418" s="34" t="s">
        <v>48</v>
      </c>
      <c r="M418" s="33" t="n">
        <f>1598</f>
        <v>1598.0</v>
      </c>
      <c r="N418" s="34" t="s">
        <v>200</v>
      </c>
      <c r="O418" s="33" t="n">
        <f>1493</f>
        <v>1493.0</v>
      </c>
      <c r="P418" s="34" t="s">
        <v>71</v>
      </c>
      <c r="Q418" s="33" t="n">
        <f>1564</f>
        <v>1564.0</v>
      </c>
      <c r="R418" s="34" t="s">
        <v>50</v>
      </c>
      <c r="S418" s="35" t="n">
        <f>1547.47</f>
        <v>1547.47</v>
      </c>
      <c r="T418" s="32" t="n">
        <f>13080574</f>
        <v>1.3080574E7</v>
      </c>
      <c r="U418" s="32" t="n">
        <f>12575000</f>
        <v>1.2575E7</v>
      </c>
      <c r="V418" s="32" t="n">
        <f>19761967911</f>
        <v>1.9761967911E10</v>
      </c>
      <c r="W418" s="32" t="n">
        <f>18998540450</f>
        <v>1.899854045E10</v>
      </c>
      <c r="X418" s="36" t="n">
        <f>19</f>
        <v>19.0</v>
      </c>
    </row>
    <row r="419">
      <c r="A419" s="27" t="s">
        <v>42</v>
      </c>
      <c r="B419" s="27" t="s">
        <v>1306</v>
      </c>
      <c r="C419" s="27" t="s">
        <v>1307</v>
      </c>
      <c r="D419" s="27" t="s">
        <v>1308</v>
      </c>
      <c r="E419" s="28" t="s">
        <v>46</v>
      </c>
      <c r="F419" s="29" t="s">
        <v>46</v>
      </c>
      <c r="G419" s="30" t="s">
        <v>46</v>
      </c>
      <c r="H419" s="31"/>
      <c r="I419" s="31" t="s">
        <v>47</v>
      </c>
      <c r="J419" s="32" t="n">
        <v>10.0</v>
      </c>
      <c r="K419" s="33" t="n">
        <f>1086</f>
        <v>1086.0</v>
      </c>
      <c r="L419" s="34" t="s">
        <v>48</v>
      </c>
      <c r="M419" s="33" t="n">
        <f>1086</f>
        <v>1086.0</v>
      </c>
      <c r="N419" s="34" t="s">
        <v>48</v>
      </c>
      <c r="O419" s="33" t="n">
        <f>1037.5</f>
        <v>1037.5</v>
      </c>
      <c r="P419" s="34" t="s">
        <v>78</v>
      </c>
      <c r="Q419" s="33" t="n">
        <f>1037.5</f>
        <v>1037.5</v>
      </c>
      <c r="R419" s="34" t="s">
        <v>78</v>
      </c>
      <c r="S419" s="35" t="n">
        <f>1064.9</f>
        <v>1064.9</v>
      </c>
      <c r="T419" s="32" t="n">
        <f>490</f>
        <v>490.0</v>
      </c>
      <c r="U419" s="32" t="str">
        <f>"－"</f>
        <v>－</v>
      </c>
      <c r="V419" s="32" t="n">
        <f>517540</f>
        <v>517540.0</v>
      </c>
      <c r="W419" s="32" t="str">
        <f>"－"</f>
        <v>－</v>
      </c>
      <c r="X419" s="36" t="n">
        <f>10</f>
        <v>10.0</v>
      </c>
    </row>
    <row r="420">
      <c r="A420" s="27" t="s">
        <v>42</v>
      </c>
      <c r="B420" s="27" t="s">
        <v>1309</v>
      </c>
      <c r="C420" s="27" t="s">
        <v>1310</v>
      </c>
      <c r="D420" s="27" t="s">
        <v>1311</v>
      </c>
      <c r="E420" s="28" t="s">
        <v>46</v>
      </c>
      <c r="F420" s="29" t="s">
        <v>46</v>
      </c>
      <c r="G420" s="30" t="s">
        <v>46</v>
      </c>
      <c r="H420" s="31"/>
      <c r="I420" s="31" t="s">
        <v>47</v>
      </c>
      <c r="J420" s="32" t="n">
        <v>1.0</v>
      </c>
      <c r="K420" s="33" t="n">
        <f>2808</f>
        <v>2808.0</v>
      </c>
      <c r="L420" s="34" t="s">
        <v>48</v>
      </c>
      <c r="M420" s="33" t="n">
        <f>2814</f>
        <v>2814.0</v>
      </c>
      <c r="N420" s="34" t="s">
        <v>66</v>
      </c>
      <c r="O420" s="33" t="n">
        <f>2645</f>
        <v>2645.0</v>
      </c>
      <c r="P420" s="34" t="s">
        <v>71</v>
      </c>
      <c r="Q420" s="33" t="n">
        <f>2660</f>
        <v>2660.0</v>
      </c>
      <c r="R420" s="34" t="s">
        <v>50</v>
      </c>
      <c r="S420" s="35" t="n">
        <f>2697.89</f>
        <v>2697.89</v>
      </c>
      <c r="T420" s="32" t="n">
        <f>24044</f>
        <v>24044.0</v>
      </c>
      <c r="U420" s="32" t="n">
        <f>3908</f>
        <v>3908.0</v>
      </c>
      <c r="V420" s="32" t="n">
        <f>66237009</f>
        <v>6.6237009E7</v>
      </c>
      <c r="W420" s="32" t="n">
        <f>10889759</f>
        <v>1.0889759E7</v>
      </c>
      <c r="X420" s="36" t="n">
        <f>19</f>
        <v>19.0</v>
      </c>
    </row>
    <row r="421">
      <c r="A421" s="27" t="s">
        <v>42</v>
      </c>
      <c r="B421" s="27" t="s">
        <v>1312</v>
      </c>
      <c r="C421" s="27" t="s">
        <v>1313</v>
      </c>
      <c r="D421" s="27" t="s">
        <v>1314</v>
      </c>
      <c r="E421" s="28" t="s">
        <v>46</v>
      </c>
      <c r="F421" s="29" t="s">
        <v>46</v>
      </c>
      <c r="G421" s="30" t="s">
        <v>46</v>
      </c>
      <c r="H421" s="31"/>
      <c r="I421" s="31" t="s">
        <v>47</v>
      </c>
      <c r="J421" s="32" t="n">
        <v>1.0</v>
      </c>
      <c r="K421" s="33" t="n">
        <f>2570</f>
        <v>2570.0</v>
      </c>
      <c r="L421" s="34" t="s">
        <v>48</v>
      </c>
      <c r="M421" s="33" t="n">
        <f>2571</f>
        <v>2571.0</v>
      </c>
      <c r="N421" s="34" t="s">
        <v>66</v>
      </c>
      <c r="O421" s="33" t="n">
        <f>2368</f>
        <v>2368.0</v>
      </c>
      <c r="P421" s="34" t="s">
        <v>50</v>
      </c>
      <c r="Q421" s="33" t="n">
        <f>2372</f>
        <v>2372.0</v>
      </c>
      <c r="R421" s="34" t="s">
        <v>50</v>
      </c>
      <c r="S421" s="35" t="n">
        <f>2426.58</f>
        <v>2426.58</v>
      </c>
      <c r="T421" s="32" t="n">
        <f>128358</f>
        <v>128358.0</v>
      </c>
      <c r="U421" s="32" t="n">
        <f>2100</f>
        <v>2100.0</v>
      </c>
      <c r="V421" s="32" t="n">
        <f>311417090</f>
        <v>3.1141709E8</v>
      </c>
      <c r="W421" s="32" t="n">
        <f>4980381</f>
        <v>4980381.0</v>
      </c>
      <c r="X421" s="36" t="n">
        <f>19</f>
        <v>19.0</v>
      </c>
    </row>
    <row r="422">
      <c r="A422" s="27" t="s">
        <v>42</v>
      </c>
      <c r="B422" s="27" t="s">
        <v>1315</v>
      </c>
      <c r="C422" s="27" t="s">
        <v>1316</v>
      </c>
      <c r="D422" s="27" t="s">
        <v>1317</v>
      </c>
      <c r="E422" s="28" t="s">
        <v>46</v>
      </c>
      <c r="F422" s="29" t="s">
        <v>46</v>
      </c>
      <c r="G422" s="30" t="s">
        <v>46</v>
      </c>
      <c r="H422" s="31"/>
      <c r="I422" s="31" t="s">
        <v>47</v>
      </c>
      <c r="J422" s="32" t="n">
        <v>1.0</v>
      </c>
      <c r="K422" s="33" t="n">
        <f>4845</f>
        <v>4845.0</v>
      </c>
      <c r="L422" s="34" t="s">
        <v>48</v>
      </c>
      <c r="M422" s="33" t="n">
        <f>4845</f>
        <v>4845.0</v>
      </c>
      <c r="N422" s="34" t="s">
        <v>48</v>
      </c>
      <c r="O422" s="33" t="n">
        <f>4690</f>
        <v>4690.0</v>
      </c>
      <c r="P422" s="34" t="s">
        <v>200</v>
      </c>
      <c r="Q422" s="33" t="n">
        <f>4695</f>
        <v>4695.0</v>
      </c>
      <c r="R422" s="34" t="s">
        <v>200</v>
      </c>
      <c r="S422" s="35" t="n">
        <f>4762.5</f>
        <v>4762.5</v>
      </c>
      <c r="T422" s="32" t="n">
        <f>140783</f>
        <v>140783.0</v>
      </c>
      <c r="U422" s="32" t="str">
        <f>"－"</f>
        <v>－</v>
      </c>
      <c r="V422" s="32" t="n">
        <f>664268458</f>
        <v>6.64268458E8</v>
      </c>
      <c r="W422" s="32" t="str">
        <f>"－"</f>
        <v>－</v>
      </c>
      <c r="X422" s="36" t="n">
        <f>8</f>
        <v>8.0</v>
      </c>
    </row>
    <row r="423">
      <c r="A423" s="27" t="s">
        <v>42</v>
      </c>
      <c r="B423" s="27" t="s">
        <v>1318</v>
      </c>
      <c r="C423" s="27" t="s">
        <v>1319</v>
      </c>
      <c r="D423" s="27" t="s">
        <v>1320</v>
      </c>
      <c r="E423" s="28" t="s">
        <v>46</v>
      </c>
      <c r="F423" s="29" t="s">
        <v>46</v>
      </c>
      <c r="G423" s="30" t="s">
        <v>46</v>
      </c>
      <c r="H423" s="31"/>
      <c r="I423" s="31" t="s">
        <v>47</v>
      </c>
      <c r="J423" s="32" t="n">
        <v>1.0</v>
      </c>
      <c r="K423" s="33" t="n">
        <f>1371</f>
        <v>1371.0</v>
      </c>
      <c r="L423" s="34" t="s">
        <v>48</v>
      </c>
      <c r="M423" s="33" t="n">
        <f>1386</f>
        <v>1386.0</v>
      </c>
      <c r="N423" s="34" t="s">
        <v>78</v>
      </c>
      <c r="O423" s="33" t="n">
        <f>1275</f>
        <v>1275.0</v>
      </c>
      <c r="P423" s="34" t="s">
        <v>71</v>
      </c>
      <c r="Q423" s="33" t="n">
        <f>1342</f>
        <v>1342.0</v>
      </c>
      <c r="R423" s="34" t="s">
        <v>50</v>
      </c>
      <c r="S423" s="35" t="n">
        <f>1334.32</f>
        <v>1334.32</v>
      </c>
      <c r="T423" s="32" t="n">
        <f>1626</f>
        <v>1626.0</v>
      </c>
      <c r="U423" s="32" t="str">
        <f>"－"</f>
        <v>－</v>
      </c>
      <c r="V423" s="32" t="n">
        <f>2153477</f>
        <v>2153477.0</v>
      </c>
      <c r="W423" s="32" t="str">
        <f>"－"</f>
        <v>－</v>
      </c>
      <c r="X423" s="36" t="n">
        <f>19</f>
        <v>19.0</v>
      </c>
    </row>
    <row r="424">
      <c r="A424" s="27" t="s">
        <v>42</v>
      </c>
      <c r="B424" s="27" t="s">
        <v>1321</v>
      </c>
      <c r="C424" s="27" t="s">
        <v>1322</v>
      </c>
      <c r="D424" s="27" t="s">
        <v>1323</v>
      </c>
      <c r="E424" s="28" t="s">
        <v>46</v>
      </c>
      <c r="F424" s="29" t="s">
        <v>46</v>
      </c>
      <c r="G424" s="30" t="s">
        <v>46</v>
      </c>
      <c r="H424" s="31"/>
      <c r="I424" s="31" t="s">
        <v>47</v>
      </c>
      <c r="J424" s="32" t="n">
        <v>1.0</v>
      </c>
      <c r="K424" s="33" t="n">
        <f>983</f>
        <v>983.0</v>
      </c>
      <c r="L424" s="34" t="s">
        <v>48</v>
      </c>
      <c r="M424" s="33" t="n">
        <f>983</f>
        <v>983.0</v>
      </c>
      <c r="N424" s="34" t="s">
        <v>48</v>
      </c>
      <c r="O424" s="33" t="n">
        <f>869</f>
        <v>869.0</v>
      </c>
      <c r="P424" s="34" t="s">
        <v>71</v>
      </c>
      <c r="Q424" s="33" t="n">
        <f>881</f>
        <v>881.0</v>
      </c>
      <c r="R424" s="34" t="s">
        <v>50</v>
      </c>
      <c r="S424" s="35" t="n">
        <f>909.16</f>
        <v>909.16</v>
      </c>
      <c r="T424" s="32" t="n">
        <f>285468</f>
        <v>285468.0</v>
      </c>
      <c r="U424" s="32" t="str">
        <f>"－"</f>
        <v>－</v>
      </c>
      <c r="V424" s="32" t="n">
        <f>257499623</f>
        <v>2.57499623E8</v>
      </c>
      <c r="W424" s="32" t="str">
        <f>"－"</f>
        <v>－</v>
      </c>
      <c r="X424" s="36" t="n">
        <f>19</f>
        <v>19.0</v>
      </c>
    </row>
    <row r="425">
      <c r="A425" s="27" t="s">
        <v>42</v>
      </c>
      <c r="B425" s="27" t="s">
        <v>1324</v>
      </c>
      <c r="C425" s="27" t="s">
        <v>1325</v>
      </c>
      <c r="D425" s="27" t="s">
        <v>1326</v>
      </c>
      <c r="E425" s="28" t="s">
        <v>46</v>
      </c>
      <c r="F425" s="29" t="s">
        <v>46</v>
      </c>
      <c r="G425" s="30" t="s">
        <v>46</v>
      </c>
      <c r="H425" s="31"/>
      <c r="I425" s="31" t="s">
        <v>47</v>
      </c>
      <c r="J425" s="32" t="n">
        <v>1.0</v>
      </c>
      <c r="K425" s="33" t="n">
        <f>2174</f>
        <v>2174.0</v>
      </c>
      <c r="L425" s="34" t="s">
        <v>48</v>
      </c>
      <c r="M425" s="33" t="n">
        <f>2177</f>
        <v>2177.0</v>
      </c>
      <c r="N425" s="34" t="s">
        <v>66</v>
      </c>
      <c r="O425" s="33" t="n">
        <f>2066</f>
        <v>2066.0</v>
      </c>
      <c r="P425" s="34" t="s">
        <v>98</v>
      </c>
      <c r="Q425" s="33" t="n">
        <f>2096</f>
        <v>2096.0</v>
      </c>
      <c r="R425" s="34" t="s">
        <v>50</v>
      </c>
      <c r="S425" s="35" t="n">
        <f>2109.68</f>
        <v>2109.68</v>
      </c>
      <c r="T425" s="32" t="n">
        <f>839058</f>
        <v>839058.0</v>
      </c>
      <c r="U425" s="32" t="n">
        <f>287000</f>
        <v>287000.0</v>
      </c>
      <c r="V425" s="32" t="n">
        <f>1759594227</f>
        <v>1.759594227E9</v>
      </c>
      <c r="W425" s="32" t="n">
        <f>598969028</f>
        <v>5.98969028E8</v>
      </c>
      <c r="X425" s="36" t="n">
        <f>19</f>
        <v>19.0</v>
      </c>
    </row>
    <row r="426">
      <c r="A426" s="27" t="s">
        <v>42</v>
      </c>
      <c r="B426" s="27" t="s">
        <v>1327</v>
      </c>
      <c r="C426" s="27" t="s">
        <v>1328</v>
      </c>
      <c r="D426" s="27" t="s">
        <v>1329</v>
      </c>
      <c r="E426" s="28" t="s">
        <v>46</v>
      </c>
      <c r="F426" s="29" t="s">
        <v>46</v>
      </c>
      <c r="G426" s="30" t="s">
        <v>46</v>
      </c>
      <c r="H426" s="31"/>
      <c r="I426" s="31" t="s">
        <v>47</v>
      </c>
      <c r="J426" s="32" t="n">
        <v>1.0</v>
      </c>
      <c r="K426" s="33" t="n">
        <f>1890</f>
        <v>1890.0</v>
      </c>
      <c r="L426" s="34" t="s">
        <v>48</v>
      </c>
      <c r="M426" s="33" t="n">
        <f>1900</f>
        <v>1900.0</v>
      </c>
      <c r="N426" s="34" t="s">
        <v>217</v>
      </c>
      <c r="O426" s="33" t="n">
        <f>1852</f>
        <v>1852.0</v>
      </c>
      <c r="P426" s="34" t="s">
        <v>78</v>
      </c>
      <c r="Q426" s="33" t="n">
        <f>1858</f>
        <v>1858.0</v>
      </c>
      <c r="R426" s="34" t="s">
        <v>50</v>
      </c>
      <c r="S426" s="35" t="n">
        <f>1873.5</f>
        <v>1873.5</v>
      </c>
      <c r="T426" s="32" t="n">
        <f>2035777</f>
        <v>2035777.0</v>
      </c>
      <c r="U426" s="32" t="n">
        <f>1810000</f>
        <v>1810000.0</v>
      </c>
      <c r="V426" s="32" t="n">
        <f>3777290199</f>
        <v>3.777290199E9</v>
      </c>
      <c r="W426" s="32" t="n">
        <f>3355269400</f>
        <v>3.3552694E9</v>
      </c>
      <c r="X426" s="36" t="n">
        <f>18</f>
        <v>18.0</v>
      </c>
    </row>
    <row r="427">
      <c r="A427" s="27" t="s">
        <v>42</v>
      </c>
      <c r="B427" s="27" t="s">
        <v>1330</v>
      </c>
      <c r="C427" s="27" t="s">
        <v>1331</v>
      </c>
      <c r="D427" s="27" t="s">
        <v>1332</v>
      </c>
      <c r="E427" s="28" t="s">
        <v>46</v>
      </c>
      <c r="F427" s="29" t="s">
        <v>46</v>
      </c>
      <c r="G427" s="30" t="s">
        <v>46</v>
      </c>
      <c r="H427" s="31"/>
      <c r="I427" s="31" t="s">
        <v>47</v>
      </c>
      <c r="J427" s="32" t="n">
        <v>1.0</v>
      </c>
      <c r="K427" s="33" t="n">
        <f>2708</f>
        <v>2708.0</v>
      </c>
      <c r="L427" s="34" t="s">
        <v>48</v>
      </c>
      <c r="M427" s="33" t="n">
        <f>2708</f>
        <v>2708.0</v>
      </c>
      <c r="N427" s="34" t="s">
        <v>48</v>
      </c>
      <c r="O427" s="33" t="n">
        <f>2502</f>
        <v>2502.0</v>
      </c>
      <c r="P427" s="34" t="s">
        <v>49</v>
      </c>
      <c r="Q427" s="33" t="n">
        <f>2524</f>
        <v>2524.0</v>
      </c>
      <c r="R427" s="34" t="s">
        <v>50</v>
      </c>
      <c r="S427" s="35" t="n">
        <f>2560.47</f>
        <v>2560.47</v>
      </c>
      <c r="T427" s="32" t="n">
        <f>27109</f>
        <v>27109.0</v>
      </c>
      <c r="U427" s="32" t="str">
        <f>"－"</f>
        <v>－</v>
      </c>
      <c r="V427" s="32" t="n">
        <f>69007223</f>
        <v>6.9007223E7</v>
      </c>
      <c r="W427" s="32" t="str">
        <f>"－"</f>
        <v>－</v>
      </c>
      <c r="X427" s="36" t="n">
        <f>19</f>
        <v>19.0</v>
      </c>
    </row>
    <row r="428">
      <c r="A428" s="27" t="s">
        <v>42</v>
      </c>
      <c r="B428" s="27" t="s">
        <v>1333</v>
      </c>
      <c r="C428" s="27" t="s">
        <v>1334</v>
      </c>
      <c r="D428" s="27" t="s">
        <v>1335</v>
      </c>
      <c r="E428" s="28" t="s">
        <v>46</v>
      </c>
      <c r="F428" s="29" t="s">
        <v>46</v>
      </c>
      <c r="G428" s="30" t="s">
        <v>46</v>
      </c>
      <c r="H428" s="31"/>
      <c r="I428" s="31" t="s">
        <v>414</v>
      </c>
      <c r="J428" s="32" t="n">
        <v>10.0</v>
      </c>
      <c r="K428" s="33" t="n">
        <f>276.9</f>
        <v>276.9</v>
      </c>
      <c r="L428" s="34" t="s">
        <v>48</v>
      </c>
      <c r="M428" s="33" t="n">
        <f>290</f>
        <v>290.0</v>
      </c>
      <c r="N428" s="34" t="s">
        <v>200</v>
      </c>
      <c r="O428" s="33" t="n">
        <f>264.4</f>
        <v>264.4</v>
      </c>
      <c r="P428" s="34" t="s">
        <v>71</v>
      </c>
      <c r="Q428" s="33" t="n">
        <f>283.4</f>
        <v>283.4</v>
      </c>
      <c r="R428" s="34" t="s">
        <v>50</v>
      </c>
      <c r="S428" s="35" t="n">
        <f>274.26</f>
        <v>274.26</v>
      </c>
      <c r="T428" s="32" t="n">
        <f>3182390</f>
        <v>3182390.0</v>
      </c>
      <c r="U428" s="32" t="n">
        <f>1864000</f>
        <v>1864000.0</v>
      </c>
      <c r="V428" s="32" t="n">
        <f>868763275</f>
        <v>8.68763275E8</v>
      </c>
      <c r="W428" s="32" t="n">
        <f>502502640</f>
        <v>5.0250264E8</v>
      </c>
      <c r="X428" s="36" t="n">
        <f>19</f>
        <v>19.0</v>
      </c>
    </row>
    <row r="429">
      <c r="A429" s="27" t="s">
        <v>42</v>
      </c>
      <c r="B429" s="27" t="s">
        <v>1336</v>
      </c>
      <c r="C429" s="27" t="s">
        <v>1337</v>
      </c>
      <c r="D429" s="27" t="s">
        <v>1338</v>
      </c>
      <c r="E429" s="28" t="s">
        <v>46</v>
      </c>
      <c r="F429" s="29" t="s">
        <v>46</v>
      </c>
      <c r="G429" s="30" t="s">
        <v>46</v>
      </c>
      <c r="H429" s="31"/>
      <c r="I429" s="31" t="s">
        <v>414</v>
      </c>
      <c r="J429" s="32" t="n">
        <v>10.0</v>
      </c>
      <c r="K429" s="33" t="n">
        <f>534.8</f>
        <v>534.8</v>
      </c>
      <c r="L429" s="34" t="s">
        <v>48</v>
      </c>
      <c r="M429" s="33" t="n">
        <f>536.2</f>
        <v>536.2</v>
      </c>
      <c r="N429" s="34" t="s">
        <v>48</v>
      </c>
      <c r="O429" s="33" t="n">
        <f>514.2</f>
        <v>514.2</v>
      </c>
      <c r="P429" s="34" t="s">
        <v>67</v>
      </c>
      <c r="Q429" s="33" t="n">
        <f>525</f>
        <v>525.0</v>
      </c>
      <c r="R429" s="34" t="s">
        <v>200</v>
      </c>
      <c r="S429" s="35" t="n">
        <f>527.01</f>
        <v>527.01</v>
      </c>
      <c r="T429" s="32" t="n">
        <f>730</f>
        <v>730.0</v>
      </c>
      <c r="U429" s="32" t="str">
        <f>"－"</f>
        <v>－</v>
      </c>
      <c r="V429" s="32" t="n">
        <f>386959</f>
        <v>386959.0</v>
      </c>
      <c r="W429" s="32" t="str">
        <f>"－"</f>
        <v>－</v>
      </c>
      <c r="X429" s="36" t="n">
        <f>7</f>
        <v>7.0</v>
      </c>
    </row>
    <row r="430">
      <c r="A430" s="27" t="s">
        <v>42</v>
      </c>
      <c r="B430" s="27" t="s">
        <v>1339</v>
      </c>
      <c r="C430" s="27" t="s">
        <v>1340</v>
      </c>
      <c r="D430" s="27" t="s">
        <v>1341</v>
      </c>
      <c r="E430" s="28" t="s">
        <v>46</v>
      </c>
      <c r="F430" s="29" t="s">
        <v>46</v>
      </c>
      <c r="G430" s="30" t="s">
        <v>46</v>
      </c>
      <c r="H430" s="31"/>
      <c r="I430" s="31" t="s">
        <v>414</v>
      </c>
      <c r="J430" s="32" t="n">
        <v>10.0</v>
      </c>
      <c r="K430" s="33" t="n">
        <f>1094</f>
        <v>1094.0</v>
      </c>
      <c r="L430" s="34" t="s">
        <v>48</v>
      </c>
      <c r="M430" s="33" t="n">
        <f>1148</f>
        <v>1148.0</v>
      </c>
      <c r="N430" s="34" t="s">
        <v>50</v>
      </c>
      <c r="O430" s="33" t="n">
        <f>1034</f>
        <v>1034.0</v>
      </c>
      <c r="P430" s="34" t="s">
        <v>67</v>
      </c>
      <c r="Q430" s="33" t="n">
        <f>1144</f>
        <v>1144.0</v>
      </c>
      <c r="R430" s="34" t="s">
        <v>50</v>
      </c>
      <c r="S430" s="35" t="n">
        <f>1096.08</f>
        <v>1096.08</v>
      </c>
      <c r="T430" s="32" t="n">
        <f>1630320</f>
        <v>1630320.0</v>
      </c>
      <c r="U430" s="32" t="n">
        <f>696500</f>
        <v>696500.0</v>
      </c>
      <c r="V430" s="32" t="n">
        <f>1782419502</f>
        <v>1.782419502E9</v>
      </c>
      <c r="W430" s="32" t="n">
        <f>761549002</f>
        <v>7.61549002E8</v>
      </c>
      <c r="X430" s="36" t="n">
        <f>19</f>
        <v>19.0</v>
      </c>
    </row>
    <row r="431">
      <c r="A431" s="27" t="s">
        <v>42</v>
      </c>
      <c r="B431" s="27" t="s">
        <v>1342</v>
      </c>
      <c r="C431" s="27" t="s">
        <v>1343</v>
      </c>
      <c r="D431" s="27" t="s">
        <v>1344</v>
      </c>
      <c r="E431" s="28" t="s">
        <v>46</v>
      </c>
      <c r="F431" s="29" t="s">
        <v>46</v>
      </c>
      <c r="G431" s="30" t="s">
        <v>46</v>
      </c>
      <c r="H431" s="31"/>
      <c r="I431" s="31" t="s">
        <v>414</v>
      </c>
      <c r="J431" s="32" t="n">
        <v>10.0</v>
      </c>
      <c r="K431" s="33" t="n">
        <f>505.9</f>
        <v>505.9</v>
      </c>
      <c r="L431" s="34" t="s">
        <v>48</v>
      </c>
      <c r="M431" s="33" t="n">
        <f>510</f>
        <v>510.0</v>
      </c>
      <c r="N431" s="34" t="s">
        <v>98</v>
      </c>
      <c r="O431" s="33" t="n">
        <f>463.6</f>
        <v>463.6</v>
      </c>
      <c r="P431" s="34" t="s">
        <v>78</v>
      </c>
      <c r="Q431" s="33" t="n">
        <f>464.1</f>
        <v>464.1</v>
      </c>
      <c r="R431" s="34" t="s">
        <v>50</v>
      </c>
      <c r="S431" s="35" t="n">
        <f>477.13</f>
        <v>477.13</v>
      </c>
      <c r="T431" s="32" t="n">
        <f>7120</f>
        <v>7120.0</v>
      </c>
      <c r="U431" s="32" t="str">
        <f>"－"</f>
        <v>－</v>
      </c>
      <c r="V431" s="32" t="n">
        <f>3414621</f>
        <v>3414621.0</v>
      </c>
      <c r="W431" s="32" t="str">
        <f>"－"</f>
        <v>－</v>
      </c>
      <c r="X431" s="36" t="n">
        <f>17</f>
        <v>17.0</v>
      </c>
    </row>
    <row r="432">
      <c r="A432" s="27" t="s">
        <v>42</v>
      </c>
      <c r="B432" s="27" t="s">
        <v>1345</v>
      </c>
      <c r="C432" s="27" t="s">
        <v>1346</v>
      </c>
      <c r="D432" s="27" t="s">
        <v>1347</v>
      </c>
      <c r="E432" s="28" t="s">
        <v>46</v>
      </c>
      <c r="F432" s="29" t="s">
        <v>46</v>
      </c>
      <c r="G432" s="30" t="s">
        <v>46</v>
      </c>
      <c r="H432" s="31"/>
      <c r="I432" s="31" t="s">
        <v>414</v>
      </c>
      <c r="J432" s="32" t="n">
        <v>1.0</v>
      </c>
      <c r="K432" s="33" t="n">
        <f>2379</f>
        <v>2379.0</v>
      </c>
      <c r="L432" s="34" t="s">
        <v>48</v>
      </c>
      <c r="M432" s="33" t="n">
        <f>2427</f>
        <v>2427.0</v>
      </c>
      <c r="N432" s="34" t="s">
        <v>48</v>
      </c>
      <c r="O432" s="33" t="n">
        <f>2297</f>
        <v>2297.0</v>
      </c>
      <c r="P432" s="34" t="s">
        <v>49</v>
      </c>
      <c r="Q432" s="33" t="n">
        <f>2366</f>
        <v>2366.0</v>
      </c>
      <c r="R432" s="34" t="s">
        <v>50</v>
      </c>
      <c r="S432" s="35" t="n">
        <f>2366.74</f>
        <v>2366.74</v>
      </c>
      <c r="T432" s="32" t="n">
        <f>1375924</f>
        <v>1375924.0</v>
      </c>
      <c r="U432" s="32" t="n">
        <f>300965</f>
        <v>300965.0</v>
      </c>
      <c r="V432" s="32" t="n">
        <f>3249161009</f>
        <v>3.249161009E9</v>
      </c>
      <c r="W432" s="32" t="n">
        <f>704375177</f>
        <v>7.04375177E8</v>
      </c>
      <c r="X432" s="36" t="n">
        <f>19</f>
        <v>19.0</v>
      </c>
    </row>
    <row r="433">
      <c r="A433" s="27" t="s">
        <v>42</v>
      </c>
      <c r="B433" s="27" t="s">
        <v>1348</v>
      </c>
      <c r="C433" s="27" t="s">
        <v>1349</v>
      </c>
      <c r="D433" s="27" t="s">
        <v>1350</v>
      </c>
      <c r="E433" s="28" t="s">
        <v>46</v>
      </c>
      <c r="F433" s="29" t="s">
        <v>46</v>
      </c>
      <c r="G433" s="30" t="s">
        <v>46</v>
      </c>
      <c r="H433" s="31"/>
      <c r="I433" s="31" t="s">
        <v>414</v>
      </c>
      <c r="J433" s="32" t="n">
        <v>1.0</v>
      </c>
      <c r="K433" s="33" t="n">
        <f>96700</f>
        <v>96700.0</v>
      </c>
      <c r="L433" s="34" t="s">
        <v>48</v>
      </c>
      <c r="M433" s="33" t="n">
        <f>99000</f>
        <v>99000.0</v>
      </c>
      <c r="N433" s="34" t="s">
        <v>157</v>
      </c>
      <c r="O433" s="33" t="n">
        <f>94100</f>
        <v>94100.0</v>
      </c>
      <c r="P433" s="34" t="s">
        <v>49</v>
      </c>
      <c r="Q433" s="33" t="n">
        <f>97600</f>
        <v>97600.0</v>
      </c>
      <c r="R433" s="34" t="s">
        <v>50</v>
      </c>
      <c r="S433" s="35" t="n">
        <f>96394.74</f>
        <v>96394.74</v>
      </c>
      <c r="T433" s="32" t="n">
        <f>31585</f>
        <v>31585.0</v>
      </c>
      <c r="U433" s="32" t="n">
        <f>4738</f>
        <v>4738.0</v>
      </c>
      <c r="V433" s="32" t="n">
        <f>3044124078</f>
        <v>3.044124078E9</v>
      </c>
      <c r="W433" s="32" t="n">
        <f>456840278</f>
        <v>4.56840278E8</v>
      </c>
      <c r="X433" s="36" t="n">
        <f>19</f>
        <v>19.0</v>
      </c>
    </row>
    <row r="434">
      <c r="A434" s="27" t="s">
        <v>42</v>
      </c>
      <c r="B434" s="27" t="s">
        <v>1351</v>
      </c>
      <c r="C434" s="27" t="s">
        <v>1352</v>
      </c>
      <c r="D434" s="27" t="s">
        <v>1353</v>
      </c>
      <c r="E434" s="28" t="s">
        <v>46</v>
      </c>
      <c r="F434" s="29" t="s">
        <v>46</v>
      </c>
      <c r="G434" s="30" t="s">
        <v>46</v>
      </c>
      <c r="H434" s="31"/>
      <c r="I434" s="31" t="s">
        <v>414</v>
      </c>
      <c r="J434" s="32" t="n">
        <v>1.0</v>
      </c>
      <c r="K434" s="33" t="n">
        <f>1291</f>
        <v>1291.0</v>
      </c>
      <c r="L434" s="34" t="s">
        <v>48</v>
      </c>
      <c r="M434" s="33" t="n">
        <f>1300</f>
        <v>1300.0</v>
      </c>
      <c r="N434" s="34" t="s">
        <v>48</v>
      </c>
      <c r="O434" s="33" t="n">
        <f>1164</f>
        <v>1164.0</v>
      </c>
      <c r="P434" s="34" t="s">
        <v>50</v>
      </c>
      <c r="Q434" s="33" t="n">
        <f>1169</f>
        <v>1169.0</v>
      </c>
      <c r="R434" s="34" t="s">
        <v>50</v>
      </c>
      <c r="S434" s="35" t="n">
        <f>1228.84</f>
        <v>1228.84</v>
      </c>
      <c r="T434" s="32" t="n">
        <f>305774</f>
        <v>305774.0</v>
      </c>
      <c r="U434" s="32" t="str">
        <f>"－"</f>
        <v>－</v>
      </c>
      <c r="V434" s="32" t="n">
        <f>373443659</f>
        <v>3.73443659E8</v>
      </c>
      <c r="W434" s="32" t="str">
        <f>"－"</f>
        <v>－</v>
      </c>
      <c r="X434" s="36" t="n">
        <f>19</f>
        <v>19.0</v>
      </c>
    </row>
    <row r="435">
      <c r="A435" s="27" t="s">
        <v>42</v>
      </c>
      <c r="B435" s="27" t="s">
        <v>1354</v>
      </c>
      <c r="C435" s="27" t="s">
        <v>1355</v>
      </c>
      <c r="D435" s="27" t="s">
        <v>1356</v>
      </c>
      <c r="E435" s="28" t="s">
        <v>46</v>
      </c>
      <c r="F435" s="29" t="s">
        <v>46</v>
      </c>
      <c r="G435" s="30" t="s">
        <v>46</v>
      </c>
      <c r="H435" s="31"/>
      <c r="I435" s="31" t="s">
        <v>414</v>
      </c>
      <c r="J435" s="32" t="n">
        <v>10.0</v>
      </c>
      <c r="K435" s="33" t="n">
        <f>289.4</f>
        <v>289.4</v>
      </c>
      <c r="L435" s="34" t="s">
        <v>48</v>
      </c>
      <c r="M435" s="33" t="n">
        <f>308.2</f>
        <v>308.2</v>
      </c>
      <c r="N435" s="34" t="s">
        <v>200</v>
      </c>
      <c r="O435" s="33" t="n">
        <f>270</f>
        <v>270.0</v>
      </c>
      <c r="P435" s="34" t="s">
        <v>308</v>
      </c>
      <c r="Q435" s="33" t="n">
        <f>302</f>
        <v>302.0</v>
      </c>
      <c r="R435" s="34" t="s">
        <v>50</v>
      </c>
      <c r="S435" s="35" t="n">
        <f>286.66</f>
        <v>286.66</v>
      </c>
      <c r="T435" s="32" t="n">
        <f>11055370</f>
        <v>1.105537E7</v>
      </c>
      <c r="U435" s="32" t="n">
        <f>364460</f>
        <v>364460.0</v>
      </c>
      <c r="V435" s="32" t="n">
        <f>3204488285</f>
        <v>3.204488285E9</v>
      </c>
      <c r="W435" s="32" t="n">
        <f>108306615</f>
        <v>1.08306615E8</v>
      </c>
      <c r="X435" s="36" t="n">
        <f>19</f>
        <v>19.0</v>
      </c>
    </row>
    <row r="436">
      <c r="A436" s="27" t="s">
        <v>42</v>
      </c>
      <c r="B436" s="27" t="s">
        <v>1357</v>
      </c>
      <c r="C436" s="27" t="s">
        <v>1358</v>
      </c>
      <c r="D436" s="27" t="s">
        <v>1359</v>
      </c>
      <c r="E436" s="28" t="s">
        <v>46</v>
      </c>
      <c r="F436" s="29" t="s">
        <v>46</v>
      </c>
      <c r="G436" s="30" t="s">
        <v>46</v>
      </c>
      <c r="H436" s="31"/>
      <c r="I436" s="31" t="s">
        <v>414</v>
      </c>
      <c r="J436" s="32" t="n">
        <v>1.0</v>
      </c>
      <c r="K436" s="33" t="n">
        <f>4379</f>
        <v>4379.0</v>
      </c>
      <c r="L436" s="34" t="s">
        <v>48</v>
      </c>
      <c r="M436" s="33" t="n">
        <f>4800</f>
        <v>4800.0</v>
      </c>
      <c r="N436" s="34" t="s">
        <v>286</v>
      </c>
      <c r="O436" s="33" t="n">
        <f>4223</f>
        <v>4223.0</v>
      </c>
      <c r="P436" s="34" t="s">
        <v>71</v>
      </c>
      <c r="Q436" s="33" t="n">
        <f>4695</f>
        <v>4695.0</v>
      </c>
      <c r="R436" s="34" t="s">
        <v>50</v>
      </c>
      <c r="S436" s="35" t="n">
        <f>4495.47</f>
        <v>4495.47</v>
      </c>
      <c r="T436" s="32" t="n">
        <f>75247</f>
        <v>75247.0</v>
      </c>
      <c r="U436" s="32" t="n">
        <f>81</f>
        <v>81.0</v>
      </c>
      <c r="V436" s="32" t="n">
        <f>343432620</f>
        <v>3.4343262E8</v>
      </c>
      <c r="W436" s="32" t="n">
        <f>365992</f>
        <v>365992.0</v>
      </c>
      <c r="X436" s="36" t="n">
        <f>19</f>
        <v>19.0</v>
      </c>
    </row>
    <row r="437">
      <c r="A437" s="27" t="s">
        <v>42</v>
      </c>
      <c r="B437" s="27" t="s">
        <v>1360</v>
      </c>
      <c r="C437" s="27" t="s">
        <v>1361</v>
      </c>
      <c r="D437" s="27" t="s">
        <v>1362</v>
      </c>
      <c r="E437" s="28" t="s">
        <v>46</v>
      </c>
      <c r="F437" s="29" t="s">
        <v>46</v>
      </c>
      <c r="G437" s="30" t="s">
        <v>46</v>
      </c>
      <c r="H437" s="31"/>
      <c r="I437" s="31" t="s">
        <v>414</v>
      </c>
      <c r="J437" s="32" t="n">
        <v>1.0</v>
      </c>
      <c r="K437" s="33" t="n">
        <f>3920</f>
        <v>3920.0</v>
      </c>
      <c r="L437" s="34" t="s">
        <v>48</v>
      </c>
      <c r="M437" s="33" t="n">
        <f>4060</f>
        <v>4060.0</v>
      </c>
      <c r="N437" s="34" t="s">
        <v>286</v>
      </c>
      <c r="O437" s="33" t="n">
        <f>3691</f>
        <v>3691.0</v>
      </c>
      <c r="P437" s="34" t="s">
        <v>308</v>
      </c>
      <c r="Q437" s="33" t="n">
        <f>4045</f>
        <v>4045.0</v>
      </c>
      <c r="R437" s="34" t="s">
        <v>50</v>
      </c>
      <c r="S437" s="35" t="n">
        <f>3881.68</f>
        <v>3881.68</v>
      </c>
      <c r="T437" s="32" t="n">
        <f>33015</f>
        <v>33015.0</v>
      </c>
      <c r="U437" s="32" t="n">
        <f>1332</f>
        <v>1332.0</v>
      </c>
      <c r="V437" s="32" t="n">
        <f>128251548</f>
        <v>1.28251548E8</v>
      </c>
      <c r="W437" s="32" t="n">
        <f>4618697</f>
        <v>4618697.0</v>
      </c>
      <c r="X437" s="36" t="n">
        <f>19</f>
        <v>19.0</v>
      </c>
    </row>
    <row r="438">
      <c r="A438" s="27" t="s">
        <v>42</v>
      </c>
      <c r="B438" s="27" t="s">
        <v>1363</v>
      </c>
      <c r="C438" s="27" t="s">
        <v>1364</v>
      </c>
      <c r="D438" s="27" t="s">
        <v>1365</v>
      </c>
      <c r="E438" s="28" t="s">
        <v>46</v>
      </c>
      <c r="F438" s="29" t="s">
        <v>46</v>
      </c>
      <c r="G438" s="30" t="s">
        <v>46</v>
      </c>
      <c r="H438" s="31"/>
      <c r="I438" s="31" t="s">
        <v>414</v>
      </c>
      <c r="J438" s="32" t="n">
        <v>10.0</v>
      </c>
      <c r="K438" s="33" t="n">
        <f>339.2</f>
        <v>339.2</v>
      </c>
      <c r="L438" s="34" t="s">
        <v>48</v>
      </c>
      <c r="M438" s="33" t="n">
        <f>341.7</f>
        <v>341.7</v>
      </c>
      <c r="N438" s="34" t="s">
        <v>98</v>
      </c>
      <c r="O438" s="33" t="n">
        <f>312.7</f>
        <v>312.7</v>
      </c>
      <c r="P438" s="34" t="s">
        <v>78</v>
      </c>
      <c r="Q438" s="33" t="n">
        <f>317.7</f>
        <v>317.7</v>
      </c>
      <c r="R438" s="34" t="s">
        <v>50</v>
      </c>
      <c r="S438" s="35" t="n">
        <f>330.11</f>
        <v>330.11</v>
      </c>
      <c r="T438" s="32" t="n">
        <f>5016820</f>
        <v>5016820.0</v>
      </c>
      <c r="U438" s="32" t="str">
        <f>"－"</f>
        <v>－</v>
      </c>
      <c r="V438" s="32" t="n">
        <f>1654993021</f>
        <v>1.654993021E9</v>
      </c>
      <c r="W438" s="32" t="str">
        <f>"－"</f>
        <v>－</v>
      </c>
      <c r="X438" s="36" t="n">
        <f>19</f>
        <v>19.0</v>
      </c>
    </row>
    <row r="439">
      <c r="A439" s="27" t="s">
        <v>42</v>
      </c>
      <c r="B439" s="27" t="s">
        <v>1366</v>
      </c>
      <c r="C439" s="27" t="s">
        <v>1367</v>
      </c>
      <c r="D439" s="27" t="s">
        <v>1368</v>
      </c>
      <c r="E439" s="28" t="s">
        <v>46</v>
      </c>
      <c r="F439" s="29" t="s">
        <v>46</v>
      </c>
      <c r="G439" s="30" t="s">
        <v>46</v>
      </c>
      <c r="H439" s="31"/>
      <c r="I439" s="31" t="s">
        <v>414</v>
      </c>
      <c r="J439" s="32" t="n">
        <v>10.0</v>
      </c>
      <c r="K439" s="33" t="n">
        <f>379.8</f>
        <v>379.8</v>
      </c>
      <c r="L439" s="34" t="s">
        <v>48</v>
      </c>
      <c r="M439" s="33" t="n">
        <f>380.9</f>
        <v>380.9</v>
      </c>
      <c r="N439" s="34" t="s">
        <v>48</v>
      </c>
      <c r="O439" s="33" t="n">
        <f>346</f>
        <v>346.0</v>
      </c>
      <c r="P439" s="34" t="s">
        <v>78</v>
      </c>
      <c r="Q439" s="33" t="n">
        <f>350.6</f>
        <v>350.6</v>
      </c>
      <c r="R439" s="34" t="s">
        <v>50</v>
      </c>
      <c r="S439" s="35" t="n">
        <f>361.97</f>
        <v>361.97</v>
      </c>
      <c r="T439" s="32" t="n">
        <f>6105860</f>
        <v>6105860.0</v>
      </c>
      <c r="U439" s="32" t="n">
        <f>928210</f>
        <v>928210.0</v>
      </c>
      <c r="V439" s="32" t="n">
        <f>2202948949</f>
        <v>2.202948949E9</v>
      </c>
      <c r="W439" s="32" t="n">
        <f>338814228</f>
        <v>3.38814228E8</v>
      </c>
      <c r="X439" s="36" t="n">
        <f>19</f>
        <v>19.0</v>
      </c>
    </row>
    <row r="440">
      <c r="A440" s="27" t="s">
        <v>42</v>
      </c>
      <c r="B440" s="27" t="s">
        <v>1369</v>
      </c>
      <c r="C440" s="27" t="s">
        <v>1370</v>
      </c>
      <c r="D440" s="27" t="s">
        <v>1371</v>
      </c>
      <c r="E440" s="28" t="s">
        <v>46</v>
      </c>
      <c r="F440" s="29" t="s">
        <v>46</v>
      </c>
      <c r="G440" s="30" t="s">
        <v>46</v>
      </c>
      <c r="H440" s="31"/>
      <c r="I440" s="31" t="s">
        <v>414</v>
      </c>
      <c r="J440" s="32" t="n">
        <v>1.0</v>
      </c>
      <c r="K440" s="33" t="n">
        <f>1243</f>
        <v>1243.0</v>
      </c>
      <c r="L440" s="34" t="s">
        <v>48</v>
      </c>
      <c r="M440" s="33" t="n">
        <f>1258</f>
        <v>1258.0</v>
      </c>
      <c r="N440" s="34" t="s">
        <v>48</v>
      </c>
      <c r="O440" s="33" t="n">
        <f>1171</f>
        <v>1171.0</v>
      </c>
      <c r="P440" s="34" t="s">
        <v>217</v>
      </c>
      <c r="Q440" s="33" t="n">
        <f>1175</f>
        <v>1175.0</v>
      </c>
      <c r="R440" s="34" t="s">
        <v>50</v>
      </c>
      <c r="S440" s="35" t="n">
        <f>1198.95</f>
        <v>1198.95</v>
      </c>
      <c r="T440" s="32" t="n">
        <f>834632</f>
        <v>834632.0</v>
      </c>
      <c r="U440" s="32" t="n">
        <f>395700</f>
        <v>395700.0</v>
      </c>
      <c r="V440" s="32" t="n">
        <f>986903695</f>
        <v>9.86903695E8</v>
      </c>
      <c r="W440" s="32" t="n">
        <f>466087986</f>
        <v>4.66087986E8</v>
      </c>
      <c r="X440" s="36" t="n">
        <f>19</f>
        <v>19.0</v>
      </c>
    </row>
    <row r="441">
      <c r="A441" s="27" t="s">
        <v>42</v>
      </c>
      <c r="B441" s="27" t="s">
        <v>1372</v>
      </c>
      <c r="C441" s="27" t="s">
        <v>1373</v>
      </c>
      <c r="D441" s="27" t="s">
        <v>1374</v>
      </c>
      <c r="E441" s="28" t="s">
        <v>46</v>
      </c>
      <c r="F441" s="29" t="s">
        <v>46</v>
      </c>
      <c r="G441" s="30" t="s">
        <v>46</v>
      </c>
      <c r="H441" s="31"/>
      <c r="I441" s="31" t="s">
        <v>47</v>
      </c>
      <c r="J441" s="32" t="n">
        <v>1.0</v>
      </c>
      <c r="K441" s="33" t="n">
        <f>2780</f>
        <v>2780.0</v>
      </c>
      <c r="L441" s="34" t="s">
        <v>48</v>
      </c>
      <c r="M441" s="33" t="n">
        <f>2835</f>
        <v>2835.0</v>
      </c>
      <c r="N441" s="34" t="s">
        <v>50</v>
      </c>
      <c r="O441" s="33" t="n">
        <f>2709</f>
        <v>2709.0</v>
      </c>
      <c r="P441" s="34" t="s">
        <v>49</v>
      </c>
      <c r="Q441" s="33" t="n">
        <f>2833</f>
        <v>2833.0</v>
      </c>
      <c r="R441" s="34" t="s">
        <v>50</v>
      </c>
      <c r="S441" s="35" t="n">
        <f>2786.21</f>
        <v>2786.21</v>
      </c>
      <c r="T441" s="32" t="n">
        <f>3438829</f>
        <v>3438829.0</v>
      </c>
      <c r="U441" s="32" t="n">
        <f>241743</f>
        <v>241743.0</v>
      </c>
      <c r="V441" s="32" t="n">
        <f>9573142748</f>
        <v>9.573142748E9</v>
      </c>
      <c r="W441" s="32" t="n">
        <f>672036847</f>
        <v>6.72036847E8</v>
      </c>
      <c r="X441" s="36" t="n">
        <f>19</f>
        <v>19.0</v>
      </c>
    </row>
    <row r="442">
      <c r="A442" s="27" t="s">
        <v>42</v>
      </c>
      <c r="B442" s="27" t="s">
        <v>1375</v>
      </c>
      <c r="C442" s="27" t="s">
        <v>1376</v>
      </c>
      <c r="D442" s="27" t="s">
        <v>1377</v>
      </c>
      <c r="E442" s="28" t="s">
        <v>46</v>
      </c>
      <c r="F442" s="29" t="s">
        <v>46</v>
      </c>
      <c r="G442" s="30" t="s">
        <v>46</v>
      </c>
      <c r="H442" s="31"/>
      <c r="I442" s="31" t="s">
        <v>414</v>
      </c>
      <c r="J442" s="32" t="n">
        <v>1.0</v>
      </c>
      <c r="K442" s="33" t="n">
        <f>1845</f>
        <v>1845.0</v>
      </c>
      <c r="L442" s="34" t="s">
        <v>48</v>
      </c>
      <c r="M442" s="33" t="n">
        <f>1892</f>
        <v>1892.0</v>
      </c>
      <c r="N442" s="34" t="s">
        <v>82</v>
      </c>
      <c r="O442" s="33" t="n">
        <f>1770</f>
        <v>1770.0</v>
      </c>
      <c r="P442" s="34" t="s">
        <v>50</v>
      </c>
      <c r="Q442" s="33" t="n">
        <f>1781</f>
        <v>1781.0</v>
      </c>
      <c r="R442" s="34" t="s">
        <v>50</v>
      </c>
      <c r="S442" s="35" t="n">
        <f>1817.53</f>
        <v>1817.53</v>
      </c>
      <c r="T442" s="32" t="n">
        <f>3252736</f>
        <v>3252736.0</v>
      </c>
      <c r="U442" s="32" t="n">
        <f>3039799</f>
        <v>3039799.0</v>
      </c>
      <c r="V442" s="32" t="n">
        <f>5866463853</f>
        <v>5.866463853E9</v>
      </c>
      <c r="W442" s="32" t="n">
        <f>5481716172</f>
        <v>5.481716172E9</v>
      </c>
      <c r="X442" s="36" t="n">
        <f>19</f>
        <v>19.0</v>
      </c>
    </row>
    <row r="443">
      <c r="A443" s="27" t="s">
        <v>42</v>
      </c>
      <c r="B443" s="27" t="s">
        <v>1378</v>
      </c>
      <c r="C443" s="27" t="s">
        <v>1379</v>
      </c>
      <c r="D443" s="27" t="s">
        <v>1380</v>
      </c>
      <c r="E443" s="28" t="s">
        <v>46</v>
      </c>
      <c r="F443" s="29" t="s">
        <v>46</v>
      </c>
      <c r="G443" s="30" t="s">
        <v>46</v>
      </c>
      <c r="H443" s="31"/>
      <c r="I443" s="31" t="s">
        <v>414</v>
      </c>
      <c r="J443" s="32" t="n">
        <v>10.0</v>
      </c>
      <c r="K443" s="33" t="n">
        <f>283.3</f>
        <v>283.3</v>
      </c>
      <c r="L443" s="34" t="s">
        <v>48</v>
      </c>
      <c r="M443" s="33" t="n">
        <f>283.8</f>
        <v>283.8</v>
      </c>
      <c r="N443" s="34" t="s">
        <v>48</v>
      </c>
      <c r="O443" s="33" t="n">
        <f>257.8</f>
        <v>257.8</v>
      </c>
      <c r="P443" s="34" t="s">
        <v>78</v>
      </c>
      <c r="Q443" s="33" t="n">
        <f>261.2</f>
        <v>261.2</v>
      </c>
      <c r="R443" s="34" t="s">
        <v>50</v>
      </c>
      <c r="S443" s="35" t="n">
        <f>270.02</f>
        <v>270.02</v>
      </c>
      <c r="T443" s="32" t="n">
        <f>2985370</f>
        <v>2985370.0</v>
      </c>
      <c r="U443" s="32" t="n">
        <f>37300</f>
        <v>37300.0</v>
      </c>
      <c r="V443" s="32" t="n">
        <f>800438170</f>
        <v>8.0043817E8</v>
      </c>
      <c r="W443" s="32" t="n">
        <f>10096795</f>
        <v>1.0096795E7</v>
      </c>
      <c r="X443" s="36" t="n">
        <f>19</f>
        <v>19.0</v>
      </c>
    </row>
    <row r="444">
      <c r="A444" s="27" t="s">
        <v>42</v>
      </c>
      <c r="B444" s="27" t="s">
        <v>1381</v>
      </c>
      <c r="C444" s="27" t="s">
        <v>1382</v>
      </c>
      <c r="D444" s="27" t="s">
        <v>1383</v>
      </c>
      <c r="E444" s="28" t="s">
        <v>46</v>
      </c>
      <c r="F444" s="29" t="s">
        <v>46</v>
      </c>
      <c r="G444" s="30" t="s">
        <v>46</v>
      </c>
      <c r="H444" s="31"/>
      <c r="I444" s="31" t="s">
        <v>414</v>
      </c>
      <c r="J444" s="32" t="n">
        <v>10.0</v>
      </c>
      <c r="K444" s="33" t="n">
        <f>266.9</f>
        <v>266.9</v>
      </c>
      <c r="L444" s="34" t="s">
        <v>48</v>
      </c>
      <c r="M444" s="33" t="n">
        <f>269</f>
        <v>269.0</v>
      </c>
      <c r="N444" s="34" t="s">
        <v>270</v>
      </c>
      <c r="O444" s="33" t="n">
        <f>246.2</f>
        <v>246.2</v>
      </c>
      <c r="P444" s="34" t="s">
        <v>78</v>
      </c>
      <c r="Q444" s="33" t="n">
        <f>250.5</f>
        <v>250.5</v>
      </c>
      <c r="R444" s="34" t="s">
        <v>50</v>
      </c>
      <c r="S444" s="35" t="n">
        <f>259.39</f>
        <v>259.39</v>
      </c>
      <c r="T444" s="32" t="n">
        <f>920760</f>
        <v>920760.0</v>
      </c>
      <c r="U444" s="32" t="str">
        <f>"－"</f>
        <v>－</v>
      </c>
      <c r="V444" s="32" t="n">
        <f>237450840</f>
        <v>2.3745084E8</v>
      </c>
      <c r="W444" s="32" t="str">
        <f>"－"</f>
        <v>－</v>
      </c>
      <c r="X444" s="36" t="n">
        <f>19</f>
        <v>19.0</v>
      </c>
    </row>
    <row r="445">
      <c r="A445" s="27" t="s">
        <v>42</v>
      </c>
      <c r="B445" s="27" t="s">
        <v>1384</v>
      </c>
      <c r="C445" s="27" t="s">
        <v>1385</v>
      </c>
      <c r="D445" s="27" t="s">
        <v>1386</v>
      </c>
      <c r="E445" s="28" t="s">
        <v>46</v>
      </c>
      <c r="F445" s="29" t="s">
        <v>46</v>
      </c>
      <c r="G445" s="30" t="s">
        <v>46</v>
      </c>
      <c r="H445" s="31"/>
      <c r="I445" s="31" t="s">
        <v>414</v>
      </c>
      <c r="J445" s="32" t="n">
        <v>10.0</v>
      </c>
      <c r="K445" s="33" t="n">
        <f>835.9</f>
        <v>835.9</v>
      </c>
      <c r="L445" s="34" t="s">
        <v>48</v>
      </c>
      <c r="M445" s="33" t="n">
        <f>836</f>
        <v>836.0</v>
      </c>
      <c r="N445" s="34" t="s">
        <v>48</v>
      </c>
      <c r="O445" s="33" t="n">
        <f>794.9</f>
        <v>794.9</v>
      </c>
      <c r="P445" s="34" t="s">
        <v>71</v>
      </c>
      <c r="Q445" s="33" t="n">
        <f>820.1</f>
        <v>820.1</v>
      </c>
      <c r="R445" s="34" t="s">
        <v>50</v>
      </c>
      <c r="S445" s="35" t="n">
        <f>815.12</f>
        <v>815.12</v>
      </c>
      <c r="T445" s="32" t="n">
        <f>804070</f>
        <v>804070.0</v>
      </c>
      <c r="U445" s="32" t="str">
        <f>"－"</f>
        <v>－</v>
      </c>
      <c r="V445" s="32" t="n">
        <f>653874542</f>
        <v>6.53874542E8</v>
      </c>
      <c r="W445" s="32" t="str">
        <f>"－"</f>
        <v>－</v>
      </c>
      <c r="X445" s="36" t="n">
        <f>19</f>
        <v>19.0</v>
      </c>
    </row>
    <row r="446">
      <c r="A446" s="27" t="s">
        <v>42</v>
      </c>
      <c r="B446" s="27" t="s">
        <v>1387</v>
      </c>
      <c r="C446" s="27" t="s">
        <v>1388</v>
      </c>
      <c r="D446" s="27" t="s">
        <v>1389</v>
      </c>
      <c r="E446" s="28" t="s">
        <v>46</v>
      </c>
      <c r="F446" s="29" t="s">
        <v>46</v>
      </c>
      <c r="G446" s="30" t="s">
        <v>46</v>
      </c>
      <c r="H446" s="31"/>
      <c r="I446" s="31" t="s">
        <v>414</v>
      </c>
      <c r="J446" s="32" t="n">
        <v>10.0</v>
      </c>
      <c r="K446" s="33" t="n">
        <f>796.8</f>
        <v>796.8</v>
      </c>
      <c r="L446" s="34" t="s">
        <v>48</v>
      </c>
      <c r="M446" s="33" t="n">
        <f>806.3</f>
        <v>806.3</v>
      </c>
      <c r="N446" s="34" t="s">
        <v>210</v>
      </c>
      <c r="O446" s="33" t="n">
        <f>779.8</f>
        <v>779.8</v>
      </c>
      <c r="P446" s="34" t="s">
        <v>221</v>
      </c>
      <c r="Q446" s="33" t="n">
        <f>788.7</f>
        <v>788.7</v>
      </c>
      <c r="R446" s="34" t="s">
        <v>50</v>
      </c>
      <c r="S446" s="35" t="n">
        <f>787.31</f>
        <v>787.31</v>
      </c>
      <c r="T446" s="32" t="n">
        <f>677100</f>
        <v>677100.0</v>
      </c>
      <c r="U446" s="32" t="n">
        <f>640760</f>
        <v>640760.0</v>
      </c>
      <c r="V446" s="32" t="n">
        <f>528698625</f>
        <v>5.28698625E8</v>
      </c>
      <c r="W446" s="32" t="n">
        <f>499997843</f>
        <v>4.99997843E8</v>
      </c>
      <c r="X446" s="36" t="n">
        <f>19</f>
        <v>19.0</v>
      </c>
    </row>
    <row r="447">
      <c r="A447" s="27" t="s">
        <v>42</v>
      </c>
      <c r="B447" s="27" t="s">
        <v>1390</v>
      </c>
      <c r="C447" s="27" t="s">
        <v>1391</v>
      </c>
      <c r="D447" s="27" t="s">
        <v>1392</v>
      </c>
      <c r="E447" s="28" t="s">
        <v>46</v>
      </c>
      <c r="F447" s="29" t="s">
        <v>46</v>
      </c>
      <c r="G447" s="30" t="s">
        <v>46</v>
      </c>
      <c r="H447" s="31"/>
      <c r="I447" s="31" t="s">
        <v>414</v>
      </c>
      <c r="J447" s="32" t="n">
        <v>10.0</v>
      </c>
      <c r="K447" s="33" t="n">
        <f>303</f>
        <v>303.0</v>
      </c>
      <c r="L447" s="34" t="s">
        <v>48</v>
      </c>
      <c r="M447" s="33" t="n">
        <f>303.2</f>
        <v>303.2</v>
      </c>
      <c r="N447" s="34" t="s">
        <v>66</v>
      </c>
      <c r="O447" s="33" t="n">
        <f>275</f>
        <v>275.0</v>
      </c>
      <c r="P447" s="34" t="s">
        <v>78</v>
      </c>
      <c r="Q447" s="33" t="n">
        <f>276.1</f>
        <v>276.1</v>
      </c>
      <c r="R447" s="34" t="s">
        <v>50</v>
      </c>
      <c r="S447" s="35" t="n">
        <f>287.86</f>
        <v>287.86</v>
      </c>
      <c r="T447" s="32" t="n">
        <f>576190</f>
        <v>576190.0</v>
      </c>
      <c r="U447" s="32" t="n">
        <f>480</f>
        <v>480.0</v>
      </c>
      <c r="V447" s="32" t="n">
        <f>165641938</f>
        <v>1.65641938E8</v>
      </c>
      <c r="W447" s="32" t="n">
        <f>132877</f>
        <v>132877.0</v>
      </c>
      <c r="X447" s="36" t="n">
        <f>19</f>
        <v>19.0</v>
      </c>
    </row>
    <row r="448">
      <c r="A448" s="27" t="s">
        <v>42</v>
      </c>
      <c r="B448" s="27" t="s">
        <v>1393</v>
      </c>
      <c r="C448" s="27" t="s">
        <v>1394</v>
      </c>
      <c r="D448" s="27" t="s">
        <v>1395</v>
      </c>
      <c r="E448" s="28" t="s">
        <v>46</v>
      </c>
      <c r="F448" s="29" t="s">
        <v>46</v>
      </c>
      <c r="G448" s="30" t="s">
        <v>46</v>
      </c>
      <c r="H448" s="31"/>
      <c r="I448" s="31" t="s">
        <v>414</v>
      </c>
      <c r="J448" s="32" t="n">
        <v>10.0</v>
      </c>
      <c r="K448" s="33" t="n">
        <f>828</f>
        <v>828.0</v>
      </c>
      <c r="L448" s="34" t="s">
        <v>48</v>
      </c>
      <c r="M448" s="33" t="n">
        <f>828.8</f>
        <v>828.8</v>
      </c>
      <c r="N448" s="34" t="s">
        <v>48</v>
      </c>
      <c r="O448" s="33" t="n">
        <f>791.3</f>
        <v>791.3</v>
      </c>
      <c r="P448" s="34" t="s">
        <v>71</v>
      </c>
      <c r="Q448" s="33" t="n">
        <f>809.7</f>
        <v>809.7</v>
      </c>
      <c r="R448" s="34" t="s">
        <v>50</v>
      </c>
      <c r="S448" s="35" t="n">
        <f>808.52</f>
        <v>808.52</v>
      </c>
      <c r="T448" s="32" t="n">
        <f>6799800</f>
        <v>6799800.0</v>
      </c>
      <c r="U448" s="32" t="n">
        <f>750</f>
        <v>750.0</v>
      </c>
      <c r="V448" s="32" t="n">
        <f>5483348026</f>
        <v>5.483348026E9</v>
      </c>
      <c r="W448" s="32" t="n">
        <f>611629</f>
        <v>611629.0</v>
      </c>
      <c r="X448" s="36" t="n">
        <f>19</f>
        <v>19.0</v>
      </c>
    </row>
    <row r="449">
      <c r="A449" s="27" t="s">
        <v>42</v>
      </c>
      <c r="B449" s="27" t="s">
        <v>1396</v>
      </c>
      <c r="C449" s="27" t="s">
        <v>1397</v>
      </c>
      <c r="D449" s="27" t="s">
        <v>1398</v>
      </c>
      <c r="E449" s="28" t="s">
        <v>46</v>
      </c>
      <c r="F449" s="29" t="s">
        <v>46</v>
      </c>
      <c r="G449" s="30" t="s">
        <v>46</v>
      </c>
      <c r="H449" s="31"/>
      <c r="I449" s="31" t="s">
        <v>414</v>
      </c>
      <c r="J449" s="32" t="n">
        <v>10.0</v>
      </c>
      <c r="K449" s="33" t="n">
        <f>762.6</f>
        <v>762.6</v>
      </c>
      <c r="L449" s="34" t="s">
        <v>48</v>
      </c>
      <c r="M449" s="33" t="n">
        <f>762.6</f>
        <v>762.6</v>
      </c>
      <c r="N449" s="34" t="s">
        <v>48</v>
      </c>
      <c r="O449" s="33" t="n">
        <f>715.4</f>
        <v>715.4</v>
      </c>
      <c r="P449" s="34" t="s">
        <v>50</v>
      </c>
      <c r="Q449" s="33" t="n">
        <f>717.6</f>
        <v>717.6</v>
      </c>
      <c r="R449" s="34" t="s">
        <v>50</v>
      </c>
      <c r="S449" s="35" t="n">
        <f>734.23</f>
        <v>734.23</v>
      </c>
      <c r="T449" s="32" t="n">
        <f>1922590</f>
        <v>1922590.0</v>
      </c>
      <c r="U449" s="32" t="n">
        <f>10</f>
        <v>10.0</v>
      </c>
      <c r="V449" s="32" t="n">
        <f>1410486030</f>
        <v>1.41048603E9</v>
      </c>
      <c r="W449" s="32" t="n">
        <f>7205</f>
        <v>7205.0</v>
      </c>
      <c r="X449" s="36" t="n">
        <f>19</f>
        <v>19.0</v>
      </c>
    </row>
    <row r="450">
      <c r="A450" s="27" t="s">
        <v>42</v>
      </c>
      <c r="B450" s="27" t="s">
        <v>1399</v>
      </c>
      <c r="C450" s="27" t="s">
        <v>1400</v>
      </c>
      <c r="D450" s="27" t="s">
        <v>1401</v>
      </c>
      <c r="E450" s="28" t="s">
        <v>46</v>
      </c>
      <c r="F450" s="29" t="s">
        <v>46</v>
      </c>
      <c r="G450" s="30" t="s">
        <v>46</v>
      </c>
      <c r="H450" s="31"/>
      <c r="I450" s="31" t="s">
        <v>414</v>
      </c>
      <c r="J450" s="32" t="n">
        <v>1.0</v>
      </c>
      <c r="K450" s="33" t="n">
        <f>10315</f>
        <v>10315.0</v>
      </c>
      <c r="L450" s="34" t="s">
        <v>48</v>
      </c>
      <c r="M450" s="33" t="n">
        <f>10315</f>
        <v>10315.0</v>
      </c>
      <c r="N450" s="34" t="s">
        <v>48</v>
      </c>
      <c r="O450" s="33" t="n">
        <f>9731</f>
        <v>9731.0</v>
      </c>
      <c r="P450" s="34" t="s">
        <v>50</v>
      </c>
      <c r="Q450" s="33" t="n">
        <f>9944</f>
        <v>9944.0</v>
      </c>
      <c r="R450" s="34" t="s">
        <v>50</v>
      </c>
      <c r="S450" s="35" t="n">
        <f>10037.78</f>
        <v>10037.78</v>
      </c>
      <c r="T450" s="32" t="n">
        <f>1932</f>
        <v>1932.0</v>
      </c>
      <c r="U450" s="32" t="str">
        <f>"－"</f>
        <v>－</v>
      </c>
      <c r="V450" s="32" t="n">
        <f>19298967</f>
        <v>1.9298967E7</v>
      </c>
      <c r="W450" s="32" t="str">
        <f>"－"</f>
        <v>－</v>
      </c>
      <c r="X450" s="36" t="n">
        <f>18</f>
        <v>18.0</v>
      </c>
    </row>
    <row r="451">
      <c r="A451" s="27" t="s">
        <v>42</v>
      </c>
      <c r="B451" s="27" t="s">
        <v>1402</v>
      </c>
      <c r="C451" s="27" t="s">
        <v>1403</v>
      </c>
      <c r="D451" s="27" t="s">
        <v>1404</v>
      </c>
      <c r="E451" s="28" t="s">
        <v>46</v>
      </c>
      <c r="F451" s="29" t="s">
        <v>46</v>
      </c>
      <c r="G451" s="30" t="s">
        <v>46</v>
      </c>
      <c r="H451" s="31"/>
      <c r="I451" s="31" t="s">
        <v>414</v>
      </c>
      <c r="J451" s="32" t="n">
        <v>1.0</v>
      </c>
      <c r="K451" s="33" t="n">
        <f>2690</f>
        <v>2690.0</v>
      </c>
      <c r="L451" s="34" t="s">
        <v>48</v>
      </c>
      <c r="M451" s="33" t="n">
        <f>2732</f>
        <v>2732.0</v>
      </c>
      <c r="N451" s="34" t="s">
        <v>48</v>
      </c>
      <c r="O451" s="33" t="n">
        <f>2577</f>
        <v>2577.0</v>
      </c>
      <c r="P451" s="34" t="s">
        <v>98</v>
      </c>
      <c r="Q451" s="33" t="n">
        <f>2678</f>
        <v>2678.0</v>
      </c>
      <c r="R451" s="34" t="s">
        <v>50</v>
      </c>
      <c r="S451" s="35" t="n">
        <f>2665.84</f>
        <v>2665.84</v>
      </c>
      <c r="T451" s="32" t="n">
        <f>154356</f>
        <v>154356.0</v>
      </c>
      <c r="U451" s="32" t="str">
        <f>"－"</f>
        <v>－</v>
      </c>
      <c r="V451" s="32" t="n">
        <f>413063692</f>
        <v>4.13063692E8</v>
      </c>
      <c r="W451" s="32" t="str">
        <f>"－"</f>
        <v>－</v>
      </c>
      <c r="X451" s="36" t="n">
        <f>19</f>
        <v>19.0</v>
      </c>
    </row>
    <row r="452">
      <c r="A452" s="27" t="s">
        <v>42</v>
      </c>
      <c r="B452" s="27" t="s">
        <v>1405</v>
      </c>
      <c r="C452" s="27" t="s">
        <v>1406</v>
      </c>
      <c r="D452" s="27" t="s">
        <v>1407</v>
      </c>
      <c r="E452" s="28" t="s">
        <v>46</v>
      </c>
      <c r="F452" s="29" t="s">
        <v>46</v>
      </c>
      <c r="G452" s="30" t="s">
        <v>46</v>
      </c>
      <c r="H452" s="31"/>
      <c r="I452" s="31" t="s">
        <v>414</v>
      </c>
      <c r="J452" s="32" t="n">
        <v>1.0</v>
      </c>
      <c r="K452" s="33" t="n">
        <f>1363</f>
        <v>1363.0</v>
      </c>
      <c r="L452" s="34" t="s">
        <v>48</v>
      </c>
      <c r="M452" s="33" t="n">
        <f>1380</f>
        <v>1380.0</v>
      </c>
      <c r="N452" s="34" t="s">
        <v>48</v>
      </c>
      <c r="O452" s="33" t="n">
        <f>1308</f>
        <v>1308.0</v>
      </c>
      <c r="P452" s="34" t="s">
        <v>49</v>
      </c>
      <c r="Q452" s="33" t="n">
        <f>1335</f>
        <v>1335.0</v>
      </c>
      <c r="R452" s="34" t="s">
        <v>50</v>
      </c>
      <c r="S452" s="35" t="n">
        <f>1342.37</f>
        <v>1342.37</v>
      </c>
      <c r="T452" s="32" t="n">
        <f>250190</f>
        <v>250190.0</v>
      </c>
      <c r="U452" s="32" t="str">
        <f>"－"</f>
        <v>－</v>
      </c>
      <c r="V452" s="32" t="n">
        <f>332708674</f>
        <v>3.32708674E8</v>
      </c>
      <c r="W452" s="32" t="str">
        <f>"－"</f>
        <v>－</v>
      </c>
      <c r="X452" s="36" t="n">
        <f>19</f>
        <v>19.0</v>
      </c>
    </row>
    <row r="453">
      <c r="A453" s="27" t="s">
        <v>42</v>
      </c>
      <c r="B453" s="27" t="s">
        <v>1408</v>
      </c>
      <c r="C453" s="27" t="s">
        <v>1409</v>
      </c>
      <c r="D453" s="27" t="s">
        <v>1410</v>
      </c>
      <c r="E453" s="28" t="s">
        <v>46</v>
      </c>
      <c r="F453" s="29" t="s">
        <v>46</v>
      </c>
      <c r="G453" s="30" t="s">
        <v>46</v>
      </c>
      <c r="H453" s="31"/>
      <c r="I453" s="31" t="s">
        <v>414</v>
      </c>
      <c r="J453" s="32" t="n">
        <v>1.0</v>
      </c>
      <c r="K453" s="33" t="n">
        <f>1095</f>
        <v>1095.0</v>
      </c>
      <c r="L453" s="34" t="s">
        <v>48</v>
      </c>
      <c r="M453" s="33" t="n">
        <f>1095</f>
        <v>1095.0</v>
      </c>
      <c r="N453" s="34" t="s">
        <v>48</v>
      </c>
      <c r="O453" s="33" t="n">
        <f>987</f>
        <v>987.0</v>
      </c>
      <c r="P453" s="34" t="s">
        <v>50</v>
      </c>
      <c r="Q453" s="33" t="n">
        <f>987</f>
        <v>987.0</v>
      </c>
      <c r="R453" s="34" t="s">
        <v>50</v>
      </c>
      <c r="S453" s="35" t="n">
        <f>1019.11</f>
        <v>1019.11</v>
      </c>
      <c r="T453" s="32" t="n">
        <f>689350</f>
        <v>689350.0</v>
      </c>
      <c r="U453" s="32" t="n">
        <f>9671</f>
        <v>9671.0</v>
      </c>
      <c r="V453" s="32" t="n">
        <f>701147344</f>
        <v>7.01147344E8</v>
      </c>
      <c r="W453" s="32" t="n">
        <f>10136382</f>
        <v>1.0136382E7</v>
      </c>
      <c r="X453" s="36" t="n">
        <f>19</f>
        <v>19.0</v>
      </c>
    </row>
    <row r="454">
      <c r="A454" s="27" t="s">
        <v>42</v>
      </c>
      <c r="B454" s="27" t="s">
        <v>1411</v>
      </c>
      <c r="C454" s="27" t="s">
        <v>1412</v>
      </c>
      <c r="D454" s="27" t="s">
        <v>1413</v>
      </c>
      <c r="E454" s="28" t="s">
        <v>46</v>
      </c>
      <c r="F454" s="29" t="s">
        <v>46</v>
      </c>
      <c r="G454" s="30" t="s">
        <v>46</v>
      </c>
      <c r="H454" s="31"/>
      <c r="I454" s="31" t="s">
        <v>414</v>
      </c>
      <c r="J454" s="32" t="n">
        <v>10.0</v>
      </c>
      <c r="K454" s="33" t="n">
        <f>279.5</f>
        <v>279.5</v>
      </c>
      <c r="L454" s="34" t="s">
        <v>48</v>
      </c>
      <c r="M454" s="33" t="n">
        <f>279.5</f>
        <v>279.5</v>
      </c>
      <c r="N454" s="34" t="s">
        <v>48</v>
      </c>
      <c r="O454" s="33" t="n">
        <f>268.6</f>
        <v>268.6</v>
      </c>
      <c r="P454" s="34" t="s">
        <v>50</v>
      </c>
      <c r="Q454" s="33" t="n">
        <f>268.6</f>
        <v>268.6</v>
      </c>
      <c r="R454" s="34" t="s">
        <v>50</v>
      </c>
      <c r="S454" s="35" t="n">
        <f>273.95</f>
        <v>273.95</v>
      </c>
      <c r="T454" s="32" t="n">
        <f>12840</f>
        <v>12840.0</v>
      </c>
      <c r="U454" s="32" t="str">
        <f>"－"</f>
        <v>－</v>
      </c>
      <c r="V454" s="32" t="n">
        <f>3538171</f>
        <v>3538171.0</v>
      </c>
      <c r="W454" s="32" t="str">
        <f>"－"</f>
        <v>－</v>
      </c>
      <c r="X454" s="36" t="n">
        <f>18</f>
        <v>18.0</v>
      </c>
    </row>
    <row r="455">
      <c r="A455" s="27" t="s">
        <v>42</v>
      </c>
      <c r="B455" s="27" t="s">
        <v>1414</v>
      </c>
      <c r="C455" s="27" t="s">
        <v>1415</v>
      </c>
      <c r="D455" s="27" t="s">
        <v>1416</v>
      </c>
      <c r="E455" s="28" t="s">
        <v>46</v>
      </c>
      <c r="F455" s="29" t="s">
        <v>46</v>
      </c>
      <c r="G455" s="30" t="s">
        <v>46</v>
      </c>
      <c r="H455" s="31"/>
      <c r="I455" s="31" t="s">
        <v>414</v>
      </c>
      <c r="J455" s="32" t="n">
        <v>10.0</v>
      </c>
      <c r="K455" s="33" t="n">
        <f>285.7</f>
        <v>285.7</v>
      </c>
      <c r="L455" s="34" t="s">
        <v>48</v>
      </c>
      <c r="M455" s="33" t="n">
        <f>285.9</f>
        <v>285.9</v>
      </c>
      <c r="N455" s="34" t="s">
        <v>66</v>
      </c>
      <c r="O455" s="33" t="n">
        <f>260</f>
        <v>260.0</v>
      </c>
      <c r="P455" s="34" t="s">
        <v>286</v>
      </c>
      <c r="Q455" s="33" t="n">
        <f>271.6</f>
        <v>271.6</v>
      </c>
      <c r="R455" s="34" t="s">
        <v>50</v>
      </c>
      <c r="S455" s="35" t="n">
        <f>274.13</f>
        <v>274.13</v>
      </c>
      <c r="T455" s="32" t="n">
        <f>44770</f>
        <v>44770.0</v>
      </c>
      <c r="U455" s="32" t="str">
        <f>"－"</f>
        <v>－</v>
      </c>
      <c r="V455" s="32" t="n">
        <f>12278212</f>
        <v>1.2278212E7</v>
      </c>
      <c r="W455" s="32" t="str">
        <f>"－"</f>
        <v>－</v>
      </c>
      <c r="X455" s="36" t="n">
        <f>19</f>
        <v>19.0</v>
      </c>
    </row>
    <row r="456">
      <c r="A456" s="27" t="s">
        <v>42</v>
      </c>
      <c r="B456" s="27" t="s">
        <v>1417</v>
      </c>
      <c r="C456" s="27" t="s">
        <v>1418</v>
      </c>
      <c r="D456" s="27" t="s">
        <v>1419</v>
      </c>
      <c r="E456" s="28" t="s">
        <v>46</v>
      </c>
      <c r="F456" s="29" t="s">
        <v>46</v>
      </c>
      <c r="G456" s="30" t="s">
        <v>46</v>
      </c>
      <c r="H456" s="31"/>
      <c r="I456" s="31" t="s">
        <v>414</v>
      </c>
      <c r="J456" s="32" t="n">
        <v>1.0</v>
      </c>
      <c r="K456" s="33" t="n">
        <f>1325</f>
        <v>1325.0</v>
      </c>
      <c r="L456" s="34" t="s">
        <v>48</v>
      </c>
      <c r="M456" s="33" t="n">
        <f>1353</f>
        <v>1353.0</v>
      </c>
      <c r="N456" s="34" t="s">
        <v>50</v>
      </c>
      <c r="O456" s="33" t="n">
        <f>1263</f>
        <v>1263.0</v>
      </c>
      <c r="P456" s="34" t="s">
        <v>71</v>
      </c>
      <c r="Q456" s="33" t="n">
        <f>1350</f>
        <v>1350.0</v>
      </c>
      <c r="R456" s="34" t="s">
        <v>50</v>
      </c>
      <c r="S456" s="35" t="n">
        <f>1308.32</f>
        <v>1308.32</v>
      </c>
      <c r="T456" s="32" t="n">
        <f>11337359</f>
        <v>1.1337359E7</v>
      </c>
      <c r="U456" s="32" t="n">
        <f>11200963</f>
        <v>1.1200963E7</v>
      </c>
      <c r="V456" s="32" t="n">
        <f>14843426159</f>
        <v>1.4843426159E10</v>
      </c>
      <c r="W456" s="32" t="n">
        <f>14664700423</f>
        <v>1.4664700423E10</v>
      </c>
      <c r="X456" s="36" t="n">
        <f>19</f>
        <v>19.0</v>
      </c>
    </row>
    <row r="457">
      <c r="A457" s="27" t="s">
        <v>42</v>
      </c>
      <c r="B457" s="27" t="s">
        <v>1420</v>
      </c>
      <c r="C457" s="27" t="s">
        <v>1421</v>
      </c>
      <c r="D457" s="27" t="s">
        <v>1422</v>
      </c>
      <c r="E457" s="28" t="s">
        <v>46</v>
      </c>
      <c r="F457" s="29" t="s">
        <v>46</v>
      </c>
      <c r="G457" s="30" t="s">
        <v>46</v>
      </c>
      <c r="H457" s="31"/>
      <c r="I457" s="31" t="s">
        <v>414</v>
      </c>
      <c r="J457" s="32" t="n">
        <v>1.0</v>
      </c>
      <c r="K457" s="33" t="n">
        <f>2277</f>
        <v>2277.0</v>
      </c>
      <c r="L457" s="34" t="s">
        <v>48</v>
      </c>
      <c r="M457" s="33" t="n">
        <f>2282</f>
        <v>2282.0</v>
      </c>
      <c r="N457" s="34" t="s">
        <v>66</v>
      </c>
      <c r="O457" s="33" t="n">
        <f>2130</f>
        <v>2130.0</v>
      </c>
      <c r="P457" s="34" t="s">
        <v>308</v>
      </c>
      <c r="Q457" s="33" t="n">
        <f>2156</f>
        <v>2156.0</v>
      </c>
      <c r="R457" s="34" t="s">
        <v>50</v>
      </c>
      <c r="S457" s="35" t="n">
        <f>2180.21</f>
        <v>2180.21</v>
      </c>
      <c r="T457" s="32" t="n">
        <f>102091</f>
        <v>102091.0</v>
      </c>
      <c r="U457" s="32" t="str">
        <f>"－"</f>
        <v>－</v>
      </c>
      <c r="V457" s="32" t="n">
        <f>222263524</f>
        <v>2.22263524E8</v>
      </c>
      <c r="W457" s="32" t="str">
        <f>"－"</f>
        <v>－</v>
      </c>
      <c r="X457" s="36" t="n">
        <f>19</f>
        <v>19.0</v>
      </c>
    </row>
    <row r="458">
      <c r="A458" s="27" t="s">
        <v>42</v>
      </c>
      <c r="B458" s="27" t="s">
        <v>1423</v>
      </c>
      <c r="C458" s="27" t="s">
        <v>1424</v>
      </c>
      <c r="D458" s="27" t="s">
        <v>1425</v>
      </c>
      <c r="E458" s="28" t="s">
        <v>46</v>
      </c>
      <c r="F458" s="29" t="s">
        <v>46</v>
      </c>
      <c r="G458" s="30" t="s">
        <v>46</v>
      </c>
      <c r="H458" s="31"/>
      <c r="I458" s="31" t="s">
        <v>414</v>
      </c>
      <c r="J458" s="32" t="n">
        <v>1.0</v>
      </c>
      <c r="K458" s="33" t="n">
        <f>2165</f>
        <v>2165.0</v>
      </c>
      <c r="L458" s="34" t="s">
        <v>48</v>
      </c>
      <c r="M458" s="33" t="n">
        <f>2165</f>
        <v>2165.0</v>
      </c>
      <c r="N458" s="34" t="s">
        <v>48</v>
      </c>
      <c r="O458" s="33" t="n">
        <f>1974</f>
        <v>1974.0</v>
      </c>
      <c r="P458" s="34" t="s">
        <v>71</v>
      </c>
      <c r="Q458" s="33" t="n">
        <f>1994</f>
        <v>1994.0</v>
      </c>
      <c r="R458" s="34" t="s">
        <v>50</v>
      </c>
      <c r="S458" s="35" t="n">
        <f>2031.79</f>
        <v>2031.79</v>
      </c>
      <c r="T458" s="32" t="n">
        <f>12429</f>
        <v>12429.0</v>
      </c>
      <c r="U458" s="32" t="str">
        <f>"－"</f>
        <v>－</v>
      </c>
      <c r="V458" s="32" t="n">
        <f>25468366</f>
        <v>2.5468366E7</v>
      </c>
      <c r="W458" s="32" t="str">
        <f>"－"</f>
        <v>－</v>
      </c>
      <c r="X458" s="36" t="n">
        <f>19</f>
        <v>19.0</v>
      </c>
    </row>
    <row r="459">
      <c r="A459" s="27" t="s">
        <v>42</v>
      </c>
      <c r="B459" s="27" t="s">
        <v>1426</v>
      </c>
      <c r="C459" s="27" t="s">
        <v>1427</v>
      </c>
      <c r="D459" s="27" t="s">
        <v>1428</v>
      </c>
      <c r="E459" s="28" t="s">
        <v>46</v>
      </c>
      <c r="F459" s="29" t="s">
        <v>46</v>
      </c>
      <c r="G459" s="30" t="s">
        <v>46</v>
      </c>
      <c r="H459" s="31"/>
      <c r="I459" s="31" t="s">
        <v>414</v>
      </c>
      <c r="J459" s="32" t="n">
        <v>10.0</v>
      </c>
      <c r="K459" s="33" t="n">
        <f>763.5</f>
        <v>763.5</v>
      </c>
      <c r="L459" s="34" t="s">
        <v>48</v>
      </c>
      <c r="M459" s="33" t="n">
        <f>797.8</f>
        <v>797.8</v>
      </c>
      <c r="N459" s="34" t="s">
        <v>98</v>
      </c>
      <c r="O459" s="33" t="n">
        <f>760.4</f>
        <v>760.4</v>
      </c>
      <c r="P459" s="34" t="s">
        <v>66</v>
      </c>
      <c r="Q459" s="33" t="n">
        <f>777.1</f>
        <v>777.1</v>
      </c>
      <c r="R459" s="34" t="s">
        <v>50</v>
      </c>
      <c r="S459" s="35" t="n">
        <f>780.11</f>
        <v>780.11</v>
      </c>
      <c r="T459" s="32" t="n">
        <f>527570</f>
        <v>527570.0</v>
      </c>
      <c r="U459" s="32" t="str">
        <f>"－"</f>
        <v>－</v>
      </c>
      <c r="V459" s="32" t="n">
        <f>411314447</f>
        <v>4.11314447E8</v>
      </c>
      <c r="W459" s="32" t="str">
        <f>"－"</f>
        <v>－</v>
      </c>
      <c r="X459" s="36" t="n">
        <f>19</f>
        <v>19.0</v>
      </c>
    </row>
    <row r="460">
      <c r="A460" s="27" t="s">
        <v>42</v>
      </c>
      <c r="B460" s="27" t="s">
        <v>1429</v>
      </c>
      <c r="C460" s="27" t="s">
        <v>1430</v>
      </c>
      <c r="D460" s="27" t="s">
        <v>1431</v>
      </c>
      <c r="E460" s="28" t="s">
        <v>46</v>
      </c>
      <c r="F460" s="29" t="s">
        <v>46</v>
      </c>
      <c r="G460" s="30" t="s">
        <v>46</v>
      </c>
      <c r="H460" s="31"/>
      <c r="I460" s="31" t="s">
        <v>414</v>
      </c>
      <c r="J460" s="32" t="n">
        <v>1.0</v>
      </c>
      <c r="K460" s="33" t="n">
        <f>900</f>
        <v>900.0</v>
      </c>
      <c r="L460" s="34" t="s">
        <v>48</v>
      </c>
      <c r="M460" s="33" t="n">
        <f>905</f>
        <v>905.0</v>
      </c>
      <c r="N460" s="34" t="s">
        <v>66</v>
      </c>
      <c r="O460" s="33" t="n">
        <f>830</f>
        <v>830.0</v>
      </c>
      <c r="P460" s="34" t="s">
        <v>78</v>
      </c>
      <c r="Q460" s="33" t="n">
        <f>833</f>
        <v>833.0</v>
      </c>
      <c r="R460" s="34" t="s">
        <v>50</v>
      </c>
      <c r="S460" s="35" t="n">
        <f>864.42</f>
        <v>864.42</v>
      </c>
      <c r="T460" s="32" t="n">
        <f>2895</f>
        <v>2895.0</v>
      </c>
      <c r="U460" s="32" t="str">
        <f>"－"</f>
        <v>－</v>
      </c>
      <c r="V460" s="32" t="n">
        <f>2491284</f>
        <v>2491284.0</v>
      </c>
      <c r="W460" s="32" t="str">
        <f>"－"</f>
        <v>－</v>
      </c>
      <c r="X460" s="36" t="n">
        <f>19</f>
        <v>19.0</v>
      </c>
    </row>
    <row r="461">
      <c r="A461" s="27" t="s">
        <v>42</v>
      </c>
      <c r="B461" s="27" t="s">
        <v>1432</v>
      </c>
      <c r="C461" s="27" t="s">
        <v>1433</v>
      </c>
      <c r="D461" s="27" t="s">
        <v>1434</v>
      </c>
      <c r="E461" s="28" t="s">
        <v>46</v>
      </c>
      <c r="F461" s="29" t="s">
        <v>46</v>
      </c>
      <c r="G461" s="30" t="s">
        <v>46</v>
      </c>
      <c r="H461" s="31"/>
      <c r="I461" s="31" t="s">
        <v>47</v>
      </c>
      <c r="J461" s="32" t="n">
        <v>10.0</v>
      </c>
      <c r="K461" s="33" t="n">
        <f>553</f>
        <v>553.0</v>
      </c>
      <c r="L461" s="34" t="s">
        <v>210</v>
      </c>
      <c r="M461" s="33" t="n">
        <f>556.6</f>
        <v>556.6</v>
      </c>
      <c r="N461" s="34" t="s">
        <v>157</v>
      </c>
      <c r="O461" s="33" t="n">
        <f>543</f>
        <v>543.0</v>
      </c>
      <c r="P461" s="34" t="s">
        <v>221</v>
      </c>
      <c r="Q461" s="33" t="n">
        <f>555.9</f>
        <v>555.9</v>
      </c>
      <c r="R461" s="34" t="s">
        <v>50</v>
      </c>
      <c r="S461" s="35" t="n">
        <f>551.53</f>
        <v>551.53</v>
      </c>
      <c r="T461" s="32" t="n">
        <f>6767090</f>
        <v>6767090.0</v>
      </c>
      <c r="U461" s="32" t="n">
        <f>6469500</f>
        <v>6469500.0</v>
      </c>
      <c r="V461" s="32" t="n">
        <f>3691650386</f>
        <v>3.691650386E9</v>
      </c>
      <c r="W461" s="32" t="n">
        <f>3527419181</f>
        <v>3.527419181E9</v>
      </c>
      <c r="X461" s="36" t="n">
        <f>9</f>
        <v>9.0</v>
      </c>
    </row>
    <row r="462">
      <c r="A462" s="27" t="s">
        <v>42</v>
      </c>
      <c r="B462" s="27" t="s">
        <v>1435</v>
      </c>
      <c r="C462" s="27" t="s">
        <v>1436</v>
      </c>
      <c r="D462" s="27" t="s">
        <v>1437</v>
      </c>
      <c r="E462" s="28" t="s">
        <v>46</v>
      </c>
      <c r="F462" s="29" t="s">
        <v>46</v>
      </c>
      <c r="G462" s="30" t="s">
        <v>46</v>
      </c>
      <c r="H462" s="31"/>
      <c r="I462" s="31" t="s">
        <v>414</v>
      </c>
      <c r="J462" s="32" t="n">
        <v>10.0</v>
      </c>
      <c r="K462" s="33" t="n">
        <f>968.1</f>
        <v>968.1</v>
      </c>
      <c r="L462" s="34" t="s">
        <v>48</v>
      </c>
      <c r="M462" s="33" t="n">
        <f>973.4</f>
        <v>973.4</v>
      </c>
      <c r="N462" s="34" t="s">
        <v>217</v>
      </c>
      <c r="O462" s="33" t="n">
        <f>952.4</f>
        <v>952.4</v>
      </c>
      <c r="P462" s="34" t="s">
        <v>78</v>
      </c>
      <c r="Q462" s="33" t="n">
        <f>953</f>
        <v>953.0</v>
      </c>
      <c r="R462" s="34" t="s">
        <v>78</v>
      </c>
      <c r="S462" s="35" t="n">
        <f>961.59</f>
        <v>961.59</v>
      </c>
      <c r="T462" s="32" t="n">
        <f>144310</f>
        <v>144310.0</v>
      </c>
      <c r="U462" s="32" t="str">
        <f>"－"</f>
        <v>－</v>
      </c>
      <c r="V462" s="32" t="n">
        <f>139565009</f>
        <v>1.39565009E8</v>
      </c>
      <c r="W462" s="32" t="str">
        <f>"－"</f>
        <v>－</v>
      </c>
      <c r="X462" s="36" t="n">
        <f>17</f>
        <v>17.0</v>
      </c>
    </row>
    <row r="463">
      <c r="A463" s="27" t="s">
        <v>42</v>
      </c>
      <c r="B463" s="27" t="s">
        <v>1438</v>
      </c>
      <c r="C463" s="27" t="s">
        <v>1439</v>
      </c>
      <c r="D463" s="27" t="s">
        <v>1440</v>
      </c>
      <c r="E463" s="28" t="s">
        <v>46</v>
      </c>
      <c r="F463" s="29" t="s">
        <v>46</v>
      </c>
      <c r="G463" s="30" t="s">
        <v>46</v>
      </c>
      <c r="H463" s="31"/>
      <c r="I463" s="31" t="s">
        <v>414</v>
      </c>
      <c r="J463" s="32" t="n">
        <v>10.0</v>
      </c>
      <c r="K463" s="33" t="n">
        <f>993.9</f>
        <v>993.9</v>
      </c>
      <c r="L463" s="34" t="s">
        <v>48</v>
      </c>
      <c r="M463" s="33" t="n">
        <f>999.5</f>
        <v>999.5</v>
      </c>
      <c r="N463" s="34" t="s">
        <v>217</v>
      </c>
      <c r="O463" s="33" t="n">
        <f>989.9</f>
        <v>989.9</v>
      </c>
      <c r="P463" s="34" t="s">
        <v>82</v>
      </c>
      <c r="Q463" s="33" t="n">
        <f>993.2</f>
        <v>993.2</v>
      </c>
      <c r="R463" s="34" t="s">
        <v>50</v>
      </c>
      <c r="S463" s="35" t="n">
        <f>994.54</f>
        <v>994.54</v>
      </c>
      <c r="T463" s="32" t="n">
        <f>263720</f>
        <v>263720.0</v>
      </c>
      <c r="U463" s="32" t="str">
        <f>"－"</f>
        <v>－</v>
      </c>
      <c r="V463" s="32" t="n">
        <f>262425065</f>
        <v>2.62425065E8</v>
      </c>
      <c r="W463" s="32" t="str">
        <f>"－"</f>
        <v>－</v>
      </c>
      <c r="X463" s="36" t="n">
        <f>14</f>
        <v>14.0</v>
      </c>
    </row>
    <row r="464">
      <c r="A464" s="27" t="s">
        <v>42</v>
      </c>
      <c r="B464" s="27" t="s">
        <v>1441</v>
      </c>
      <c r="C464" s="27" t="s">
        <v>1442</v>
      </c>
      <c r="D464" s="27" t="s">
        <v>1443</v>
      </c>
      <c r="E464" s="28" t="s">
        <v>46</v>
      </c>
      <c r="F464" s="29" t="s">
        <v>46</v>
      </c>
      <c r="G464" s="30" t="s">
        <v>46</v>
      </c>
      <c r="H464" s="31"/>
      <c r="I464" s="31" t="s">
        <v>414</v>
      </c>
      <c r="J464" s="32" t="n">
        <v>10.0</v>
      </c>
      <c r="K464" s="33" t="n">
        <f>983</f>
        <v>983.0</v>
      </c>
      <c r="L464" s="34" t="s">
        <v>48</v>
      </c>
      <c r="M464" s="33" t="n">
        <f>988.2</f>
        <v>988.2</v>
      </c>
      <c r="N464" s="34" t="s">
        <v>98</v>
      </c>
      <c r="O464" s="33" t="n">
        <f>974</f>
        <v>974.0</v>
      </c>
      <c r="P464" s="34" t="s">
        <v>286</v>
      </c>
      <c r="Q464" s="33" t="n">
        <f>976.8</f>
        <v>976.8</v>
      </c>
      <c r="R464" s="34" t="s">
        <v>50</v>
      </c>
      <c r="S464" s="35" t="n">
        <f>979.21</f>
        <v>979.21</v>
      </c>
      <c r="T464" s="32" t="n">
        <f>253460</f>
        <v>253460.0</v>
      </c>
      <c r="U464" s="32" t="str">
        <f>"－"</f>
        <v>－</v>
      </c>
      <c r="V464" s="32" t="n">
        <f>249253904</f>
        <v>2.49253904E8</v>
      </c>
      <c r="W464" s="32" t="str">
        <f>"－"</f>
        <v>－</v>
      </c>
      <c r="X464" s="36" t="n">
        <f>9</f>
        <v>9.0</v>
      </c>
    </row>
    <row r="465">
      <c r="A465" s="27" t="s">
        <v>42</v>
      </c>
      <c r="B465" s="27" t="s">
        <v>1444</v>
      </c>
      <c r="C465" s="27" t="s">
        <v>1445</v>
      </c>
      <c r="D465" s="27" t="s">
        <v>1446</v>
      </c>
      <c r="E465" s="28" t="s">
        <v>46</v>
      </c>
      <c r="F465" s="29" t="s">
        <v>46</v>
      </c>
      <c r="G465" s="30" t="s">
        <v>46</v>
      </c>
      <c r="H465" s="31"/>
      <c r="I465" s="31" t="s">
        <v>414</v>
      </c>
      <c r="J465" s="32" t="n">
        <v>10.0</v>
      </c>
      <c r="K465" s="33" t="n">
        <f>961.7</f>
        <v>961.7</v>
      </c>
      <c r="L465" s="34" t="s">
        <v>66</v>
      </c>
      <c r="M465" s="33" t="n">
        <f>974.5</f>
        <v>974.5</v>
      </c>
      <c r="N465" s="34" t="s">
        <v>217</v>
      </c>
      <c r="O465" s="33" t="n">
        <f>951.2</f>
        <v>951.2</v>
      </c>
      <c r="P465" s="34" t="s">
        <v>50</v>
      </c>
      <c r="Q465" s="33" t="n">
        <f>951.2</f>
        <v>951.2</v>
      </c>
      <c r="R465" s="34" t="s">
        <v>50</v>
      </c>
      <c r="S465" s="35" t="n">
        <f>960.38</f>
        <v>960.38</v>
      </c>
      <c r="T465" s="32" t="n">
        <f>252440</f>
        <v>252440.0</v>
      </c>
      <c r="U465" s="32" t="str">
        <f>"－"</f>
        <v>－</v>
      </c>
      <c r="V465" s="32" t="n">
        <f>244343010</f>
        <v>2.4434301E8</v>
      </c>
      <c r="W465" s="32" t="str">
        <f>"－"</f>
        <v>－</v>
      </c>
      <c r="X465" s="36" t="n">
        <f>12</f>
        <v>12.0</v>
      </c>
    </row>
    <row r="466">
      <c r="A466" s="27" t="s">
        <v>42</v>
      </c>
      <c r="B466" s="27" t="s">
        <v>1447</v>
      </c>
      <c r="C466" s="27" t="s">
        <v>1448</v>
      </c>
      <c r="D466" s="27" t="s">
        <v>1449</v>
      </c>
      <c r="E466" s="28" t="s">
        <v>46</v>
      </c>
      <c r="F466" s="29" t="s">
        <v>46</v>
      </c>
      <c r="G466" s="30" t="s">
        <v>46</v>
      </c>
      <c r="H466" s="31"/>
      <c r="I466" s="31" t="s">
        <v>414</v>
      </c>
      <c r="J466" s="32" t="n">
        <v>10.0</v>
      </c>
      <c r="K466" s="33" t="n">
        <f>929</f>
        <v>929.0</v>
      </c>
      <c r="L466" s="34" t="s">
        <v>48</v>
      </c>
      <c r="M466" s="33" t="n">
        <f>945.9</f>
        <v>945.9</v>
      </c>
      <c r="N466" s="34" t="s">
        <v>210</v>
      </c>
      <c r="O466" s="33" t="n">
        <f>911.1</f>
        <v>911.1</v>
      </c>
      <c r="P466" s="34" t="s">
        <v>50</v>
      </c>
      <c r="Q466" s="33" t="n">
        <f>914</f>
        <v>914.0</v>
      </c>
      <c r="R466" s="34" t="s">
        <v>50</v>
      </c>
      <c r="S466" s="35" t="n">
        <f>927.69</f>
        <v>927.69</v>
      </c>
      <c r="T466" s="32" t="n">
        <f>172020</f>
        <v>172020.0</v>
      </c>
      <c r="U466" s="32" t="str">
        <f>"－"</f>
        <v>－</v>
      </c>
      <c r="V466" s="32" t="n">
        <f>159564832</f>
        <v>1.59564832E8</v>
      </c>
      <c r="W466" s="32" t="str">
        <f>"－"</f>
        <v>－</v>
      </c>
      <c r="X466" s="36" t="n">
        <f>19</f>
        <v>19.0</v>
      </c>
    </row>
    <row r="467">
      <c r="A467" s="27" t="s">
        <v>42</v>
      </c>
      <c r="B467" s="27" t="s">
        <v>1450</v>
      </c>
      <c r="C467" s="27" t="s">
        <v>1451</v>
      </c>
      <c r="D467" s="27" t="s">
        <v>1452</v>
      </c>
      <c r="E467" s="28" t="s">
        <v>46</v>
      </c>
      <c r="F467" s="29" t="s">
        <v>46</v>
      </c>
      <c r="G467" s="30" t="s">
        <v>46</v>
      </c>
      <c r="H467" s="31"/>
      <c r="I467" s="31" t="s">
        <v>414</v>
      </c>
      <c r="J467" s="32" t="n">
        <v>1.0</v>
      </c>
      <c r="K467" s="33" t="n">
        <f>10695</f>
        <v>10695.0</v>
      </c>
      <c r="L467" s="34" t="s">
        <v>48</v>
      </c>
      <c r="M467" s="33" t="n">
        <f>10695</f>
        <v>10695.0</v>
      </c>
      <c r="N467" s="34" t="s">
        <v>48</v>
      </c>
      <c r="O467" s="33" t="n">
        <f>10060</f>
        <v>10060.0</v>
      </c>
      <c r="P467" s="34" t="s">
        <v>78</v>
      </c>
      <c r="Q467" s="33" t="n">
        <f>10165</f>
        <v>10165.0</v>
      </c>
      <c r="R467" s="34" t="s">
        <v>50</v>
      </c>
      <c r="S467" s="35" t="n">
        <f>10391.18</f>
        <v>10391.18</v>
      </c>
      <c r="T467" s="32" t="n">
        <f>6679</f>
        <v>6679.0</v>
      </c>
      <c r="U467" s="32" t="str">
        <f>"－"</f>
        <v>－</v>
      </c>
      <c r="V467" s="32" t="n">
        <f>69267945</f>
        <v>6.9267945E7</v>
      </c>
      <c r="W467" s="32" t="str">
        <f>"－"</f>
        <v>－</v>
      </c>
      <c r="X467" s="36" t="n">
        <f>17</f>
        <v>17.0</v>
      </c>
    </row>
    <row r="468">
      <c r="A468" s="27" t="s">
        <v>42</v>
      </c>
      <c r="B468" s="27" t="s">
        <v>1453</v>
      </c>
      <c r="C468" s="27" t="s">
        <v>1454</v>
      </c>
      <c r="D468" s="27" t="s">
        <v>1455</v>
      </c>
      <c r="E468" s="28" t="s">
        <v>46</v>
      </c>
      <c r="F468" s="29" t="s">
        <v>46</v>
      </c>
      <c r="G468" s="30" t="s">
        <v>46</v>
      </c>
      <c r="H468" s="31"/>
      <c r="I468" s="31" t="s">
        <v>414</v>
      </c>
      <c r="J468" s="32" t="n">
        <v>1.0</v>
      </c>
      <c r="K468" s="33" t="n">
        <f>9457</f>
        <v>9457.0</v>
      </c>
      <c r="L468" s="34" t="s">
        <v>48</v>
      </c>
      <c r="M468" s="33" t="n">
        <f>9509</f>
        <v>9509.0</v>
      </c>
      <c r="N468" s="34" t="s">
        <v>48</v>
      </c>
      <c r="O468" s="33" t="n">
        <f>8546</f>
        <v>8546.0</v>
      </c>
      <c r="P468" s="34" t="s">
        <v>308</v>
      </c>
      <c r="Q468" s="33" t="n">
        <f>8718</f>
        <v>8718.0</v>
      </c>
      <c r="R468" s="34" t="s">
        <v>50</v>
      </c>
      <c r="S468" s="35" t="n">
        <f>8856.21</f>
        <v>8856.21</v>
      </c>
      <c r="T468" s="32" t="n">
        <f>2969</f>
        <v>2969.0</v>
      </c>
      <c r="U468" s="32" t="str">
        <f>"－"</f>
        <v>－</v>
      </c>
      <c r="V468" s="32" t="n">
        <f>26357697</f>
        <v>2.6357697E7</v>
      </c>
      <c r="W468" s="32" t="str">
        <f>"－"</f>
        <v>－</v>
      </c>
      <c r="X468" s="36" t="n">
        <f>19</f>
        <v>19.0</v>
      </c>
    </row>
    <row r="469">
      <c r="A469" s="27" t="s">
        <v>42</v>
      </c>
      <c r="B469" s="27" t="s">
        <v>1456</v>
      </c>
      <c r="C469" s="27" t="s">
        <v>1457</v>
      </c>
      <c r="D469" s="27" t="s">
        <v>1458</v>
      </c>
      <c r="E469" s="28" t="s">
        <v>46</v>
      </c>
      <c r="F469" s="29" t="s">
        <v>46</v>
      </c>
      <c r="G469" s="30" t="s">
        <v>46</v>
      </c>
      <c r="H469" s="31"/>
      <c r="I469" s="31" t="s">
        <v>414</v>
      </c>
      <c r="J469" s="32" t="n">
        <v>1.0</v>
      </c>
      <c r="K469" s="33" t="n">
        <f>8949</f>
        <v>8949.0</v>
      </c>
      <c r="L469" s="34" t="s">
        <v>48</v>
      </c>
      <c r="M469" s="33" t="n">
        <f>8952</f>
        <v>8952.0</v>
      </c>
      <c r="N469" s="34" t="s">
        <v>48</v>
      </c>
      <c r="O469" s="33" t="n">
        <f>7826</f>
        <v>7826.0</v>
      </c>
      <c r="P469" s="34" t="s">
        <v>78</v>
      </c>
      <c r="Q469" s="33" t="n">
        <f>7855</f>
        <v>7855.0</v>
      </c>
      <c r="R469" s="34" t="s">
        <v>50</v>
      </c>
      <c r="S469" s="35" t="n">
        <f>8130.79</f>
        <v>8130.79</v>
      </c>
      <c r="T469" s="32" t="n">
        <f>1808</f>
        <v>1808.0</v>
      </c>
      <c r="U469" s="32" t="str">
        <f>"－"</f>
        <v>－</v>
      </c>
      <c r="V469" s="32" t="n">
        <f>14992692</f>
        <v>1.4992692E7</v>
      </c>
      <c r="W469" s="32" t="str">
        <f>"－"</f>
        <v>－</v>
      </c>
      <c r="X469" s="36" t="n">
        <f>19</f>
        <v>19.0</v>
      </c>
    </row>
    <row r="470">
      <c r="A470" s="27" t="s">
        <v>42</v>
      </c>
      <c r="B470" s="27" t="s">
        <v>1459</v>
      </c>
      <c r="C470" s="27" t="s">
        <v>1460</v>
      </c>
      <c r="D470" s="27" t="s">
        <v>1461</v>
      </c>
      <c r="E470" s="28" t="s">
        <v>46</v>
      </c>
      <c r="F470" s="29" t="s">
        <v>46</v>
      </c>
      <c r="G470" s="30" t="s">
        <v>46</v>
      </c>
      <c r="H470" s="31"/>
      <c r="I470" s="31" t="s">
        <v>414</v>
      </c>
      <c r="J470" s="32" t="n">
        <v>10.0</v>
      </c>
      <c r="K470" s="33" t="n">
        <f>901.3</f>
        <v>901.3</v>
      </c>
      <c r="L470" s="34" t="s">
        <v>48</v>
      </c>
      <c r="M470" s="33" t="n">
        <f>902.1</f>
        <v>902.1</v>
      </c>
      <c r="N470" s="34" t="s">
        <v>50</v>
      </c>
      <c r="O470" s="33" t="n">
        <f>901.2</f>
        <v>901.2</v>
      </c>
      <c r="P470" s="34" t="s">
        <v>48</v>
      </c>
      <c r="Q470" s="33" t="n">
        <f>901.9</f>
        <v>901.9</v>
      </c>
      <c r="R470" s="34" t="s">
        <v>50</v>
      </c>
      <c r="S470" s="35" t="n">
        <f>901.56</f>
        <v>901.56</v>
      </c>
      <c r="T470" s="32" t="n">
        <f>1160120</f>
        <v>1160120.0</v>
      </c>
      <c r="U470" s="32" t="str">
        <f>"－"</f>
        <v>－</v>
      </c>
      <c r="V470" s="32" t="n">
        <f>1045817929</f>
        <v>1.045817929E9</v>
      </c>
      <c r="W470" s="32" t="str">
        <f>"－"</f>
        <v>－</v>
      </c>
      <c r="X470" s="36" t="n">
        <f>19</f>
        <v>19.0</v>
      </c>
    </row>
    <row r="471">
      <c r="A471" s="27" t="s">
        <v>42</v>
      </c>
      <c r="B471" s="27" t="s">
        <v>1462</v>
      </c>
      <c r="C471" s="27" t="s">
        <v>1463</v>
      </c>
      <c r="D471" s="27" t="s">
        <v>1464</v>
      </c>
      <c r="E471" s="28" t="s">
        <v>46</v>
      </c>
      <c r="F471" s="29" t="s">
        <v>46</v>
      </c>
      <c r="G471" s="30" t="s">
        <v>46</v>
      </c>
      <c r="H471" s="31"/>
      <c r="I471" s="31" t="s">
        <v>414</v>
      </c>
      <c r="J471" s="32" t="n">
        <v>1.0</v>
      </c>
      <c r="K471" s="33" t="n">
        <f>71800</f>
        <v>71800.0</v>
      </c>
      <c r="L471" s="34" t="s">
        <v>48</v>
      </c>
      <c r="M471" s="33" t="n">
        <f>72300</f>
        <v>72300.0</v>
      </c>
      <c r="N471" s="34" t="s">
        <v>308</v>
      </c>
      <c r="O471" s="33" t="n">
        <f>70500</f>
        <v>70500.0</v>
      </c>
      <c r="P471" s="34" t="s">
        <v>49</v>
      </c>
      <c r="Q471" s="33" t="n">
        <f>71000</f>
        <v>71000.0</v>
      </c>
      <c r="R471" s="34" t="s">
        <v>50</v>
      </c>
      <c r="S471" s="35" t="n">
        <f>71200</f>
        <v>71200.0</v>
      </c>
      <c r="T471" s="32" t="n">
        <f>4960</f>
        <v>4960.0</v>
      </c>
      <c r="U471" s="32" t="n">
        <f>35</f>
        <v>35.0</v>
      </c>
      <c r="V471" s="32" t="n">
        <f>353572921</f>
        <v>3.53572921E8</v>
      </c>
      <c r="W471" s="32" t="n">
        <f>2493421</f>
        <v>2493421.0</v>
      </c>
      <c r="X471" s="36" t="n">
        <f>19</f>
        <v>19.0</v>
      </c>
    </row>
    <row r="472">
      <c r="A472" s="27" t="s">
        <v>42</v>
      </c>
      <c r="B472" s="27" t="s">
        <v>1465</v>
      </c>
      <c r="C472" s="27" t="s">
        <v>1466</v>
      </c>
      <c r="D472" s="27" t="s">
        <v>1467</v>
      </c>
      <c r="E472" s="28" t="s">
        <v>46</v>
      </c>
      <c r="F472" s="29" t="s">
        <v>46</v>
      </c>
      <c r="G472" s="30" t="s">
        <v>46</v>
      </c>
      <c r="H472" s="31"/>
      <c r="I472" s="31" t="s">
        <v>414</v>
      </c>
      <c r="J472" s="32" t="n">
        <v>1.0</v>
      </c>
      <c r="K472" s="33" t="n">
        <f>1190</f>
        <v>1190.0</v>
      </c>
      <c r="L472" s="34" t="s">
        <v>48</v>
      </c>
      <c r="M472" s="33" t="n">
        <f>1226</f>
        <v>1226.0</v>
      </c>
      <c r="N472" s="34" t="s">
        <v>270</v>
      </c>
      <c r="O472" s="33" t="n">
        <f>1113</f>
        <v>1113.0</v>
      </c>
      <c r="P472" s="34" t="s">
        <v>221</v>
      </c>
      <c r="Q472" s="33" t="n">
        <f>1142</f>
        <v>1142.0</v>
      </c>
      <c r="R472" s="34" t="s">
        <v>50</v>
      </c>
      <c r="S472" s="35" t="n">
        <f>1164</f>
        <v>1164.0</v>
      </c>
      <c r="T472" s="32" t="n">
        <f>43224</f>
        <v>43224.0</v>
      </c>
      <c r="U472" s="32" t="n">
        <f>31</f>
        <v>31.0</v>
      </c>
      <c r="V472" s="32" t="n">
        <f>51035224</f>
        <v>5.1035224E7</v>
      </c>
      <c r="W472" s="32" t="n">
        <f>36617</f>
        <v>36617.0</v>
      </c>
      <c r="X472" s="36" t="n">
        <f>19</f>
        <v>19.0</v>
      </c>
    </row>
    <row r="473">
      <c r="A473" s="27" t="s">
        <v>42</v>
      </c>
      <c r="B473" s="27" t="s">
        <v>1468</v>
      </c>
      <c r="C473" s="27" t="s">
        <v>1469</v>
      </c>
      <c r="D473" s="27" t="s">
        <v>1470</v>
      </c>
      <c r="E473" s="28" t="s">
        <v>46</v>
      </c>
      <c r="F473" s="29" t="s">
        <v>46</v>
      </c>
      <c r="G473" s="30" t="s">
        <v>46</v>
      </c>
      <c r="H473" s="31"/>
      <c r="I473" s="31" t="s">
        <v>47</v>
      </c>
      <c r="J473" s="32" t="n">
        <v>1.0</v>
      </c>
      <c r="K473" s="33" t="n">
        <f>850</f>
        <v>850.0</v>
      </c>
      <c r="L473" s="34" t="s">
        <v>48</v>
      </c>
      <c r="M473" s="33" t="n">
        <f>858</f>
        <v>858.0</v>
      </c>
      <c r="N473" s="34" t="s">
        <v>48</v>
      </c>
      <c r="O473" s="33" t="n">
        <f>777</f>
        <v>777.0</v>
      </c>
      <c r="P473" s="34" t="s">
        <v>49</v>
      </c>
      <c r="Q473" s="33" t="n">
        <f>834</f>
        <v>834.0</v>
      </c>
      <c r="R473" s="34" t="s">
        <v>50</v>
      </c>
      <c r="S473" s="35" t="n">
        <f>821.37</f>
        <v>821.37</v>
      </c>
      <c r="T473" s="32" t="n">
        <f>6043814</f>
        <v>6043814.0</v>
      </c>
      <c r="U473" s="32" t="n">
        <f>212980</f>
        <v>212980.0</v>
      </c>
      <c r="V473" s="32" t="n">
        <f>4948543512</f>
        <v>4.948543512E9</v>
      </c>
      <c r="W473" s="32" t="n">
        <f>173874926</f>
        <v>1.73874926E8</v>
      </c>
      <c r="X473" s="36" t="n">
        <f>19</f>
        <v>19.0</v>
      </c>
    </row>
    <row r="474">
      <c r="A474" s="27" t="s">
        <v>42</v>
      </c>
      <c r="B474" s="27" t="s">
        <v>1471</v>
      </c>
      <c r="C474" s="27" t="s">
        <v>1472</v>
      </c>
      <c r="D474" s="27" t="s">
        <v>1473</v>
      </c>
      <c r="E474" s="28" t="s">
        <v>46</v>
      </c>
      <c r="F474" s="29" t="s">
        <v>46</v>
      </c>
      <c r="G474" s="30" t="s">
        <v>46</v>
      </c>
      <c r="H474" s="31"/>
      <c r="I474" s="31" t="s">
        <v>414</v>
      </c>
      <c r="J474" s="32" t="n">
        <v>10.0</v>
      </c>
      <c r="K474" s="33" t="n">
        <f>499.5</f>
        <v>499.5</v>
      </c>
      <c r="L474" s="34" t="s">
        <v>48</v>
      </c>
      <c r="M474" s="33" t="n">
        <f>501</f>
        <v>501.0</v>
      </c>
      <c r="N474" s="34" t="s">
        <v>508</v>
      </c>
      <c r="O474" s="33" t="n">
        <f>496.1</f>
        <v>496.1</v>
      </c>
      <c r="P474" s="34" t="s">
        <v>200</v>
      </c>
      <c r="Q474" s="33" t="n">
        <f>496.2</f>
        <v>496.2</v>
      </c>
      <c r="R474" s="34" t="s">
        <v>50</v>
      </c>
      <c r="S474" s="35" t="n">
        <f>498.19</f>
        <v>498.19</v>
      </c>
      <c r="T474" s="32" t="n">
        <f>197110</f>
        <v>197110.0</v>
      </c>
      <c r="U474" s="32" t="str">
        <f>"－"</f>
        <v>－</v>
      </c>
      <c r="V474" s="32" t="n">
        <f>98318393</f>
        <v>9.8318393E7</v>
      </c>
      <c r="W474" s="32" t="str">
        <f>"－"</f>
        <v>－</v>
      </c>
      <c r="X474" s="36" t="n">
        <f>19</f>
        <v>19.0</v>
      </c>
    </row>
    <row r="475">
      <c r="A475" s="27" t="s">
        <v>42</v>
      </c>
      <c r="B475" s="27" t="s">
        <v>1474</v>
      </c>
      <c r="C475" s="27" t="s">
        <v>1475</v>
      </c>
      <c r="D475" s="27" t="s">
        <v>1476</v>
      </c>
      <c r="E475" s="28" t="s">
        <v>46</v>
      </c>
      <c r="F475" s="29" t="s">
        <v>46</v>
      </c>
      <c r="G475" s="30" t="s">
        <v>46</v>
      </c>
      <c r="H475" s="31"/>
      <c r="I475" s="31" t="s">
        <v>414</v>
      </c>
      <c r="J475" s="32" t="n">
        <v>1.0</v>
      </c>
      <c r="K475" s="33" t="n">
        <f>2059</f>
        <v>2059.0</v>
      </c>
      <c r="L475" s="34" t="s">
        <v>66</v>
      </c>
      <c r="M475" s="33" t="n">
        <f>2330</f>
        <v>2330.0</v>
      </c>
      <c r="N475" s="34" t="s">
        <v>98</v>
      </c>
      <c r="O475" s="33" t="n">
        <f>1971</f>
        <v>1971.0</v>
      </c>
      <c r="P475" s="34" t="s">
        <v>98</v>
      </c>
      <c r="Q475" s="33" t="n">
        <f>2047</f>
        <v>2047.0</v>
      </c>
      <c r="R475" s="34" t="s">
        <v>50</v>
      </c>
      <c r="S475" s="35" t="n">
        <f>2024.35</f>
        <v>2024.35</v>
      </c>
      <c r="T475" s="32" t="n">
        <f>494687</f>
        <v>494687.0</v>
      </c>
      <c r="U475" s="32" t="n">
        <f>491600</f>
        <v>491600.0</v>
      </c>
      <c r="V475" s="32" t="n">
        <f>1010065371</f>
        <v>1.010065371E9</v>
      </c>
      <c r="W475" s="32" t="n">
        <f>1003753544</f>
        <v>1.003753544E9</v>
      </c>
      <c r="X475" s="36" t="n">
        <f>17</f>
        <v>17.0</v>
      </c>
    </row>
    <row r="476">
      <c r="A476" s="27" t="s">
        <v>42</v>
      </c>
      <c r="B476" s="27" t="s">
        <v>1477</v>
      </c>
      <c r="C476" s="27" t="s">
        <v>1478</v>
      </c>
      <c r="D476" s="27" t="s">
        <v>1479</v>
      </c>
      <c r="E476" s="28" t="s">
        <v>46</v>
      </c>
      <c r="F476" s="29" t="s">
        <v>46</v>
      </c>
      <c r="G476" s="30" t="s">
        <v>46</v>
      </c>
      <c r="H476" s="31"/>
      <c r="I476" s="31" t="s">
        <v>414</v>
      </c>
      <c r="J476" s="32" t="n">
        <v>1.0</v>
      </c>
      <c r="K476" s="33" t="n">
        <f>1938</f>
        <v>1938.0</v>
      </c>
      <c r="L476" s="34" t="s">
        <v>66</v>
      </c>
      <c r="M476" s="33" t="n">
        <f>2391</f>
        <v>2391.0</v>
      </c>
      <c r="N476" s="34" t="s">
        <v>98</v>
      </c>
      <c r="O476" s="33" t="n">
        <f>1914</f>
        <v>1914.0</v>
      </c>
      <c r="P476" s="34" t="s">
        <v>66</v>
      </c>
      <c r="Q476" s="33" t="n">
        <f>1972</f>
        <v>1972.0</v>
      </c>
      <c r="R476" s="34" t="s">
        <v>50</v>
      </c>
      <c r="S476" s="35" t="n">
        <f>1972.12</f>
        <v>1972.12</v>
      </c>
      <c r="T476" s="32" t="n">
        <f>627781</f>
        <v>627781.0</v>
      </c>
      <c r="U476" s="32" t="n">
        <f>617961</f>
        <v>617961.0</v>
      </c>
      <c r="V476" s="32" t="n">
        <f>1220029531</f>
        <v>1.220029531E9</v>
      </c>
      <c r="W476" s="32" t="n">
        <f>1200000450</f>
        <v>1.20000045E9</v>
      </c>
      <c r="X476" s="36" t="n">
        <f>17</f>
        <v>17.0</v>
      </c>
    </row>
    <row r="477">
      <c r="A477" s="27" t="s">
        <v>42</v>
      </c>
      <c r="B477" s="27" t="s">
        <v>1480</v>
      </c>
      <c r="C477" s="27" t="s">
        <v>1481</v>
      </c>
      <c r="D477" s="27" t="s">
        <v>1482</v>
      </c>
      <c r="E477" s="28" t="s">
        <v>46</v>
      </c>
      <c r="F477" s="29" t="s">
        <v>46</v>
      </c>
      <c r="G477" s="30" t="s">
        <v>46</v>
      </c>
      <c r="H477" s="31"/>
      <c r="I477" s="31" t="s">
        <v>414</v>
      </c>
      <c r="J477" s="32" t="n">
        <v>1.0</v>
      </c>
      <c r="K477" s="33" t="n">
        <f>2106</f>
        <v>2106.0</v>
      </c>
      <c r="L477" s="34" t="s">
        <v>48</v>
      </c>
      <c r="M477" s="33" t="n">
        <f>2169</f>
        <v>2169.0</v>
      </c>
      <c r="N477" s="34" t="s">
        <v>210</v>
      </c>
      <c r="O477" s="33" t="n">
        <f>2033</f>
        <v>2033.0</v>
      </c>
      <c r="P477" s="34" t="s">
        <v>49</v>
      </c>
      <c r="Q477" s="33" t="n">
        <f>2085</f>
        <v>2085.0</v>
      </c>
      <c r="R477" s="34" t="s">
        <v>50</v>
      </c>
      <c r="S477" s="35" t="n">
        <f>2103.58</f>
        <v>2103.58</v>
      </c>
      <c r="T477" s="32" t="n">
        <f>294032</f>
        <v>294032.0</v>
      </c>
      <c r="U477" s="32" t="n">
        <f>19380</f>
        <v>19380.0</v>
      </c>
      <c r="V477" s="32" t="n">
        <f>617663466</f>
        <v>6.17663466E8</v>
      </c>
      <c r="W477" s="32" t="n">
        <f>40032188</f>
        <v>4.0032188E7</v>
      </c>
      <c r="X477" s="36" t="n">
        <f>19</f>
        <v>19.0</v>
      </c>
    </row>
    <row r="478">
      <c r="A478" s="27" t="s">
        <v>42</v>
      </c>
      <c r="B478" s="27" t="s">
        <v>1483</v>
      </c>
      <c r="C478" s="27" t="s">
        <v>1484</v>
      </c>
      <c r="D478" s="27" t="s">
        <v>1485</v>
      </c>
      <c r="E478" s="28" t="s">
        <v>46</v>
      </c>
      <c r="F478" s="29" t="s">
        <v>46</v>
      </c>
      <c r="G478" s="30" t="s">
        <v>46</v>
      </c>
      <c r="H478" s="31"/>
      <c r="I478" s="31" t="s">
        <v>47</v>
      </c>
      <c r="J478" s="32" t="n">
        <v>1.0</v>
      </c>
      <c r="K478" s="33" t="n">
        <f>2105</f>
        <v>2105.0</v>
      </c>
      <c r="L478" s="34" t="s">
        <v>48</v>
      </c>
      <c r="M478" s="33" t="n">
        <f>2107</f>
        <v>2107.0</v>
      </c>
      <c r="N478" s="34" t="s">
        <v>48</v>
      </c>
      <c r="O478" s="33" t="n">
        <f>1927</f>
        <v>1927.0</v>
      </c>
      <c r="P478" s="34" t="s">
        <v>49</v>
      </c>
      <c r="Q478" s="33" t="n">
        <f>1970</f>
        <v>1970.0</v>
      </c>
      <c r="R478" s="34" t="s">
        <v>50</v>
      </c>
      <c r="S478" s="35" t="n">
        <f>2003.32</f>
        <v>2003.32</v>
      </c>
      <c r="T478" s="32" t="n">
        <f>941992</f>
        <v>941992.0</v>
      </c>
      <c r="U478" s="32" t="n">
        <f>248</f>
        <v>248.0</v>
      </c>
      <c r="V478" s="32" t="n">
        <f>1891169404</f>
        <v>1.891169404E9</v>
      </c>
      <c r="W478" s="32" t="n">
        <f>495223</f>
        <v>495223.0</v>
      </c>
      <c r="X478" s="36" t="n">
        <f>19</f>
        <v>19.0</v>
      </c>
    </row>
    <row r="479">
      <c r="A479" s="27" t="s">
        <v>42</v>
      </c>
      <c r="B479" s="27" t="s">
        <v>1486</v>
      </c>
      <c r="C479" s="27" t="s">
        <v>1487</v>
      </c>
      <c r="D479" s="27" t="s">
        <v>1488</v>
      </c>
      <c r="E479" s="28" t="s">
        <v>46</v>
      </c>
      <c r="F479" s="29" t="s">
        <v>46</v>
      </c>
      <c r="G479" s="30" t="s">
        <v>46</v>
      </c>
      <c r="H479" s="31"/>
      <c r="I479" s="31" t="s">
        <v>414</v>
      </c>
      <c r="J479" s="32" t="n">
        <v>1.0</v>
      </c>
      <c r="K479" s="33" t="n">
        <f>2400</f>
        <v>2400.0</v>
      </c>
      <c r="L479" s="34" t="s">
        <v>48</v>
      </c>
      <c r="M479" s="33" t="n">
        <f>2400</f>
        <v>2400.0</v>
      </c>
      <c r="N479" s="34" t="s">
        <v>48</v>
      </c>
      <c r="O479" s="33" t="n">
        <f>2100</f>
        <v>2100.0</v>
      </c>
      <c r="P479" s="34" t="s">
        <v>71</v>
      </c>
      <c r="Q479" s="33" t="n">
        <f>2290</f>
        <v>2290.0</v>
      </c>
      <c r="R479" s="34" t="s">
        <v>50</v>
      </c>
      <c r="S479" s="35" t="n">
        <f>2278.63</f>
        <v>2278.63</v>
      </c>
      <c r="T479" s="32" t="n">
        <f>18523</f>
        <v>18523.0</v>
      </c>
      <c r="U479" s="32" t="str">
        <f>"－"</f>
        <v>－</v>
      </c>
      <c r="V479" s="32" t="n">
        <f>42157248</f>
        <v>4.2157248E7</v>
      </c>
      <c r="W479" s="32" t="str">
        <f>"－"</f>
        <v>－</v>
      </c>
      <c r="X479" s="36" t="n">
        <f>19</f>
        <v>19.0</v>
      </c>
    </row>
    <row r="480">
      <c r="A480" s="27" t="s">
        <v>42</v>
      </c>
      <c r="B480" s="27" t="s">
        <v>1489</v>
      </c>
      <c r="C480" s="27" t="s">
        <v>1490</v>
      </c>
      <c r="D480" s="27" t="s">
        <v>1491</v>
      </c>
      <c r="E480" s="28" t="s">
        <v>46</v>
      </c>
      <c r="F480" s="29" t="s">
        <v>46</v>
      </c>
      <c r="G480" s="30" t="s">
        <v>46</v>
      </c>
      <c r="H480" s="31"/>
      <c r="I480" s="31" t="s">
        <v>414</v>
      </c>
      <c r="J480" s="32" t="n">
        <v>1.0</v>
      </c>
      <c r="K480" s="33" t="n">
        <f>1821</f>
        <v>1821.0</v>
      </c>
      <c r="L480" s="34" t="s">
        <v>48</v>
      </c>
      <c r="M480" s="33" t="n">
        <f>1831</f>
        <v>1831.0</v>
      </c>
      <c r="N480" s="34" t="s">
        <v>82</v>
      </c>
      <c r="O480" s="33" t="n">
        <f>1740</f>
        <v>1740.0</v>
      </c>
      <c r="P480" s="34" t="s">
        <v>50</v>
      </c>
      <c r="Q480" s="33" t="n">
        <f>1741</f>
        <v>1741.0</v>
      </c>
      <c r="R480" s="34" t="s">
        <v>50</v>
      </c>
      <c r="S480" s="35" t="n">
        <f>1788.89</f>
        <v>1788.89</v>
      </c>
      <c r="T480" s="32" t="n">
        <f>164816</f>
        <v>164816.0</v>
      </c>
      <c r="U480" s="32" t="n">
        <f>112000</f>
        <v>112000.0</v>
      </c>
      <c r="V480" s="32" t="n">
        <f>294216486</f>
        <v>2.94216486E8</v>
      </c>
      <c r="W480" s="32" t="n">
        <f>200018560</f>
        <v>2.0001856E8</v>
      </c>
      <c r="X480" s="36" t="n">
        <f>19</f>
        <v>19.0</v>
      </c>
    </row>
    <row r="481">
      <c r="A481" s="27" t="s">
        <v>42</v>
      </c>
      <c r="B481" s="27" t="s">
        <v>1492</v>
      </c>
      <c r="C481" s="27" t="s">
        <v>1493</v>
      </c>
      <c r="D481" s="27" t="s">
        <v>1494</v>
      </c>
      <c r="E481" s="28" t="s">
        <v>46</v>
      </c>
      <c r="F481" s="29" t="s">
        <v>46</v>
      </c>
      <c r="G481" s="30" t="s">
        <v>46</v>
      </c>
      <c r="H481" s="31"/>
      <c r="I481" s="31" t="s">
        <v>414</v>
      </c>
      <c r="J481" s="32" t="n">
        <v>1.0</v>
      </c>
      <c r="K481" s="33" t="n">
        <f>2380</f>
        <v>2380.0</v>
      </c>
      <c r="L481" s="34" t="s">
        <v>48</v>
      </c>
      <c r="M481" s="33" t="n">
        <f>2400</f>
        <v>2400.0</v>
      </c>
      <c r="N481" s="34" t="s">
        <v>66</v>
      </c>
      <c r="O481" s="33" t="n">
        <f>2270</f>
        <v>2270.0</v>
      </c>
      <c r="P481" s="34" t="s">
        <v>217</v>
      </c>
      <c r="Q481" s="33" t="n">
        <f>2319</f>
        <v>2319.0</v>
      </c>
      <c r="R481" s="34" t="s">
        <v>50</v>
      </c>
      <c r="S481" s="35" t="n">
        <f>2326.58</f>
        <v>2326.58</v>
      </c>
      <c r="T481" s="32" t="n">
        <f>3215</f>
        <v>3215.0</v>
      </c>
      <c r="U481" s="32" t="str">
        <f>"－"</f>
        <v>－</v>
      </c>
      <c r="V481" s="32" t="n">
        <f>7484138</f>
        <v>7484138.0</v>
      </c>
      <c r="W481" s="32" t="str">
        <f>"－"</f>
        <v>－</v>
      </c>
      <c r="X481" s="36" t="n">
        <f>19</f>
        <v>19.0</v>
      </c>
    </row>
    <row r="482">
      <c r="A482" s="27" t="s">
        <v>42</v>
      </c>
      <c r="B482" s="27" t="s">
        <v>1495</v>
      </c>
      <c r="C482" s="27" t="s">
        <v>1496</v>
      </c>
      <c r="D482" s="27" t="s">
        <v>1497</v>
      </c>
      <c r="E482" s="28" t="s">
        <v>46</v>
      </c>
      <c r="F482" s="29" t="s">
        <v>46</v>
      </c>
      <c r="G482" s="30" t="s">
        <v>46</v>
      </c>
      <c r="H482" s="31"/>
      <c r="I482" s="31" t="s">
        <v>414</v>
      </c>
      <c r="J482" s="32" t="n">
        <v>1.0</v>
      </c>
      <c r="K482" s="33" t="n">
        <f>2271</f>
        <v>2271.0</v>
      </c>
      <c r="L482" s="34" t="s">
        <v>48</v>
      </c>
      <c r="M482" s="33" t="n">
        <f>2447</f>
        <v>2447.0</v>
      </c>
      <c r="N482" s="34" t="s">
        <v>66</v>
      </c>
      <c r="O482" s="33" t="n">
        <f>2260</f>
        <v>2260.0</v>
      </c>
      <c r="P482" s="34" t="s">
        <v>49</v>
      </c>
      <c r="Q482" s="33" t="n">
        <f>2347</f>
        <v>2347.0</v>
      </c>
      <c r="R482" s="34" t="s">
        <v>50</v>
      </c>
      <c r="S482" s="35" t="n">
        <f>2319.26</f>
        <v>2319.26</v>
      </c>
      <c r="T482" s="32" t="n">
        <f>6337</f>
        <v>6337.0</v>
      </c>
      <c r="U482" s="32" t="str">
        <f>"－"</f>
        <v>－</v>
      </c>
      <c r="V482" s="32" t="n">
        <f>14683667</f>
        <v>1.4683667E7</v>
      </c>
      <c r="W482" s="32" t="str">
        <f>"－"</f>
        <v>－</v>
      </c>
      <c r="X482" s="36" t="n">
        <f>19</f>
        <v>19.0</v>
      </c>
    </row>
    <row r="483">
      <c r="A483" s="27" t="s">
        <v>42</v>
      </c>
      <c r="B483" s="27" t="s">
        <v>1498</v>
      </c>
      <c r="C483" s="27" t="s">
        <v>1499</v>
      </c>
      <c r="D483" s="27" t="s">
        <v>1500</v>
      </c>
      <c r="E483" s="28" t="s">
        <v>46</v>
      </c>
      <c r="F483" s="29" t="s">
        <v>46</v>
      </c>
      <c r="G483" s="30" t="s">
        <v>46</v>
      </c>
      <c r="H483" s="31"/>
      <c r="I483" s="31" t="s">
        <v>414</v>
      </c>
      <c r="J483" s="32" t="n">
        <v>1.0</v>
      </c>
      <c r="K483" s="33" t="n">
        <f>2306</f>
        <v>2306.0</v>
      </c>
      <c r="L483" s="34" t="s">
        <v>48</v>
      </c>
      <c r="M483" s="33" t="n">
        <f>2333</f>
        <v>2333.0</v>
      </c>
      <c r="N483" s="34" t="s">
        <v>286</v>
      </c>
      <c r="O483" s="33" t="n">
        <f>2197</f>
        <v>2197.0</v>
      </c>
      <c r="P483" s="34" t="s">
        <v>71</v>
      </c>
      <c r="Q483" s="33" t="n">
        <f>2260</f>
        <v>2260.0</v>
      </c>
      <c r="R483" s="34" t="s">
        <v>50</v>
      </c>
      <c r="S483" s="35" t="n">
        <f>2255.72</f>
        <v>2255.72</v>
      </c>
      <c r="T483" s="32" t="n">
        <f>703</f>
        <v>703.0</v>
      </c>
      <c r="U483" s="32" t="str">
        <f>"－"</f>
        <v>－</v>
      </c>
      <c r="V483" s="32" t="n">
        <f>1580694</f>
        <v>1580694.0</v>
      </c>
      <c r="W483" s="32" t="str">
        <f>"－"</f>
        <v>－</v>
      </c>
      <c r="X483" s="36" t="n">
        <f>18</f>
        <v>18.0</v>
      </c>
    </row>
    <row r="484">
      <c r="A484" s="27" t="s">
        <v>42</v>
      </c>
      <c r="B484" s="27" t="s">
        <v>1501</v>
      </c>
      <c r="C484" s="27" t="s">
        <v>1502</v>
      </c>
      <c r="D484" s="27" t="s">
        <v>1503</v>
      </c>
      <c r="E484" s="28" t="s">
        <v>46</v>
      </c>
      <c r="F484" s="29" t="s">
        <v>46</v>
      </c>
      <c r="G484" s="30" t="s">
        <v>46</v>
      </c>
      <c r="H484" s="31"/>
      <c r="I484" s="31" t="s">
        <v>414</v>
      </c>
      <c r="J484" s="32" t="n">
        <v>1.0</v>
      </c>
      <c r="K484" s="33" t="n">
        <f>2386</f>
        <v>2386.0</v>
      </c>
      <c r="L484" s="34" t="s">
        <v>48</v>
      </c>
      <c r="M484" s="33" t="n">
        <f>2510</f>
        <v>2510.0</v>
      </c>
      <c r="N484" s="34" t="s">
        <v>157</v>
      </c>
      <c r="O484" s="33" t="n">
        <f>2264</f>
        <v>2264.0</v>
      </c>
      <c r="P484" s="34" t="s">
        <v>71</v>
      </c>
      <c r="Q484" s="33" t="n">
        <f>2415</f>
        <v>2415.0</v>
      </c>
      <c r="R484" s="34" t="s">
        <v>50</v>
      </c>
      <c r="S484" s="35" t="n">
        <f>2351.63</f>
        <v>2351.63</v>
      </c>
      <c r="T484" s="32" t="n">
        <f>33771</f>
        <v>33771.0</v>
      </c>
      <c r="U484" s="32" t="str">
        <f>"－"</f>
        <v>－</v>
      </c>
      <c r="V484" s="32" t="n">
        <f>80897814</f>
        <v>8.0897814E7</v>
      </c>
      <c r="W484" s="32" t="str">
        <f>"－"</f>
        <v>－</v>
      </c>
      <c r="X484" s="36" t="n">
        <f>19</f>
        <v>19.0</v>
      </c>
    </row>
    <row r="485">
      <c r="A485" s="27" t="s">
        <v>42</v>
      </c>
      <c r="B485" s="27" t="s">
        <v>1504</v>
      </c>
      <c r="C485" s="27" t="s">
        <v>1505</v>
      </c>
      <c r="D485" s="27" t="s">
        <v>1506</v>
      </c>
      <c r="E485" s="28" t="s">
        <v>46</v>
      </c>
      <c r="F485" s="29" t="s">
        <v>46</v>
      </c>
      <c r="G485" s="30" t="s">
        <v>46</v>
      </c>
      <c r="H485" s="31"/>
      <c r="I485" s="31" t="s">
        <v>414</v>
      </c>
      <c r="J485" s="32" t="n">
        <v>1.0</v>
      </c>
      <c r="K485" s="33" t="n">
        <f>2213</f>
        <v>2213.0</v>
      </c>
      <c r="L485" s="34" t="s">
        <v>48</v>
      </c>
      <c r="M485" s="33" t="n">
        <f>2230</f>
        <v>2230.0</v>
      </c>
      <c r="N485" s="34" t="s">
        <v>200</v>
      </c>
      <c r="O485" s="33" t="n">
        <f>2050</f>
        <v>2050.0</v>
      </c>
      <c r="P485" s="34" t="s">
        <v>71</v>
      </c>
      <c r="Q485" s="33" t="n">
        <f>2067</f>
        <v>2067.0</v>
      </c>
      <c r="R485" s="34" t="s">
        <v>50</v>
      </c>
      <c r="S485" s="35" t="n">
        <f>2105.94</f>
        <v>2105.94</v>
      </c>
      <c r="T485" s="32" t="n">
        <f>1272</f>
        <v>1272.0</v>
      </c>
      <c r="U485" s="32" t="str">
        <f>"－"</f>
        <v>－</v>
      </c>
      <c r="V485" s="32" t="n">
        <f>2684848</f>
        <v>2684848.0</v>
      </c>
      <c r="W485" s="32" t="str">
        <f>"－"</f>
        <v>－</v>
      </c>
      <c r="X485" s="36" t="n">
        <f>17</f>
        <v>17.0</v>
      </c>
    </row>
    <row r="486">
      <c r="A486" s="27" t="s">
        <v>42</v>
      </c>
      <c r="B486" s="27" t="s">
        <v>1507</v>
      </c>
      <c r="C486" s="27" t="s">
        <v>1508</v>
      </c>
      <c r="D486" s="27" t="s">
        <v>1509</v>
      </c>
      <c r="E486" s="28" t="s">
        <v>46</v>
      </c>
      <c r="F486" s="29" t="s">
        <v>46</v>
      </c>
      <c r="G486" s="30" t="s">
        <v>46</v>
      </c>
      <c r="H486" s="31"/>
      <c r="I486" s="31" t="s">
        <v>414</v>
      </c>
      <c r="J486" s="32" t="n">
        <v>1.0</v>
      </c>
      <c r="K486" s="33" t="n">
        <f>2331</f>
        <v>2331.0</v>
      </c>
      <c r="L486" s="34" t="s">
        <v>48</v>
      </c>
      <c r="M486" s="33" t="n">
        <f>2331</f>
        <v>2331.0</v>
      </c>
      <c r="N486" s="34" t="s">
        <v>48</v>
      </c>
      <c r="O486" s="33" t="n">
        <f>2173</f>
        <v>2173.0</v>
      </c>
      <c r="P486" s="34" t="s">
        <v>71</v>
      </c>
      <c r="Q486" s="33" t="n">
        <f>2224</f>
        <v>2224.0</v>
      </c>
      <c r="R486" s="34" t="s">
        <v>50</v>
      </c>
      <c r="S486" s="35" t="n">
        <f>2216.22</f>
        <v>2216.22</v>
      </c>
      <c r="T486" s="32" t="n">
        <f>674</f>
        <v>674.0</v>
      </c>
      <c r="U486" s="32" t="str">
        <f>"－"</f>
        <v>－</v>
      </c>
      <c r="V486" s="32" t="n">
        <f>1497769</f>
        <v>1497769.0</v>
      </c>
      <c r="W486" s="32" t="str">
        <f>"－"</f>
        <v>－</v>
      </c>
      <c r="X486" s="36" t="n">
        <f>18</f>
        <v>18.0</v>
      </c>
    </row>
    <row r="487">
      <c r="A487" s="27" t="s">
        <v>42</v>
      </c>
      <c r="B487" s="27" t="s">
        <v>1510</v>
      </c>
      <c r="C487" s="27" t="s">
        <v>1511</v>
      </c>
      <c r="D487" s="27" t="s">
        <v>1512</v>
      </c>
      <c r="E487" s="28" t="s">
        <v>46</v>
      </c>
      <c r="F487" s="29" t="s">
        <v>46</v>
      </c>
      <c r="G487" s="30" t="s">
        <v>46</v>
      </c>
      <c r="H487" s="31"/>
      <c r="I487" s="31" t="s">
        <v>414</v>
      </c>
      <c r="J487" s="32" t="n">
        <v>1.0</v>
      </c>
      <c r="K487" s="33" t="n">
        <f>1155</f>
        <v>1155.0</v>
      </c>
      <c r="L487" s="34" t="s">
        <v>48</v>
      </c>
      <c r="M487" s="33" t="n">
        <f>1155</f>
        <v>1155.0</v>
      </c>
      <c r="N487" s="34" t="s">
        <v>48</v>
      </c>
      <c r="O487" s="33" t="n">
        <f>1089</f>
        <v>1089.0</v>
      </c>
      <c r="P487" s="34" t="s">
        <v>71</v>
      </c>
      <c r="Q487" s="33" t="n">
        <f>1116</f>
        <v>1116.0</v>
      </c>
      <c r="R487" s="34" t="s">
        <v>50</v>
      </c>
      <c r="S487" s="35" t="n">
        <f>1114.26</f>
        <v>1114.26</v>
      </c>
      <c r="T487" s="32" t="n">
        <f>27135</f>
        <v>27135.0</v>
      </c>
      <c r="U487" s="32" t="str">
        <f>"－"</f>
        <v>－</v>
      </c>
      <c r="V487" s="32" t="n">
        <f>30503218</f>
        <v>3.0503218E7</v>
      </c>
      <c r="W487" s="32" t="str">
        <f>"－"</f>
        <v>－</v>
      </c>
      <c r="X487" s="36" t="n">
        <f>19</f>
        <v>19.0</v>
      </c>
    </row>
    <row r="488">
      <c r="A488" s="27" t="s">
        <v>42</v>
      </c>
      <c r="B488" s="27" t="s">
        <v>1513</v>
      </c>
      <c r="C488" s="27" t="s">
        <v>1514</v>
      </c>
      <c r="D488" s="27" t="s">
        <v>1515</v>
      </c>
      <c r="E488" s="28" t="s">
        <v>46</v>
      </c>
      <c r="F488" s="29" t="s">
        <v>46</v>
      </c>
      <c r="G488" s="30" t="s">
        <v>46</v>
      </c>
      <c r="H488" s="31"/>
      <c r="I488" s="31" t="s">
        <v>414</v>
      </c>
      <c r="J488" s="32" t="n">
        <v>1.0</v>
      </c>
      <c r="K488" s="33" t="n">
        <f>4898</f>
        <v>4898.0</v>
      </c>
      <c r="L488" s="34" t="s">
        <v>66</v>
      </c>
      <c r="M488" s="33" t="n">
        <f>9733</f>
        <v>9733.0</v>
      </c>
      <c r="N488" s="34" t="s">
        <v>286</v>
      </c>
      <c r="O488" s="33" t="n">
        <f>4550</f>
        <v>4550.0</v>
      </c>
      <c r="P488" s="34" t="s">
        <v>200</v>
      </c>
      <c r="Q488" s="33" t="n">
        <f>4750</f>
        <v>4750.0</v>
      </c>
      <c r="R488" s="34" t="s">
        <v>50</v>
      </c>
      <c r="S488" s="35" t="n">
        <f>5262.24</f>
        <v>5262.24</v>
      </c>
      <c r="T488" s="32" t="n">
        <f>6259</f>
        <v>6259.0</v>
      </c>
      <c r="U488" s="32" t="str">
        <f>"－"</f>
        <v>－</v>
      </c>
      <c r="V488" s="32" t="n">
        <f>31350141</f>
        <v>3.1350141E7</v>
      </c>
      <c r="W488" s="32" t="str">
        <f>"－"</f>
        <v>－</v>
      </c>
      <c r="X488" s="36" t="n">
        <f>17</f>
        <v>17.0</v>
      </c>
    </row>
    <row r="489">
      <c r="A489" s="27" t="s">
        <v>42</v>
      </c>
      <c r="B489" s="27" t="s">
        <v>1516</v>
      </c>
      <c r="C489" s="27" t="s">
        <v>1517</v>
      </c>
      <c r="D489" s="27" t="s">
        <v>1518</v>
      </c>
      <c r="E489" s="28" t="s">
        <v>46</v>
      </c>
      <c r="F489" s="29" t="s">
        <v>46</v>
      </c>
      <c r="G489" s="30" t="s">
        <v>46</v>
      </c>
      <c r="H489" s="31"/>
      <c r="I489" s="31" t="s">
        <v>414</v>
      </c>
      <c r="J489" s="32" t="n">
        <v>1.0</v>
      </c>
      <c r="K489" s="33" t="n">
        <f>4975</f>
        <v>4975.0</v>
      </c>
      <c r="L489" s="34" t="s">
        <v>48</v>
      </c>
      <c r="M489" s="33" t="n">
        <f>4977</f>
        <v>4977.0</v>
      </c>
      <c r="N489" s="34" t="s">
        <v>48</v>
      </c>
      <c r="O489" s="33" t="n">
        <f>4693</f>
        <v>4693.0</v>
      </c>
      <c r="P489" s="34" t="s">
        <v>71</v>
      </c>
      <c r="Q489" s="33" t="n">
        <f>4766</f>
        <v>4766.0</v>
      </c>
      <c r="R489" s="34" t="s">
        <v>50</v>
      </c>
      <c r="S489" s="35" t="n">
        <f>4805.18</f>
        <v>4805.18</v>
      </c>
      <c r="T489" s="32" t="n">
        <f>3549</f>
        <v>3549.0</v>
      </c>
      <c r="U489" s="32" t="str">
        <f>"－"</f>
        <v>－</v>
      </c>
      <c r="V489" s="32" t="n">
        <f>17189013</f>
        <v>1.7189013E7</v>
      </c>
      <c r="W489" s="32" t="str">
        <f>"－"</f>
        <v>－</v>
      </c>
      <c r="X489" s="36" t="n">
        <f>17</f>
        <v>17.0</v>
      </c>
    </row>
    <row r="490">
      <c r="A490" s="27" t="s">
        <v>42</v>
      </c>
      <c r="B490" s="27" t="s">
        <v>1519</v>
      </c>
      <c r="C490" s="27" t="s">
        <v>1520</v>
      </c>
      <c r="D490" s="27" t="s">
        <v>1521</v>
      </c>
      <c r="E490" s="28" t="s">
        <v>46</v>
      </c>
      <c r="F490" s="29" t="s">
        <v>46</v>
      </c>
      <c r="G490" s="30" t="s">
        <v>46</v>
      </c>
      <c r="H490" s="31"/>
      <c r="I490" s="31" t="s">
        <v>414</v>
      </c>
      <c r="J490" s="32" t="n">
        <v>1.0</v>
      </c>
      <c r="K490" s="33" t="n">
        <f>2089</f>
        <v>2089.0</v>
      </c>
      <c r="L490" s="34" t="s">
        <v>48</v>
      </c>
      <c r="M490" s="33" t="n">
        <f>2165</f>
        <v>2165.0</v>
      </c>
      <c r="N490" s="34" t="s">
        <v>270</v>
      </c>
      <c r="O490" s="33" t="n">
        <f>2011</f>
        <v>2011.0</v>
      </c>
      <c r="P490" s="34" t="s">
        <v>157</v>
      </c>
      <c r="Q490" s="33" t="n">
        <f>2138</f>
        <v>2138.0</v>
      </c>
      <c r="R490" s="34" t="s">
        <v>50</v>
      </c>
      <c r="S490" s="35" t="n">
        <f>2091.53</f>
        <v>2091.53</v>
      </c>
      <c r="T490" s="32" t="n">
        <f>1290603</f>
        <v>1290603.0</v>
      </c>
      <c r="U490" s="32" t="n">
        <f>128993</f>
        <v>128993.0</v>
      </c>
      <c r="V490" s="32" t="n">
        <f>2706344286</f>
        <v>2.706344286E9</v>
      </c>
      <c r="W490" s="32" t="n">
        <f>275296083</f>
        <v>2.75296083E8</v>
      </c>
      <c r="X490" s="36" t="n">
        <f>19</f>
        <v>19.0</v>
      </c>
    </row>
    <row r="491">
      <c r="A491" s="27" t="s">
        <v>42</v>
      </c>
      <c r="B491" s="27" t="s">
        <v>1522</v>
      </c>
      <c r="C491" s="27" t="s">
        <v>1523</v>
      </c>
      <c r="D491" s="27" t="s">
        <v>1524</v>
      </c>
      <c r="E491" s="28" t="s">
        <v>46</v>
      </c>
      <c r="F491" s="29" t="s">
        <v>46</v>
      </c>
      <c r="G491" s="30" t="s">
        <v>46</v>
      </c>
      <c r="H491" s="31"/>
      <c r="I491" s="31" t="s">
        <v>414</v>
      </c>
      <c r="J491" s="32" t="n">
        <v>10.0</v>
      </c>
      <c r="K491" s="33" t="n">
        <f>1144</f>
        <v>1144.0</v>
      </c>
      <c r="L491" s="34" t="s">
        <v>48</v>
      </c>
      <c r="M491" s="33" t="n">
        <f>1157.5</f>
        <v>1157.5</v>
      </c>
      <c r="N491" s="34" t="s">
        <v>66</v>
      </c>
      <c r="O491" s="33" t="n">
        <f>1080</f>
        <v>1080.0</v>
      </c>
      <c r="P491" s="34" t="s">
        <v>71</v>
      </c>
      <c r="Q491" s="33" t="n">
        <f>1119</f>
        <v>1119.0</v>
      </c>
      <c r="R491" s="34" t="s">
        <v>50</v>
      </c>
      <c r="S491" s="35" t="n">
        <f>1115.32</f>
        <v>1115.32</v>
      </c>
      <c r="T491" s="32" t="n">
        <f>220200</f>
        <v>220200.0</v>
      </c>
      <c r="U491" s="32" t="str">
        <f>"－"</f>
        <v>－</v>
      </c>
      <c r="V491" s="32" t="n">
        <f>245298370</f>
        <v>2.4529837E8</v>
      </c>
      <c r="W491" s="32" t="str">
        <f>"－"</f>
        <v>－</v>
      </c>
      <c r="X491" s="36" t="n">
        <f>19</f>
        <v>19.0</v>
      </c>
    </row>
    <row r="492">
      <c r="A492" s="27" t="s">
        <v>42</v>
      </c>
      <c r="B492" s="27" t="s">
        <v>1525</v>
      </c>
      <c r="C492" s="27" t="s">
        <v>1526</v>
      </c>
      <c r="D492" s="27" t="s">
        <v>1527</v>
      </c>
      <c r="E492" s="28" t="s">
        <v>46</v>
      </c>
      <c r="F492" s="29" t="s">
        <v>46</v>
      </c>
      <c r="G492" s="30" t="s">
        <v>46</v>
      </c>
      <c r="H492" s="31"/>
      <c r="I492" s="31" t="s">
        <v>414</v>
      </c>
      <c r="J492" s="32" t="n">
        <v>1.0</v>
      </c>
      <c r="K492" s="33" t="n">
        <f>2453</f>
        <v>2453.0</v>
      </c>
      <c r="L492" s="34" t="s">
        <v>48</v>
      </c>
      <c r="M492" s="33" t="n">
        <f>2476</f>
        <v>2476.0</v>
      </c>
      <c r="N492" s="34" t="s">
        <v>286</v>
      </c>
      <c r="O492" s="33" t="n">
        <f>2264</f>
        <v>2264.0</v>
      </c>
      <c r="P492" s="34" t="s">
        <v>67</v>
      </c>
      <c r="Q492" s="33" t="n">
        <f>2417</f>
        <v>2417.0</v>
      </c>
      <c r="R492" s="34" t="s">
        <v>50</v>
      </c>
      <c r="S492" s="35" t="n">
        <f>2393.89</f>
        <v>2393.89</v>
      </c>
      <c r="T492" s="32" t="n">
        <f>61605</f>
        <v>61605.0</v>
      </c>
      <c r="U492" s="32" t="str">
        <f>"－"</f>
        <v>－</v>
      </c>
      <c r="V492" s="32" t="n">
        <f>146632941</f>
        <v>1.46632941E8</v>
      </c>
      <c r="W492" s="32" t="str">
        <f>"－"</f>
        <v>－</v>
      </c>
      <c r="X492" s="36" t="n">
        <f>19</f>
        <v>19.0</v>
      </c>
    </row>
    <row r="493">
      <c r="A493" s="27" t="s">
        <v>42</v>
      </c>
      <c r="B493" s="27" t="s">
        <v>1528</v>
      </c>
      <c r="C493" s="27" t="s">
        <v>1529</v>
      </c>
      <c r="D493" s="27" t="s">
        <v>1530</v>
      </c>
      <c r="E493" s="28" t="s">
        <v>46</v>
      </c>
      <c r="F493" s="29" t="s">
        <v>46</v>
      </c>
      <c r="G493" s="30" t="s">
        <v>46</v>
      </c>
      <c r="H493" s="31"/>
      <c r="I493" s="31" t="s">
        <v>47</v>
      </c>
      <c r="J493" s="32" t="n">
        <v>1.0</v>
      </c>
      <c r="K493" s="33" t="n">
        <f>1058</f>
        <v>1058.0</v>
      </c>
      <c r="L493" s="34" t="s">
        <v>48</v>
      </c>
      <c r="M493" s="33" t="n">
        <f>1066</f>
        <v>1066.0</v>
      </c>
      <c r="N493" s="34" t="s">
        <v>286</v>
      </c>
      <c r="O493" s="33" t="n">
        <f>989</f>
        <v>989.0</v>
      </c>
      <c r="P493" s="34" t="s">
        <v>71</v>
      </c>
      <c r="Q493" s="33" t="n">
        <f>1052</f>
        <v>1052.0</v>
      </c>
      <c r="R493" s="34" t="s">
        <v>50</v>
      </c>
      <c r="S493" s="35" t="n">
        <f>1028.63</f>
        <v>1028.63</v>
      </c>
      <c r="T493" s="32" t="n">
        <f>22289772</f>
        <v>2.2289772E7</v>
      </c>
      <c r="U493" s="32" t="n">
        <f>33028</f>
        <v>33028.0</v>
      </c>
      <c r="V493" s="32" t="n">
        <f>22797698270</f>
        <v>2.279769827E10</v>
      </c>
      <c r="W493" s="32" t="n">
        <f>33109849</f>
        <v>3.3109849E7</v>
      </c>
      <c r="X493" s="36" t="n">
        <f>19</f>
        <v>19.0</v>
      </c>
    </row>
    <row r="494">
      <c r="A494" s="27" t="s">
        <v>42</v>
      </c>
      <c r="B494" s="27" t="s">
        <v>1531</v>
      </c>
      <c r="C494" s="27" t="s">
        <v>1532</v>
      </c>
      <c r="D494" s="27" t="s">
        <v>1533</v>
      </c>
      <c r="E494" s="28" t="s">
        <v>46</v>
      </c>
      <c r="F494" s="29" t="s">
        <v>46</v>
      </c>
      <c r="G494" s="30" t="s">
        <v>46</v>
      </c>
      <c r="H494" s="31"/>
      <c r="I494" s="31" t="s">
        <v>414</v>
      </c>
      <c r="J494" s="32" t="n">
        <v>1.0</v>
      </c>
      <c r="K494" s="33" t="n">
        <f>1118</f>
        <v>1118.0</v>
      </c>
      <c r="L494" s="34" t="s">
        <v>48</v>
      </c>
      <c r="M494" s="33" t="n">
        <f>1118</f>
        <v>1118.0</v>
      </c>
      <c r="N494" s="34" t="s">
        <v>48</v>
      </c>
      <c r="O494" s="33" t="n">
        <f>1048</f>
        <v>1048.0</v>
      </c>
      <c r="P494" s="34" t="s">
        <v>49</v>
      </c>
      <c r="Q494" s="33" t="n">
        <f>1095</f>
        <v>1095.0</v>
      </c>
      <c r="R494" s="34" t="s">
        <v>50</v>
      </c>
      <c r="S494" s="35" t="n">
        <f>1078.63</f>
        <v>1078.63</v>
      </c>
      <c r="T494" s="32" t="n">
        <f>6069</f>
        <v>6069.0</v>
      </c>
      <c r="U494" s="32" t="str">
        <f>"－"</f>
        <v>－</v>
      </c>
      <c r="V494" s="32" t="n">
        <f>6538287</f>
        <v>6538287.0</v>
      </c>
      <c r="W494" s="32" t="str">
        <f>"－"</f>
        <v>－</v>
      </c>
      <c r="X494" s="36" t="n">
        <f>19</f>
        <v>19.0</v>
      </c>
    </row>
    <row r="495">
      <c r="A495" s="27" t="s">
        <v>42</v>
      </c>
      <c r="B495" s="27" t="s">
        <v>1534</v>
      </c>
      <c r="C495" s="27" t="s">
        <v>1535</v>
      </c>
      <c r="D495" s="27" t="s">
        <v>1536</v>
      </c>
      <c r="E495" s="28" t="s">
        <v>46</v>
      </c>
      <c r="F495" s="29" t="s">
        <v>46</v>
      </c>
      <c r="G495" s="30" t="s">
        <v>46</v>
      </c>
      <c r="H495" s="31"/>
      <c r="I495" s="31" t="s">
        <v>414</v>
      </c>
      <c r="J495" s="32" t="n">
        <v>1.0</v>
      </c>
      <c r="K495" s="33" t="n">
        <f>2341</f>
        <v>2341.0</v>
      </c>
      <c r="L495" s="34" t="s">
        <v>48</v>
      </c>
      <c r="M495" s="33" t="n">
        <f>2392</f>
        <v>2392.0</v>
      </c>
      <c r="N495" s="34" t="s">
        <v>48</v>
      </c>
      <c r="O495" s="33" t="n">
        <f>2219</f>
        <v>2219.0</v>
      </c>
      <c r="P495" s="34" t="s">
        <v>49</v>
      </c>
      <c r="Q495" s="33" t="n">
        <f>2309</f>
        <v>2309.0</v>
      </c>
      <c r="R495" s="34" t="s">
        <v>50</v>
      </c>
      <c r="S495" s="35" t="n">
        <f>2302.84</f>
        <v>2302.84</v>
      </c>
      <c r="T495" s="32" t="n">
        <f>8064</f>
        <v>8064.0</v>
      </c>
      <c r="U495" s="32" t="str">
        <f>"－"</f>
        <v>－</v>
      </c>
      <c r="V495" s="32" t="n">
        <f>18644546</f>
        <v>1.8644546E7</v>
      </c>
      <c r="W495" s="32" t="str">
        <f>"－"</f>
        <v>－</v>
      </c>
      <c r="X495" s="36" t="n">
        <f>19</f>
        <v>19.0</v>
      </c>
    </row>
    <row r="496">
      <c r="A496" s="27" t="s">
        <v>42</v>
      </c>
      <c r="B496" s="27" t="s">
        <v>1537</v>
      </c>
      <c r="C496" s="27" t="s">
        <v>1538</v>
      </c>
      <c r="D496" s="27" t="s">
        <v>1539</v>
      </c>
      <c r="E496" s="28" t="s">
        <v>46</v>
      </c>
      <c r="F496" s="29" t="s">
        <v>46</v>
      </c>
      <c r="G496" s="30" t="s">
        <v>46</v>
      </c>
      <c r="H496" s="31"/>
      <c r="I496" s="31" t="s">
        <v>414</v>
      </c>
      <c r="J496" s="32" t="n">
        <v>10.0</v>
      </c>
      <c r="K496" s="33" t="n">
        <f>174.2</f>
        <v>174.2</v>
      </c>
      <c r="L496" s="34" t="s">
        <v>48</v>
      </c>
      <c r="M496" s="33" t="n">
        <f>175.4</f>
        <v>175.4</v>
      </c>
      <c r="N496" s="34" t="s">
        <v>48</v>
      </c>
      <c r="O496" s="33" t="n">
        <f>155.7</f>
        <v>155.7</v>
      </c>
      <c r="P496" s="34" t="s">
        <v>78</v>
      </c>
      <c r="Q496" s="33" t="n">
        <f>157.1</f>
        <v>157.1</v>
      </c>
      <c r="R496" s="34" t="s">
        <v>50</v>
      </c>
      <c r="S496" s="35" t="n">
        <f>165.17</f>
        <v>165.17</v>
      </c>
      <c r="T496" s="32" t="n">
        <f>2309470</f>
        <v>2309470.0</v>
      </c>
      <c r="U496" s="32" t="str">
        <f>"－"</f>
        <v>－</v>
      </c>
      <c r="V496" s="32" t="n">
        <f>381749426</f>
        <v>3.81749426E8</v>
      </c>
      <c r="W496" s="32" t="str">
        <f>"－"</f>
        <v>－</v>
      </c>
      <c r="X496" s="36" t="n">
        <f>19</f>
        <v>19.0</v>
      </c>
    </row>
    <row r="497">
      <c r="A497" s="27" t="s">
        <v>42</v>
      </c>
      <c r="B497" s="27" t="s">
        <v>1540</v>
      </c>
      <c r="C497" s="27" t="s">
        <v>1541</v>
      </c>
      <c r="D497" s="27" t="s">
        <v>1542</v>
      </c>
      <c r="E497" s="28" t="s">
        <v>46</v>
      </c>
      <c r="F497" s="29" t="s">
        <v>46</v>
      </c>
      <c r="G497" s="30" t="s">
        <v>46</v>
      </c>
      <c r="H497" s="31"/>
      <c r="I497" s="31" t="s">
        <v>414</v>
      </c>
      <c r="J497" s="32" t="n">
        <v>10.0</v>
      </c>
      <c r="K497" s="33" t="n">
        <f>181.4</f>
        <v>181.4</v>
      </c>
      <c r="L497" s="34" t="s">
        <v>48</v>
      </c>
      <c r="M497" s="33" t="n">
        <f>183.7</f>
        <v>183.7</v>
      </c>
      <c r="N497" s="34" t="s">
        <v>217</v>
      </c>
      <c r="O497" s="33" t="n">
        <f>166.5</f>
        <v>166.5</v>
      </c>
      <c r="P497" s="34" t="s">
        <v>78</v>
      </c>
      <c r="Q497" s="33" t="n">
        <f>169.5</f>
        <v>169.5</v>
      </c>
      <c r="R497" s="34" t="s">
        <v>50</v>
      </c>
      <c r="S497" s="35" t="n">
        <f>175.19</f>
        <v>175.19</v>
      </c>
      <c r="T497" s="32" t="n">
        <f>930680</f>
        <v>930680.0</v>
      </c>
      <c r="U497" s="32" t="str">
        <f>"－"</f>
        <v>－</v>
      </c>
      <c r="V497" s="32" t="n">
        <f>163370829</f>
        <v>1.63370829E8</v>
      </c>
      <c r="W497" s="32" t="str">
        <f>"－"</f>
        <v>－</v>
      </c>
      <c r="X497" s="36" t="n">
        <f>19</f>
        <v>19.0</v>
      </c>
    </row>
    <row r="498">
      <c r="A498" s="27" t="s">
        <v>42</v>
      </c>
      <c r="B498" s="27" t="s">
        <v>1543</v>
      </c>
      <c r="C498" s="27" t="s">
        <v>1544</v>
      </c>
      <c r="D498" s="27" t="s">
        <v>1545</v>
      </c>
      <c r="E498" s="28" t="s">
        <v>46</v>
      </c>
      <c r="F498" s="29" t="s">
        <v>46</v>
      </c>
      <c r="G498" s="30" t="s">
        <v>46</v>
      </c>
      <c r="H498" s="31"/>
      <c r="I498" s="31" t="s">
        <v>414</v>
      </c>
      <c r="J498" s="32" t="n">
        <v>10.0</v>
      </c>
      <c r="K498" s="33" t="n">
        <f>901.1</f>
        <v>901.1</v>
      </c>
      <c r="L498" s="34" t="s">
        <v>48</v>
      </c>
      <c r="M498" s="33" t="n">
        <f>905.1</f>
        <v>905.1</v>
      </c>
      <c r="N498" s="34" t="s">
        <v>82</v>
      </c>
      <c r="O498" s="33" t="n">
        <f>900.5</f>
        <v>900.5</v>
      </c>
      <c r="P498" s="34" t="s">
        <v>221</v>
      </c>
      <c r="Q498" s="33" t="n">
        <f>901.6</f>
        <v>901.6</v>
      </c>
      <c r="R498" s="34" t="s">
        <v>50</v>
      </c>
      <c r="S498" s="35" t="n">
        <f>901.41</f>
        <v>901.41</v>
      </c>
      <c r="T498" s="32" t="n">
        <f>279730</f>
        <v>279730.0</v>
      </c>
      <c r="U498" s="32" t="str">
        <f>"－"</f>
        <v>－</v>
      </c>
      <c r="V498" s="32" t="n">
        <f>252179729</f>
        <v>2.52179729E8</v>
      </c>
      <c r="W498" s="32" t="str">
        <f>"－"</f>
        <v>－</v>
      </c>
      <c r="X498" s="36" t="n">
        <f>19</f>
        <v>19.0</v>
      </c>
    </row>
    <row r="499">
      <c r="A499" s="27" t="s">
        <v>42</v>
      </c>
      <c r="B499" s="27" t="s">
        <v>1546</v>
      </c>
      <c r="C499" s="27" t="s">
        <v>1547</v>
      </c>
      <c r="D499" s="27" t="s">
        <v>1548</v>
      </c>
      <c r="E499" s="28" t="s">
        <v>46</v>
      </c>
      <c r="F499" s="29" t="s">
        <v>46</v>
      </c>
      <c r="G499" s="30" t="s">
        <v>46</v>
      </c>
      <c r="H499" s="31"/>
      <c r="I499" s="31" t="s">
        <v>414</v>
      </c>
      <c r="J499" s="32" t="n">
        <v>10.0</v>
      </c>
      <c r="K499" s="33" t="n">
        <f>499.9</f>
        <v>499.9</v>
      </c>
      <c r="L499" s="34" t="s">
        <v>48</v>
      </c>
      <c r="M499" s="33" t="n">
        <f>500.4</f>
        <v>500.4</v>
      </c>
      <c r="N499" s="34" t="s">
        <v>98</v>
      </c>
      <c r="O499" s="33" t="n">
        <f>496.6</f>
        <v>496.6</v>
      </c>
      <c r="P499" s="34" t="s">
        <v>114</v>
      </c>
      <c r="Q499" s="33" t="n">
        <f>498.3</f>
        <v>498.3</v>
      </c>
      <c r="R499" s="34" t="s">
        <v>50</v>
      </c>
      <c r="S499" s="35" t="n">
        <f>498.15</f>
        <v>498.15</v>
      </c>
      <c r="T499" s="32" t="n">
        <f>584020</f>
        <v>584020.0</v>
      </c>
      <c r="U499" s="32" t="str">
        <f>"－"</f>
        <v>－</v>
      </c>
      <c r="V499" s="32" t="n">
        <f>291567175</f>
        <v>2.91567175E8</v>
      </c>
      <c r="W499" s="32" t="str">
        <f>"－"</f>
        <v>－</v>
      </c>
      <c r="X499" s="36" t="n">
        <f>19</f>
        <v>19.0</v>
      </c>
    </row>
    <row r="500">
      <c r="A500" s="27" t="s">
        <v>42</v>
      </c>
      <c r="B500" s="27" t="s">
        <v>1549</v>
      </c>
      <c r="C500" s="27" t="s">
        <v>1550</v>
      </c>
      <c r="D500" s="27" t="s">
        <v>1551</v>
      </c>
      <c r="E500" s="28" t="s">
        <v>46</v>
      </c>
      <c r="F500" s="29" t="s">
        <v>46</v>
      </c>
      <c r="G500" s="30" t="s">
        <v>46</v>
      </c>
      <c r="H500" s="31"/>
      <c r="I500" s="31" t="s">
        <v>414</v>
      </c>
      <c r="J500" s="32" t="n">
        <v>10.0</v>
      </c>
      <c r="K500" s="33" t="n">
        <f>498.7</f>
        <v>498.7</v>
      </c>
      <c r="L500" s="34" t="s">
        <v>48</v>
      </c>
      <c r="M500" s="33" t="n">
        <f>507</f>
        <v>507.0</v>
      </c>
      <c r="N500" s="34" t="s">
        <v>217</v>
      </c>
      <c r="O500" s="33" t="n">
        <f>492.7</f>
        <v>492.7</v>
      </c>
      <c r="P500" s="34" t="s">
        <v>286</v>
      </c>
      <c r="Q500" s="33" t="n">
        <f>495.2</f>
        <v>495.2</v>
      </c>
      <c r="R500" s="34" t="s">
        <v>50</v>
      </c>
      <c r="S500" s="35" t="n">
        <f>496.14</f>
        <v>496.14</v>
      </c>
      <c r="T500" s="32" t="n">
        <f>442190</f>
        <v>442190.0</v>
      </c>
      <c r="U500" s="32" t="str">
        <f>"－"</f>
        <v>－</v>
      </c>
      <c r="V500" s="32" t="n">
        <f>220019975</f>
        <v>2.20019975E8</v>
      </c>
      <c r="W500" s="32" t="str">
        <f>"－"</f>
        <v>－</v>
      </c>
      <c r="X500" s="36" t="n">
        <f>18</f>
        <v>18.0</v>
      </c>
    </row>
    <row r="501">
      <c r="A501" s="27" t="s">
        <v>42</v>
      </c>
      <c r="B501" s="27" t="s">
        <v>1552</v>
      </c>
      <c r="C501" s="27" t="s">
        <v>1553</v>
      </c>
      <c r="D501" s="27" t="s">
        <v>1554</v>
      </c>
      <c r="E501" s="28" t="s">
        <v>46</v>
      </c>
      <c r="F501" s="29" t="s">
        <v>46</v>
      </c>
      <c r="G501" s="30" t="s">
        <v>46</v>
      </c>
      <c r="H501" s="31"/>
      <c r="I501" s="31" t="s">
        <v>414</v>
      </c>
      <c r="J501" s="32" t="n">
        <v>10.0</v>
      </c>
      <c r="K501" s="33" t="n">
        <f>486</f>
        <v>486.0</v>
      </c>
      <c r="L501" s="34" t="s">
        <v>48</v>
      </c>
      <c r="M501" s="33" t="n">
        <f>499.5</f>
        <v>499.5</v>
      </c>
      <c r="N501" s="34" t="s">
        <v>508</v>
      </c>
      <c r="O501" s="33" t="n">
        <f>479.6</f>
        <v>479.6</v>
      </c>
      <c r="P501" s="34" t="s">
        <v>66</v>
      </c>
      <c r="Q501" s="33" t="n">
        <f>496.8</f>
        <v>496.8</v>
      </c>
      <c r="R501" s="34" t="s">
        <v>50</v>
      </c>
      <c r="S501" s="35" t="n">
        <f>489.22</f>
        <v>489.22</v>
      </c>
      <c r="T501" s="32" t="n">
        <f>3385770</f>
        <v>3385770.0</v>
      </c>
      <c r="U501" s="32" t="str">
        <f>"－"</f>
        <v>－</v>
      </c>
      <c r="V501" s="32" t="n">
        <f>1654364644</f>
        <v>1.654364644E9</v>
      </c>
      <c r="W501" s="32" t="str">
        <f>"－"</f>
        <v>－</v>
      </c>
      <c r="X501" s="36" t="n">
        <f>19</f>
        <v>19.0</v>
      </c>
    </row>
    <row r="502">
      <c r="A502" s="27" t="s">
        <v>42</v>
      </c>
      <c r="B502" s="27" t="s">
        <v>1555</v>
      </c>
      <c r="C502" s="27" t="s">
        <v>1556</v>
      </c>
      <c r="D502" s="27" t="s">
        <v>1557</v>
      </c>
      <c r="E502" s="28" t="s">
        <v>46</v>
      </c>
      <c r="F502" s="29" t="s">
        <v>46</v>
      </c>
      <c r="G502" s="30" t="s">
        <v>46</v>
      </c>
      <c r="H502" s="31"/>
      <c r="I502" s="31" t="s">
        <v>414</v>
      </c>
      <c r="J502" s="32" t="n">
        <v>1.0</v>
      </c>
      <c r="K502" s="33" t="n">
        <f>1004</f>
        <v>1004.0</v>
      </c>
      <c r="L502" s="34" t="s">
        <v>48</v>
      </c>
      <c r="M502" s="33" t="n">
        <f>1141</f>
        <v>1141.0</v>
      </c>
      <c r="N502" s="34" t="s">
        <v>98</v>
      </c>
      <c r="O502" s="33" t="n">
        <f>800</f>
        <v>800.0</v>
      </c>
      <c r="P502" s="34" t="s">
        <v>49</v>
      </c>
      <c r="Q502" s="33" t="n">
        <f>854</f>
        <v>854.0</v>
      </c>
      <c r="R502" s="34" t="s">
        <v>50</v>
      </c>
      <c r="S502" s="35" t="n">
        <f>904.68</f>
        <v>904.68</v>
      </c>
      <c r="T502" s="32" t="n">
        <f>1101384</f>
        <v>1101384.0</v>
      </c>
      <c r="U502" s="32" t="str">
        <f>"－"</f>
        <v>－</v>
      </c>
      <c r="V502" s="32" t="n">
        <f>977833852</f>
        <v>9.77833852E8</v>
      </c>
      <c r="W502" s="32" t="str">
        <f>"－"</f>
        <v>－</v>
      </c>
      <c r="X502" s="36" t="n">
        <f>19</f>
        <v>19.0</v>
      </c>
    </row>
    <row r="503">
      <c r="A503" s="27" t="s">
        <v>42</v>
      </c>
      <c r="B503" s="27" t="s">
        <v>1558</v>
      </c>
      <c r="C503" s="27" t="s">
        <v>1559</v>
      </c>
      <c r="D503" s="27" t="s">
        <v>1560</v>
      </c>
      <c r="E503" s="28" t="s">
        <v>46</v>
      </c>
      <c r="F503" s="29" t="s">
        <v>46</v>
      </c>
      <c r="G503" s="30" t="s">
        <v>46</v>
      </c>
      <c r="H503" s="31"/>
      <c r="I503" s="31" t="s">
        <v>414</v>
      </c>
      <c r="J503" s="32" t="n">
        <v>10.0</v>
      </c>
      <c r="K503" s="33" t="n">
        <f>262.1</f>
        <v>262.1</v>
      </c>
      <c r="L503" s="34" t="s">
        <v>48</v>
      </c>
      <c r="M503" s="33" t="n">
        <f>272</f>
        <v>272.0</v>
      </c>
      <c r="N503" s="34" t="s">
        <v>221</v>
      </c>
      <c r="O503" s="33" t="n">
        <f>233.3</f>
        <v>233.3</v>
      </c>
      <c r="P503" s="34" t="s">
        <v>78</v>
      </c>
      <c r="Q503" s="33" t="n">
        <f>234.9</f>
        <v>234.9</v>
      </c>
      <c r="R503" s="34" t="s">
        <v>50</v>
      </c>
      <c r="S503" s="35" t="n">
        <f>247.46</f>
        <v>247.46</v>
      </c>
      <c r="T503" s="32" t="n">
        <f>198100</f>
        <v>198100.0</v>
      </c>
      <c r="U503" s="32" t="str">
        <f>"－"</f>
        <v>－</v>
      </c>
      <c r="V503" s="32" t="n">
        <f>48828546</f>
        <v>4.8828546E7</v>
      </c>
      <c r="W503" s="32" t="str">
        <f>"－"</f>
        <v>－</v>
      </c>
      <c r="X503" s="36" t="n">
        <f>19</f>
        <v>19.0</v>
      </c>
    </row>
    <row r="504">
      <c r="A504" s="27" t="s">
        <v>42</v>
      </c>
      <c r="B504" s="27" t="s">
        <v>1561</v>
      </c>
      <c r="C504" s="27" t="s">
        <v>1562</v>
      </c>
      <c r="D504" s="27" t="s">
        <v>1563</v>
      </c>
      <c r="E504" s="28" t="s">
        <v>46</v>
      </c>
      <c r="F504" s="29" t="s">
        <v>46</v>
      </c>
      <c r="G504" s="30" t="s">
        <v>46</v>
      </c>
      <c r="H504" s="31"/>
      <c r="I504" s="31" t="s">
        <v>414</v>
      </c>
      <c r="J504" s="32" t="n">
        <v>10.0</v>
      </c>
      <c r="K504" s="33" t="n">
        <f>255</f>
        <v>255.0</v>
      </c>
      <c r="L504" s="34" t="s">
        <v>48</v>
      </c>
      <c r="M504" s="33" t="n">
        <f>264</f>
        <v>264.0</v>
      </c>
      <c r="N504" s="34" t="s">
        <v>217</v>
      </c>
      <c r="O504" s="33" t="n">
        <f>231.9</f>
        <v>231.9</v>
      </c>
      <c r="P504" s="34" t="s">
        <v>78</v>
      </c>
      <c r="Q504" s="33" t="n">
        <f>234.1</f>
        <v>234.1</v>
      </c>
      <c r="R504" s="34" t="s">
        <v>50</v>
      </c>
      <c r="S504" s="35" t="n">
        <f>248.5</f>
        <v>248.5</v>
      </c>
      <c r="T504" s="32" t="n">
        <f>482530</f>
        <v>482530.0</v>
      </c>
      <c r="U504" s="32" t="str">
        <f>"－"</f>
        <v>－</v>
      </c>
      <c r="V504" s="32" t="n">
        <f>118878357</f>
        <v>1.18878357E8</v>
      </c>
      <c r="W504" s="32" t="str">
        <f>"－"</f>
        <v>－</v>
      </c>
      <c r="X504" s="36" t="n">
        <f>19</f>
        <v>19.0</v>
      </c>
    </row>
    <row r="505">
      <c r="A505" s="27" t="s">
        <v>42</v>
      </c>
      <c r="B505" s="27" t="s">
        <v>1564</v>
      </c>
      <c r="C505" s="27" t="s">
        <v>1565</v>
      </c>
      <c r="D505" s="27" t="s">
        <v>1566</v>
      </c>
      <c r="E505" s="28" t="s">
        <v>46</v>
      </c>
      <c r="F505" s="29" t="s">
        <v>46</v>
      </c>
      <c r="G505" s="30" t="s">
        <v>46</v>
      </c>
      <c r="H505" s="31"/>
      <c r="I505" s="31" t="s">
        <v>414</v>
      </c>
      <c r="J505" s="32" t="n">
        <v>1.0</v>
      </c>
      <c r="K505" s="33" t="n">
        <f>1067</f>
        <v>1067.0</v>
      </c>
      <c r="L505" s="34" t="s">
        <v>48</v>
      </c>
      <c r="M505" s="33" t="n">
        <f>1109</f>
        <v>1109.0</v>
      </c>
      <c r="N505" s="34" t="s">
        <v>270</v>
      </c>
      <c r="O505" s="33" t="n">
        <f>932</f>
        <v>932.0</v>
      </c>
      <c r="P505" s="34" t="s">
        <v>50</v>
      </c>
      <c r="Q505" s="33" t="n">
        <f>950</f>
        <v>950.0</v>
      </c>
      <c r="R505" s="34" t="s">
        <v>50</v>
      </c>
      <c r="S505" s="35" t="n">
        <f>1022.84</f>
        <v>1022.84</v>
      </c>
      <c r="T505" s="32" t="n">
        <f>169401</f>
        <v>169401.0</v>
      </c>
      <c r="U505" s="32" t="str">
        <f>"－"</f>
        <v>－</v>
      </c>
      <c r="V505" s="32" t="n">
        <f>174724435</f>
        <v>1.74724435E8</v>
      </c>
      <c r="W505" s="32" t="str">
        <f>"－"</f>
        <v>－</v>
      </c>
      <c r="X505" s="36" t="n">
        <f>19</f>
        <v>19.0</v>
      </c>
    </row>
    <row r="506">
      <c r="A506" s="27" t="s">
        <v>42</v>
      </c>
      <c r="B506" s="27" t="s">
        <v>1567</v>
      </c>
      <c r="C506" s="27" t="s">
        <v>1568</v>
      </c>
      <c r="D506" s="27" t="s">
        <v>1569</v>
      </c>
      <c r="E506" s="28" t="s">
        <v>46</v>
      </c>
      <c r="F506" s="29" t="s">
        <v>46</v>
      </c>
      <c r="G506" s="30" t="s">
        <v>46</v>
      </c>
      <c r="H506" s="31"/>
      <c r="I506" s="31" t="s">
        <v>414</v>
      </c>
      <c r="J506" s="32" t="n">
        <v>1.0</v>
      </c>
      <c r="K506" s="33" t="n">
        <f>1080</f>
        <v>1080.0</v>
      </c>
      <c r="L506" s="34" t="s">
        <v>48</v>
      </c>
      <c r="M506" s="33" t="n">
        <f>1093</f>
        <v>1093.0</v>
      </c>
      <c r="N506" s="34" t="s">
        <v>48</v>
      </c>
      <c r="O506" s="33" t="n">
        <f>954</f>
        <v>954.0</v>
      </c>
      <c r="P506" s="34" t="s">
        <v>308</v>
      </c>
      <c r="Q506" s="33" t="n">
        <f>979</f>
        <v>979.0</v>
      </c>
      <c r="R506" s="34" t="s">
        <v>50</v>
      </c>
      <c r="S506" s="35" t="n">
        <f>1006.11</f>
        <v>1006.11</v>
      </c>
      <c r="T506" s="32" t="n">
        <f>297816</f>
        <v>297816.0</v>
      </c>
      <c r="U506" s="32" t="str">
        <f>"－"</f>
        <v>－</v>
      </c>
      <c r="V506" s="32" t="n">
        <f>300305269</f>
        <v>3.00305269E8</v>
      </c>
      <c r="W506" s="32" t="str">
        <f>"－"</f>
        <v>－</v>
      </c>
      <c r="X506" s="36" t="n">
        <f>19</f>
        <v>19.0</v>
      </c>
    </row>
    <row r="507">
      <c r="A507" s="27" t="s">
        <v>42</v>
      </c>
      <c r="B507" s="27" t="s">
        <v>1570</v>
      </c>
      <c r="C507" s="27" t="s">
        <v>1571</v>
      </c>
      <c r="D507" s="27" t="s">
        <v>1572</v>
      </c>
      <c r="E507" s="28" t="s">
        <v>46</v>
      </c>
      <c r="F507" s="29" t="s">
        <v>46</v>
      </c>
      <c r="G507" s="30" t="s">
        <v>46</v>
      </c>
      <c r="H507" s="31"/>
      <c r="I507" s="31" t="s">
        <v>414</v>
      </c>
      <c r="J507" s="32" t="n">
        <v>1.0</v>
      </c>
      <c r="K507" s="33" t="n">
        <f>1099</f>
        <v>1099.0</v>
      </c>
      <c r="L507" s="34" t="s">
        <v>48</v>
      </c>
      <c r="M507" s="33" t="n">
        <f>1114</f>
        <v>1114.0</v>
      </c>
      <c r="N507" s="34" t="s">
        <v>48</v>
      </c>
      <c r="O507" s="33" t="n">
        <f>1039</f>
        <v>1039.0</v>
      </c>
      <c r="P507" s="34" t="s">
        <v>71</v>
      </c>
      <c r="Q507" s="33" t="n">
        <f>1102</f>
        <v>1102.0</v>
      </c>
      <c r="R507" s="34" t="s">
        <v>50</v>
      </c>
      <c r="S507" s="35" t="n">
        <f>1077.74</f>
        <v>1077.74</v>
      </c>
      <c r="T507" s="32" t="n">
        <f>10736</f>
        <v>10736.0</v>
      </c>
      <c r="U507" s="32" t="str">
        <f>"－"</f>
        <v>－</v>
      </c>
      <c r="V507" s="32" t="n">
        <f>11590868</f>
        <v>1.1590868E7</v>
      </c>
      <c r="W507" s="32" t="str">
        <f>"－"</f>
        <v>－</v>
      </c>
      <c r="X507" s="36" t="n">
        <f>19</f>
        <v>19.0</v>
      </c>
    </row>
    <row r="508">
      <c r="A508" s="27" t="s">
        <v>42</v>
      </c>
      <c r="B508" s="27" t="s">
        <v>1573</v>
      </c>
      <c r="C508" s="27" t="s">
        <v>1574</v>
      </c>
      <c r="D508" s="27" t="s">
        <v>1575</v>
      </c>
      <c r="E508" s="28" t="s">
        <v>46</v>
      </c>
      <c r="F508" s="29" t="s">
        <v>46</v>
      </c>
      <c r="G508" s="30" t="s">
        <v>46</v>
      </c>
      <c r="H508" s="31"/>
      <c r="I508" s="31" t="s">
        <v>414</v>
      </c>
      <c r="J508" s="32" t="n">
        <v>10.0</v>
      </c>
      <c r="K508" s="33" t="n">
        <f>257.9</f>
        <v>257.9</v>
      </c>
      <c r="L508" s="34" t="s">
        <v>48</v>
      </c>
      <c r="M508" s="33" t="n">
        <f>261.1</f>
        <v>261.1</v>
      </c>
      <c r="N508" s="34" t="s">
        <v>48</v>
      </c>
      <c r="O508" s="33" t="n">
        <f>240</f>
        <v>240.0</v>
      </c>
      <c r="P508" s="34" t="s">
        <v>49</v>
      </c>
      <c r="Q508" s="33" t="n">
        <f>248.1</f>
        <v>248.1</v>
      </c>
      <c r="R508" s="34" t="s">
        <v>50</v>
      </c>
      <c r="S508" s="35" t="n">
        <f>249.97</f>
        <v>249.97</v>
      </c>
      <c r="T508" s="32" t="n">
        <f>11995270</f>
        <v>1.199527E7</v>
      </c>
      <c r="U508" s="32" t="n">
        <f>3642620</f>
        <v>3642620.0</v>
      </c>
      <c r="V508" s="32" t="n">
        <f>3005227917</f>
        <v>3.005227917E9</v>
      </c>
      <c r="W508" s="32" t="n">
        <f>914017191</f>
        <v>9.14017191E8</v>
      </c>
      <c r="X508" s="36" t="n">
        <f>19</f>
        <v>19.0</v>
      </c>
    </row>
    <row r="509">
      <c r="A509" s="27" t="s">
        <v>42</v>
      </c>
      <c r="B509" s="27" t="s">
        <v>1576</v>
      </c>
      <c r="C509" s="27" t="s">
        <v>1577</v>
      </c>
      <c r="D509" s="27" t="s">
        <v>1578</v>
      </c>
      <c r="E509" s="28" t="s">
        <v>46</v>
      </c>
      <c r="F509" s="29" t="s">
        <v>46</v>
      </c>
      <c r="G509" s="30" t="s">
        <v>46</v>
      </c>
      <c r="H509" s="31"/>
      <c r="I509" s="31" t="s">
        <v>47</v>
      </c>
      <c r="J509" s="32" t="n">
        <v>1.0</v>
      </c>
      <c r="K509" s="33" t="n">
        <f>114650</f>
        <v>114650.0</v>
      </c>
      <c r="L509" s="34" t="s">
        <v>48</v>
      </c>
      <c r="M509" s="33" t="n">
        <f>117750</f>
        <v>117750.0</v>
      </c>
      <c r="N509" s="34" t="s">
        <v>200</v>
      </c>
      <c r="O509" s="33" t="n">
        <f>108450</f>
        <v>108450.0</v>
      </c>
      <c r="P509" s="34" t="s">
        <v>71</v>
      </c>
      <c r="Q509" s="33" t="n">
        <f>115650</f>
        <v>115650.0</v>
      </c>
      <c r="R509" s="34" t="s">
        <v>50</v>
      </c>
      <c r="S509" s="35" t="n">
        <f>112610.53</f>
        <v>112610.53</v>
      </c>
      <c r="T509" s="32" t="n">
        <f>4793</f>
        <v>4793.0</v>
      </c>
      <c r="U509" s="32" t="str">
        <f>"－"</f>
        <v>－</v>
      </c>
      <c r="V509" s="32" t="n">
        <f>549146950</f>
        <v>5.4914695E8</v>
      </c>
      <c r="W509" s="32" t="str">
        <f>"－"</f>
        <v>－</v>
      </c>
      <c r="X509" s="36" t="n">
        <f>19</f>
        <v>19.0</v>
      </c>
    </row>
    <row r="510">
      <c r="A510" s="27" t="s">
        <v>42</v>
      </c>
      <c r="B510" s="27" t="s">
        <v>1579</v>
      </c>
      <c r="C510" s="27" t="s">
        <v>1580</v>
      </c>
      <c r="D510" s="27" t="s">
        <v>1581</v>
      </c>
      <c r="E510" s="28" t="s">
        <v>46</v>
      </c>
      <c r="F510" s="29" t="s">
        <v>46</v>
      </c>
      <c r="G510" s="30" t="s">
        <v>46</v>
      </c>
      <c r="H510" s="31"/>
      <c r="I510" s="31" t="s">
        <v>414</v>
      </c>
      <c r="J510" s="32" t="n">
        <v>1.0</v>
      </c>
      <c r="K510" s="33" t="n">
        <f>1959</f>
        <v>1959.0</v>
      </c>
      <c r="L510" s="34" t="s">
        <v>48</v>
      </c>
      <c r="M510" s="33" t="n">
        <f>1959</f>
        <v>1959.0</v>
      </c>
      <c r="N510" s="34" t="s">
        <v>48</v>
      </c>
      <c r="O510" s="33" t="n">
        <f>1825</f>
        <v>1825.0</v>
      </c>
      <c r="P510" s="34" t="s">
        <v>50</v>
      </c>
      <c r="Q510" s="33" t="n">
        <f>1825</f>
        <v>1825.0</v>
      </c>
      <c r="R510" s="34" t="s">
        <v>50</v>
      </c>
      <c r="S510" s="35" t="n">
        <f>1871.89</f>
        <v>1871.89</v>
      </c>
      <c r="T510" s="32" t="n">
        <f>5454</f>
        <v>5454.0</v>
      </c>
      <c r="U510" s="32" t="str">
        <f>"－"</f>
        <v>－</v>
      </c>
      <c r="V510" s="32" t="n">
        <f>10188201</f>
        <v>1.0188201E7</v>
      </c>
      <c r="W510" s="32" t="str">
        <f>"－"</f>
        <v>－</v>
      </c>
      <c r="X510" s="36" t="n">
        <f>19</f>
        <v>19.0</v>
      </c>
    </row>
    <row r="511">
      <c r="A511" s="27" t="s">
        <v>42</v>
      </c>
      <c r="B511" s="27" t="s">
        <v>1582</v>
      </c>
      <c r="C511" s="27" t="s">
        <v>1583</v>
      </c>
      <c r="D511" s="27" t="s">
        <v>1584</v>
      </c>
      <c r="E511" s="28" t="s">
        <v>46</v>
      </c>
      <c r="F511" s="29" t="s">
        <v>46</v>
      </c>
      <c r="G511" s="30" t="s">
        <v>46</v>
      </c>
      <c r="H511" s="31"/>
      <c r="I511" s="31" t="s">
        <v>414</v>
      </c>
      <c r="J511" s="32" t="n">
        <v>10.0</v>
      </c>
      <c r="K511" s="33" t="n">
        <f>200</f>
        <v>200.0</v>
      </c>
      <c r="L511" s="34" t="s">
        <v>48</v>
      </c>
      <c r="M511" s="33" t="n">
        <f>202.8</f>
        <v>202.8</v>
      </c>
      <c r="N511" s="34" t="s">
        <v>50</v>
      </c>
      <c r="O511" s="33" t="n">
        <f>190.4</f>
        <v>190.4</v>
      </c>
      <c r="P511" s="34" t="s">
        <v>49</v>
      </c>
      <c r="Q511" s="33" t="n">
        <f>202.8</f>
        <v>202.8</v>
      </c>
      <c r="R511" s="34" t="s">
        <v>50</v>
      </c>
      <c r="S511" s="35" t="n">
        <f>197.39</f>
        <v>197.39</v>
      </c>
      <c r="T511" s="32" t="n">
        <f>1471970</f>
        <v>1471970.0</v>
      </c>
      <c r="U511" s="32" t="n">
        <f>630420</f>
        <v>630420.0</v>
      </c>
      <c r="V511" s="32" t="n">
        <f>287410110</f>
        <v>2.8741011E8</v>
      </c>
      <c r="W511" s="32" t="n">
        <f>121713814</f>
        <v>1.21713814E8</v>
      </c>
      <c r="X511" s="36" t="n">
        <f>19</f>
        <v>19.0</v>
      </c>
    </row>
    <row r="512">
      <c r="A512" s="27" t="s">
        <v>42</v>
      </c>
      <c r="B512" s="27" t="s">
        <v>1585</v>
      </c>
      <c r="C512" s="27" t="s">
        <v>1586</v>
      </c>
      <c r="D512" s="27" t="s">
        <v>1587</v>
      </c>
      <c r="E512" s="28" t="s">
        <v>46</v>
      </c>
      <c r="F512" s="29" t="s">
        <v>46</v>
      </c>
      <c r="G512" s="30" t="s">
        <v>46</v>
      </c>
      <c r="H512" s="31"/>
      <c r="I512" s="31" t="s">
        <v>414</v>
      </c>
      <c r="J512" s="32" t="n">
        <v>1.0</v>
      </c>
      <c r="K512" s="33" t="n">
        <f>23225</f>
        <v>23225.0</v>
      </c>
      <c r="L512" s="34" t="s">
        <v>48</v>
      </c>
      <c r="M512" s="33" t="n">
        <f>23470</f>
        <v>23470.0</v>
      </c>
      <c r="N512" s="34" t="s">
        <v>48</v>
      </c>
      <c r="O512" s="33" t="n">
        <f>18950</f>
        <v>18950.0</v>
      </c>
      <c r="P512" s="34" t="s">
        <v>78</v>
      </c>
      <c r="Q512" s="33" t="n">
        <f>19500</f>
        <v>19500.0</v>
      </c>
      <c r="R512" s="34" t="s">
        <v>50</v>
      </c>
      <c r="S512" s="35" t="n">
        <f>20879.74</f>
        <v>20879.74</v>
      </c>
      <c r="T512" s="32" t="n">
        <f>86034</f>
        <v>86034.0</v>
      </c>
      <c r="U512" s="32" t="str">
        <f>"－"</f>
        <v>－</v>
      </c>
      <c r="V512" s="32" t="n">
        <f>1803055275</f>
        <v>1.803055275E9</v>
      </c>
      <c r="W512" s="32" t="str">
        <f>"－"</f>
        <v>－</v>
      </c>
      <c r="X512" s="36" t="n">
        <f>19</f>
        <v>19.0</v>
      </c>
    </row>
    <row r="513">
      <c r="A513" s="27" t="s">
        <v>42</v>
      </c>
      <c r="B513" s="27" t="s">
        <v>1588</v>
      </c>
      <c r="C513" s="27" t="s">
        <v>1589</v>
      </c>
      <c r="D513" s="27" t="s">
        <v>1590</v>
      </c>
      <c r="E513" s="28" t="s">
        <v>46</v>
      </c>
      <c r="F513" s="29" t="s">
        <v>46</v>
      </c>
      <c r="G513" s="30" t="s">
        <v>46</v>
      </c>
      <c r="H513" s="31"/>
      <c r="I513" s="31" t="s">
        <v>414</v>
      </c>
      <c r="J513" s="32" t="n">
        <v>1.0</v>
      </c>
      <c r="K513" s="33" t="n">
        <f>1482</f>
        <v>1482.0</v>
      </c>
      <c r="L513" s="34" t="s">
        <v>48</v>
      </c>
      <c r="M513" s="33" t="n">
        <f>1492</f>
        <v>1492.0</v>
      </c>
      <c r="N513" s="34" t="s">
        <v>49</v>
      </c>
      <c r="O513" s="33" t="n">
        <f>1428</f>
        <v>1428.0</v>
      </c>
      <c r="P513" s="34" t="s">
        <v>50</v>
      </c>
      <c r="Q513" s="33" t="n">
        <f>1439</f>
        <v>1439.0</v>
      </c>
      <c r="R513" s="34" t="s">
        <v>50</v>
      </c>
      <c r="S513" s="35" t="n">
        <f>1461.79</f>
        <v>1461.79</v>
      </c>
      <c r="T513" s="32" t="n">
        <f>112489</f>
        <v>112489.0</v>
      </c>
      <c r="U513" s="32" t="str">
        <f>"－"</f>
        <v>－</v>
      </c>
      <c r="V513" s="32" t="n">
        <f>163969574</f>
        <v>1.63969574E8</v>
      </c>
      <c r="W513" s="32" t="str">
        <f>"－"</f>
        <v>－</v>
      </c>
      <c r="X513" s="36" t="n">
        <f>19</f>
        <v>19.0</v>
      </c>
    </row>
    <row r="514">
      <c r="A514" s="27" t="s">
        <v>42</v>
      </c>
      <c r="B514" s="27" t="s">
        <v>1591</v>
      </c>
      <c r="C514" s="27" t="s">
        <v>1592</v>
      </c>
      <c r="D514" s="27" t="s">
        <v>1593</v>
      </c>
      <c r="E514" s="28" t="s">
        <v>46</v>
      </c>
      <c r="F514" s="29" t="s">
        <v>46</v>
      </c>
      <c r="G514" s="30" t="s">
        <v>46</v>
      </c>
      <c r="H514" s="31"/>
      <c r="I514" s="31" t="s">
        <v>414</v>
      </c>
      <c r="J514" s="32" t="n">
        <v>1.0</v>
      </c>
      <c r="K514" s="33" t="n">
        <f>1103</f>
        <v>1103.0</v>
      </c>
      <c r="L514" s="34" t="s">
        <v>48</v>
      </c>
      <c r="M514" s="33" t="n">
        <f>1192</f>
        <v>1192.0</v>
      </c>
      <c r="N514" s="34" t="s">
        <v>48</v>
      </c>
      <c r="O514" s="33" t="n">
        <f>1042</f>
        <v>1042.0</v>
      </c>
      <c r="P514" s="34" t="s">
        <v>78</v>
      </c>
      <c r="Q514" s="33" t="n">
        <f>1073</f>
        <v>1073.0</v>
      </c>
      <c r="R514" s="34" t="s">
        <v>50</v>
      </c>
      <c r="S514" s="35" t="n">
        <f>1093</f>
        <v>1093.0</v>
      </c>
      <c r="T514" s="32" t="n">
        <f>607006</f>
        <v>607006.0</v>
      </c>
      <c r="U514" s="32" t="n">
        <f>134</f>
        <v>134.0</v>
      </c>
      <c r="V514" s="32" t="n">
        <f>663502464</f>
        <v>6.63502464E8</v>
      </c>
      <c r="W514" s="32" t="n">
        <f>145314</f>
        <v>145314.0</v>
      </c>
      <c r="X514" s="36" t="n">
        <f>19</f>
        <v>19.0</v>
      </c>
    </row>
    <row r="515">
      <c r="A515" s="27" t="s">
        <v>42</v>
      </c>
      <c r="B515" s="27" t="s">
        <v>1594</v>
      </c>
      <c r="C515" s="27" t="s">
        <v>1595</v>
      </c>
      <c r="D515" s="27" t="s">
        <v>1596</v>
      </c>
      <c r="E515" s="28" t="s">
        <v>46</v>
      </c>
      <c r="F515" s="29" t="s">
        <v>46</v>
      </c>
      <c r="G515" s="30" t="s">
        <v>46</v>
      </c>
      <c r="H515" s="31"/>
      <c r="I515" s="31" t="s">
        <v>414</v>
      </c>
      <c r="J515" s="32" t="n">
        <v>1.0</v>
      </c>
      <c r="K515" s="33" t="n">
        <f>1040</f>
        <v>1040.0</v>
      </c>
      <c r="L515" s="34" t="s">
        <v>48</v>
      </c>
      <c r="M515" s="33" t="n">
        <f>1080</f>
        <v>1080.0</v>
      </c>
      <c r="N515" s="34" t="s">
        <v>200</v>
      </c>
      <c r="O515" s="33" t="n">
        <f>990</f>
        <v>990.0</v>
      </c>
      <c r="P515" s="34" t="s">
        <v>71</v>
      </c>
      <c r="Q515" s="33" t="n">
        <f>1023</f>
        <v>1023.0</v>
      </c>
      <c r="R515" s="34" t="s">
        <v>50</v>
      </c>
      <c r="S515" s="35" t="n">
        <f>1034.79</f>
        <v>1034.79</v>
      </c>
      <c r="T515" s="32" t="n">
        <f>673776</f>
        <v>673776.0</v>
      </c>
      <c r="U515" s="32" t="str">
        <f>"－"</f>
        <v>－</v>
      </c>
      <c r="V515" s="32" t="n">
        <f>693487084</f>
        <v>6.93487084E8</v>
      </c>
      <c r="W515" s="32" t="str">
        <f>"－"</f>
        <v>－</v>
      </c>
      <c r="X515" s="36" t="n">
        <f>19</f>
        <v>19.0</v>
      </c>
    </row>
    <row r="516">
      <c r="A516" s="27" t="s">
        <v>42</v>
      </c>
      <c r="B516" s="27" t="s">
        <v>1597</v>
      </c>
      <c r="C516" s="27" t="s">
        <v>1598</v>
      </c>
      <c r="D516" s="27" t="s">
        <v>1599</v>
      </c>
      <c r="E516" s="28" t="s">
        <v>46</v>
      </c>
      <c r="F516" s="29" t="s">
        <v>46</v>
      </c>
      <c r="G516" s="30" t="s">
        <v>46</v>
      </c>
      <c r="H516" s="31"/>
      <c r="I516" s="31" t="s">
        <v>414</v>
      </c>
      <c r="J516" s="32" t="n">
        <v>10.0</v>
      </c>
      <c r="K516" s="33" t="n">
        <f>976</f>
        <v>976.0</v>
      </c>
      <c r="L516" s="34" t="s">
        <v>48</v>
      </c>
      <c r="M516" s="33" t="n">
        <f>1008</f>
        <v>1008.0</v>
      </c>
      <c r="N516" s="34" t="s">
        <v>98</v>
      </c>
      <c r="O516" s="33" t="n">
        <f>963</f>
        <v>963.0</v>
      </c>
      <c r="P516" s="34" t="s">
        <v>66</v>
      </c>
      <c r="Q516" s="33" t="n">
        <f>974.5</f>
        <v>974.5</v>
      </c>
      <c r="R516" s="34" t="s">
        <v>50</v>
      </c>
      <c r="S516" s="35" t="n">
        <f>986.11</f>
        <v>986.11</v>
      </c>
      <c r="T516" s="32" t="n">
        <f>8230</f>
        <v>8230.0</v>
      </c>
      <c r="U516" s="32" t="str">
        <f>"－"</f>
        <v>－</v>
      </c>
      <c r="V516" s="32" t="n">
        <f>8052138</f>
        <v>8052138.0</v>
      </c>
      <c r="W516" s="32" t="str">
        <f>"－"</f>
        <v>－</v>
      </c>
      <c r="X516" s="36" t="n">
        <f>18</f>
        <v>18.0</v>
      </c>
    </row>
    <row r="517">
      <c r="A517" s="27" t="s">
        <v>42</v>
      </c>
      <c r="B517" s="27" t="s">
        <v>1600</v>
      </c>
      <c r="C517" s="27" t="s">
        <v>1601</v>
      </c>
      <c r="D517" s="27" t="s">
        <v>1602</v>
      </c>
      <c r="E517" s="28" t="s">
        <v>46</v>
      </c>
      <c r="F517" s="29" t="s">
        <v>46</v>
      </c>
      <c r="G517" s="30" t="s">
        <v>46</v>
      </c>
      <c r="H517" s="31"/>
      <c r="I517" s="31" t="s">
        <v>414</v>
      </c>
      <c r="J517" s="32" t="n">
        <v>10.0</v>
      </c>
      <c r="K517" s="33" t="n">
        <f>10160</f>
        <v>10160.0</v>
      </c>
      <c r="L517" s="34" t="s">
        <v>66</v>
      </c>
      <c r="M517" s="33" t="n">
        <f>10240</f>
        <v>10240.0</v>
      </c>
      <c r="N517" s="34" t="s">
        <v>286</v>
      </c>
      <c r="O517" s="33" t="n">
        <f>10040</f>
        <v>10040.0</v>
      </c>
      <c r="P517" s="34" t="s">
        <v>508</v>
      </c>
      <c r="Q517" s="33" t="n">
        <f>10150</f>
        <v>10150.0</v>
      </c>
      <c r="R517" s="34" t="s">
        <v>50</v>
      </c>
      <c r="S517" s="35" t="n">
        <f>10157</f>
        <v>10157.0</v>
      </c>
      <c r="T517" s="32" t="n">
        <f>1880</f>
        <v>1880.0</v>
      </c>
      <c r="U517" s="32" t="str">
        <f>"－"</f>
        <v>－</v>
      </c>
      <c r="V517" s="32" t="n">
        <f>19104100</f>
        <v>1.91041E7</v>
      </c>
      <c r="W517" s="32" t="str">
        <f>"－"</f>
        <v>－</v>
      </c>
      <c r="X517" s="36" t="n">
        <f>10</f>
        <v>10.0</v>
      </c>
    </row>
    <row r="518">
      <c r="A518" s="27" t="s">
        <v>42</v>
      </c>
      <c r="B518" s="27" t="s">
        <v>1603</v>
      </c>
      <c r="C518" s="27" t="s">
        <v>1604</v>
      </c>
      <c r="D518" s="27" t="s">
        <v>1605</v>
      </c>
      <c r="E518" s="28" t="s">
        <v>46</v>
      </c>
      <c r="F518" s="29" t="s">
        <v>46</v>
      </c>
      <c r="G518" s="30" t="s">
        <v>46</v>
      </c>
      <c r="H518" s="31"/>
      <c r="I518" s="31" t="s">
        <v>414</v>
      </c>
      <c r="J518" s="32" t="n">
        <v>1.0</v>
      </c>
      <c r="K518" s="33" t="n">
        <f>1985</f>
        <v>1985.0</v>
      </c>
      <c r="L518" s="34" t="s">
        <v>48</v>
      </c>
      <c r="M518" s="33" t="n">
        <f>1985</f>
        <v>1985.0</v>
      </c>
      <c r="N518" s="34" t="s">
        <v>48</v>
      </c>
      <c r="O518" s="33" t="n">
        <f>1904</f>
        <v>1904.0</v>
      </c>
      <c r="P518" s="34" t="s">
        <v>50</v>
      </c>
      <c r="Q518" s="33" t="n">
        <f>1904</f>
        <v>1904.0</v>
      </c>
      <c r="R518" s="34" t="s">
        <v>50</v>
      </c>
      <c r="S518" s="35" t="n">
        <f>1929.72</f>
        <v>1929.72</v>
      </c>
      <c r="T518" s="32" t="n">
        <f>17056</f>
        <v>17056.0</v>
      </c>
      <c r="U518" s="32" t="str">
        <f>"－"</f>
        <v>－</v>
      </c>
      <c r="V518" s="32" t="n">
        <f>32698742</f>
        <v>3.2698742E7</v>
      </c>
      <c r="W518" s="32" t="str">
        <f>"－"</f>
        <v>－</v>
      </c>
      <c r="X518" s="36" t="n">
        <f>18</f>
        <v>18.0</v>
      </c>
    </row>
    <row r="519">
      <c r="A519" s="27" t="s">
        <v>42</v>
      </c>
      <c r="B519" s="27" t="s">
        <v>1606</v>
      </c>
      <c r="C519" s="27" t="s">
        <v>1607</v>
      </c>
      <c r="D519" s="27" t="s">
        <v>1608</v>
      </c>
      <c r="E519" s="28" t="s">
        <v>1609</v>
      </c>
      <c r="F519" s="29" t="s">
        <v>1610</v>
      </c>
      <c r="G519" s="30" t="s">
        <v>1611</v>
      </c>
      <c r="H519" s="31"/>
      <c r="I519" s="31" t="s">
        <v>414</v>
      </c>
      <c r="J519" s="32" t="n">
        <v>1.0</v>
      </c>
      <c r="K519" s="33" t="n">
        <f>2001</f>
        <v>2001.0</v>
      </c>
      <c r="L519" s="34" t="s">
        <v>270</v>
      </c>
      <c r="M519" s="33" t="n">
        <f>2057</f>
        <v>2057.0</v>
      </c>
      <c r="N519" s="34" t="s">
        <v>270</v>
      </c>
      <c r="O519" s="33" t="n">
        <f>1794</f>
        <v>1794.0</v>
      </c>
      <c r="P519" s="34" t="s">
        <v>78</v>
      </c>
      <c r="Q519" s="33" t="n">
        <f>1823</f>
        <v>1823.0</v>
      </c>
      <c r="R519" s="34" t="s">
        <v>50</v>
      </c>
      <c r="S519" s="35" t="n">
        <f>1906</f>
        <v>1906.0</v>
      </c>
      <c r="T519" s="32" t="n">
        <f>127798</f>
        <v>127798.0</v>
      </c>
      <c r="U519" s="32" t="n">
        <f>41</f>
        <v>41.0</v>
      </c>
      <c r="V519" s="32" t="n">
        <f>246308478</f>
        <v>2.46308478E8</v>
      </c>
      <c r="W519" s="32" t="n">
        <f>77080</f>
        <v>77080.0</v>
      </c>
      <c r="X519" s="36" t="n">
        <f>16</f>
        <v>16.0</v>
      </c>
    </row>
    <row r="520">
      <c r="A520" s="27" t="s">
        <v>42</v>
      </c>
      <c r="B520" s="27" t="s">
        <v>1612</v>
      </c>
      <c r="C520" s="27" t="s">
        <v>1613</v>
      </c>
      <c r="D520" s="27" t="s">
        <v>1614</v>
      </c>
      <c r="E520" s="28" t="s">
        <v>1609</v>
      </c>
      <c r="F520" s="29" t="s">
        <v>1610</v>
      </c>
      <c r="G520" s="30" t="s">
        <v>1615</v>
      </c>
      <c r="H520" s="31"/>
      <c r="I520" s="31" t="s">
        <v>414</v>
      </c>
      <c r="J520" s="32" t="n">
        <v>1.0</v>
      </c>
      <c r="K520" s="33" t="n">
        <f>1587</f>
        <v>1587.0</v>
      </c>
      <c r="L520" s="34" t="s">
        <v>98</v>
      </c>
      <c r="M520" s="33" t="n">
        <f>1740</f>
        <v>1740.0</v>
      </c>
      <c r="N520" s="34" t="s">
        <v>98</v>
      </c>
      <c r="O520" s="33" t="n">
        <f>1451</f>
        <v>1451.0</v>
      </c>
      <c r="P520" s="34" t="s">
        <v>49</v>
      </c>
      <c r="Q520" s="33" t="n">
        <f>1516</f>
        <v>1516.0</v>
      </c>
      <c r="R520" s="34" t="s">
        <v>50</v>
      </c>
      <c r="S520" s="35" t="n">
        <f>1492.36</f>
        <v>1492.36</v>
      </c>
      <c r="T520" s="32" t="n">
        <f>27989</f>
        <v>27989.0</v>
      </c>
      <c r="U520" s="32" t="str">
        <f>"－"</f>
        <v>－</v>
      </c>
      <c r="V520" s="32" t="n">
        <f>42480820</f>
        <v>4.248082E7</v>
      </c>
      <c r="W520" s="32" t="str">
        <f>"－"</f>
        <v>－</v>
      </c>
      <c r="X520" s="36" t="n">
        <f>14</f>
        <v>14.0</v>
      </c>
    </row>
    <row r="521">
      <c r="A521" s="27" t="s">
        <v>42</v>
      </c>
      <c r="B521" s="27" t="s">
        <v>1616</v>
      </c>
      <c r="C521" s="27" t="s">
        <v>1617</v>
      </c>
      <c r="D521" s="27" t="s">
        <v>1618</v>
      </c>
      <c r="E521" s="28" t="s">
        <v>1609</v>
      </c>
      <c r="F521" s="29" t="s">
        <v>1610</v>
      </c>
      <c r="G521" s="30" t="s">
        <v>1619</v>
      </c>
      <c r="H521" s="31"/>
      <c r="I521" s="31" t="s">
        <v>414</v>
      </c>
      <c r="J521" s="32" t="n">
        <v>1.0</v>
      </c>
      <c r="K521" s="33" t="n">
        <f>64940</f>
        <v>64940.0</v>
      </c>
      <c r="L521" s="34" t="s">
        <v>508</v>
      </c>
      <c r="M521" s="33" t="n">
        <f>67310</f>
        <v>67310.0</v>
      </c>
      <c r="N521" s="34" t="s">
        <v>50</v>
      </c>
      <c r="O521" s="33" t="n">
        <f>62800</f>
        <v>62800.0</v>
      </c>
      <c r="P521" s="34" t="s">
        <v>71</v>
      </c>
      <c r="Q521" s="33" t="n">
        <f>67310</f>
        <v>67310.0</v>
      </c>
      <c r="R521" s="34" t="s">
        <v>50</v>
      </c>
      <c r="S521" s="35" t="n">
        <f>65020.77</f>
        <v>65020.77</v>
      </c>
      <c r="T521" s="32" t="n">
        <f>113851</f>
        <v>113851.0</v>
      </c>
      <c r="U521" s="32" t="n">
        <f>68812</f>
        <v>68812.0</v>
      </c>
      <c r="V521" s="32" t="n">
        <f>7446811390</f>
        <v>7.44681139E9</v>
      </c>
      <c r="W521" s="32" t="n">
        <f>4501172810</f>
        <v>4.50117281E9</v>
      </c>
      <c r="X521" s="36" t="n">
        <f>13</f>
        <v>13.0</v>
      </c>
    </row>
    <row r="522">
      <c r="A522" s="27" t="s">
        <v>42</v>
      </c>
      <c r="B522" s="27" t="s">
        <v>1620</v>
      </c>
      <c r="C522" s="27" t="s">
        <v>1621</v>
      </c>
      <c r="D522" s="27" t="s">
        <v>1622</v>
      </c>
      <c r="E522" s="28" t="s">
        <v>1609</v>
      </c>
      <c r="F522" s="29" t="s">
        <v>1610</v>
      </c>
      <c r="G522" s="30" t="s">
        <v>1619</v>
      </c>
      <c r="H522" s="31"/>
      <c r="I522" s="31" t="s">
        <v>414</v>
      </c>
      <c r="J522" s="32" t="n">
        <v>1.0</v>
      </c>
      <c r="K522" s="33" t="n">
        <f>1014</f>
        <v>1014.0</v>
      </c>
      <c r="L522" s="34" t="s">
        <v>508</v>
      </c>
      <c r="M522" s="33" t="n">
        <f>1073</f>
        <v>1073.0</v>
      </c>
      <c r="N522" s="34" t="s">
        <v>286</v>
      </c>
      <c r="O522" s="33" t="n">
        <f>922</f>
        <v>922.0</v>
      </c>
      <c r="P522" s="34" t="s">
        <v>308</v>
      </c>
      <c r="Q522" s="33" t="n">
        <f>1052</f>
        <v>1052.0</v>
      </c>
      <c r="R522" s="34" t="s">
        <v>50</v>
      </c>
      <c r="S522" s="35" t="n">
        <f>1004.08</f>
        <v>1004.08</v>
      </c>
      <c r="T522" s="32" t="n">
        <f>1658566</f>
        <v>1658566.0</v>
      </c>
      <c r="U522" s="32" t="n">
        <f>2000</f>
        <v>2000.0</v>
      </c>
      <c r="V522" s="32" t="n">
        <f>1664292951</f>
        <v>1.664292951E9</v>
      </c>
      <c r="W522" s="32" t="n">
        <f>1929870</f>
        <v>1929870.0</v>
      </c>
      <c r="X522" s="36" t="n">
        <f>13</f>
        <v>13.0</v>
      </c>
    </row>
    <row r="523">
      <c r="A523" s="27" t="s">
        <v>42</v>
      </c>
      <c r="B523" s="27" t="s">
        <v>1623</v>
      </c>
      <c r="C523" s="27" t="s">
        <v>1624</v>
      </c>
      <c r="D523" s="27" t="s">
        <v>1625</v>
      </c>
      <c r="E523" s="28" t="s">
        <v>1609</v>
      </c>
      <c r="F523" s="29" t="s">
        <v>1610</v>
      </c>
      <c r="G523" s="30" t="s">
        <v>1626</v>
      </c>
      <c r="H523" s="31"/>
      <c r="I523" s="31" t="s">
        <v>414</v>
      </c>
      <c r="J523" s="32" t="n">
        <v>10.0</v>
      </c>
      <c r="K523" s="33" t="n">
        <f>902.3</f>
        <v>902.3</v>
      </c>
      <c r="L523" s="34" t="s">
        <v>49</v>
      </c>
      <c r="M523" s="33" t="n">
        <f>902.3</f>
        <v>902.3</v>
      </c>
      <c r="N523" s="34" t="s">
        <v>49</v>
      </c>
      <c r="O523" s="33" t="n">
        <f>899.7</f>
        <v>899.7</v>
      </c>
      <c r="P523" s="34" t="s">
        <v>308</v>
      </c>
      <c r="Q523" s="33" t="n">
        <f>900</f>
        <v>900.0</v>
      </c>
      <c r="R523" s="34" t="s">
        <v>50</v>
      </c>
      <c r="S523" s="35" t="n">
        <f>901.24</f>
        <v>901.24</v>
      </c>
      <c r="T523" s="32" t="n">
        <f>6650</f>
        <v>6650.0</v>
      </c>
      <c r="U523" s="32" t="str">
        <f>"－"</f>
        <v>－</v>
      </c>
      <c r="V523" s="32" t="n">
        <f>5995750</f>
        <v>5995750.0</v>
      </c>
      <c r="W523" s="32" t="str">
        <f>"－"</f>
        <v>－</v>
      </c>
      <c r="X523" s="36" t="n">
        <f>11</f>
        <v>11.0</v>
      </c>
    </row>
    <row r="524">
      <c r="A524" s="27" t="s">
        <v>42</v>
      </c>
      <c r="B524" s="27" t="s">
        <v>1627</v>
      </c>
      <c r="C524" s="27" t="s">
        <v>1628</v>
      </c>
      <c r="D524" s="27" t="s">
        <v>1629</v>
      </c>
      <c r="E524" s="28" t="s">
        <v>1609</v>
      </c>
      <c r="F524" s="29" t="s">
        <v>1610</v>
      </c>
      <c r="G524" s="30" t="s">
        <v>1626</v>
      </c>
      <c r="H524" s="31"/>
      <c r="I524" s="31" t="s">
        <v>414</v>
      </c>
      <c r="J524" s="32" t="n">
        <v>10.0</v>
      </c>
      <c r="K524" s="33" t="n">
        <f>902.3</f>
        <v>902.3</v>
      </c>
      <c r="L524" s="34" t="s">
        <v>49</v>
      </c>
      <c r="M524" s="33" t="n">
        <f>902.3</f>
        <v>902.3</v>
      </c>
      <c r="N524" s="34" t="s">
        <v>49</v>
      </c>
      <c r="O524" s="33" t="n">
        <f>897.1</f>
        <v>897.1</v>
      </c>
      <c r="P524" s="34" t="s">
        <v>49</v>
      </c>
      <c r="Q524" s="33" t="n">
        <f>900.1</f>
        <v>900.1</v>
      </c>
      <c r="R524" s="34" t="s">
        <v>50</v>
      </c>
      <c r="S524" s="35" t="n">
        <f>901.25</f>
        <v>901.25</v>
      </c>
      <c r="T524" s="32" t="n">
        <f>26760</f>
        <v>26760.0</v>
      </c>
      <c r="U524" s="32" t="str">
        <f>"－"</f>
        <v>－</v>
      </c>
      <c r="V524" s="32" t="n">
        <f>24117482</f>
        <v>2.4117482E7</v>
      </c>
      <c r="W524" s="32" t="str">
        <f>"－"</f>
        <v>－</v>
      </c>
      <c r="X524" s="36" t="n">
        <f>10</f>
        <v>10.0</v>
      </c>
    </row>
    <row r="525">
      <c r="A525" s="27" t="s">
        <v>42</v>
      </c>
      <c r="B525" s="27" t="s">
        <v>1630</v>
      </c>
      <c r="C525" s="27" t="s">
        <v>1631</v>
      </c>
      <c r="D525" s="27" t="s">
        <v>1632</v>
      </c>
      <c r="E525" s="28" t="s">
        <v>1609</v>
      </c>
      <c r="F525" s="29" t="s">
        <v>1610</v>
      </c>
      <c r="G525" s="30" t="s">
        <v>1633</v>
      </c>
      <c r="H525" s="31"/>
      <c r="I525" s="31" t="s">
        <v>414</v>
      </c>
      <c r="J525" s="32" t="n">
        <v>10.0</v>
      </c>
      <c r="K525" s="33" t="n">
        <f>233</f>
        <v>233.0</v>
      </c>
      <c r="L525" s="34" t="s">
        <v>50</v>
      </c>
      <c r="M525" s="33" t="n">
        <f>242</f>
        <v>242.0</v>
      </c>
      <c r="N525" s="34" t="s">
        <v>50</v>
      </c>
      <c r="O525" s="33" t="n">
        <f>201.1</f>
        <v>201.1</v>
      </c>
      <c r="P525" s="34" t="s">
        <v>50</v>
      </c>
      <c r="Q525" s="33" t="n">
        <f>201.7</f>
        <v>201.7</v>
      </c>
      <c r="R525" s="34" t="s">
        <v>50</v>
      </c>
      <c r="S525" s="35" t="n">
        <f>201.7</f>
        <v>201.7</v>
      </c>
      <c r="T525" s="32" t="n">
        <f>1578500</f>
        <v>1578500.0</v>
      </c>
      <c r="U525" s="32" t="str">
        <f>"－"</f>
        <v>－</v>
      </c>
      <c r="V525" s="32" t="n">
        <f>327954755</f>
        <v>3.27954755E8</v>
      </c>
      <c r="W525" s="32" t="str">
        <f>"－"</f>
        <v>－</v>
      </c>
      <c r="X525" s="36" t="n">
        <f>1</f>
        <v>1.0</v>
      </c>
    </row>
    <row r="526">
      <c r="A526" s="27" t="s">
        <v>42</v>
      </c>
      <c r="B526" s="27" t="s">
        <v>1634</v>
      </c>
      <c r="C526" s="27" t="s">
        <v>1635</v>
      </c>
      <c r="D526" s="27" t="s">
        <v>1636</v>
      </c>
      <c r="E526" s="28" t="s">
        <v>1609</v>
      </c>
      <c r="F526" s="29" t="s">
        <v>1610</v>
      </c>
      <c r="G526" s="30" t="s">
        <v>1637</v>
      </c>
      <c r="H526" s="31"/>
      <c r="I526" s="31" t="s">
        <v>414</v>
      </c>
      <c r="J526" s="32" t="n">
        <v>1.0</v>
      </c>
      <c r="K526" s="33" t="n">
        <f>10640</f>
        <v>10640.0</v>
      </c>
      <c r="L526" s="34" t="s">
        <v>286</v>
      </c>
      <c r="M526" s="33" t="n">
        <f>10895</f>
        <v>10895.0</v>
      </c>
      <c r="N526" s="34" t="s">
        <v>50</v>
      </c>
      <c r="O526" s="33" t="n">
        <f>10335</f>
        <v>10335.0</v>
      </c>
      <c r="P526" s="34" t="s">
        <v>78</v>
      </c>
      <c r="Q526" s="33" t="n">
        <f>10710</f>
        <v>10710.0</v>
      </c>
      <c r="R526" s="34" t="s">
        <v>50</v>
      </c>
      <c r="S526" s="35" t="n">
        <f>10510</f>
        <v>10510.0</v>
      </c>
      <c r="T526" s="32" t="n">
        <f>174562</f>
        <v>174562.0</v>
      </c>
      <c r="U526" s="32" t="str">
        <f>"－"</f>
        <v>－</v>
      </c>
      <c r="V526" s="32" t="n">
        <f>1842797970</f>
        <v>1.84279797E9</v>
      </c>
      <c r="W526" s="32" t="str">
        <f>"－"</f>
        <v>－</v>
      </c>
      <c r="X526" s="36" t="n">
        <f>3</f>
        <v>3.0</v>
      </c>
    </row>
    <row r="527">
      <c r="A527" s="27" t="s">
        <v>42</v>
      </c>
      <c r="B527" s="27" t="s">
        <v>1638</v>
      </c>
      <c r="C527" s="27" t="s">
        <v>1639</v>
      </c>
      <c r="D527" s="27" t="s">
        <v>1640</v>
      </c>
      <c r="E527" s="28" t="s">
        <v>1609</v>
      </c>
      <c r="F527" s="29" t="s">
        <v>1610</v>
      </c>
      <c r="G527" s="30" t="s">
        <v>1637</v>
      </c>
      <c r="H527" s="31"/>
      <c r="I527" s="31" t="s">
        <v>414</v>
      </c>
      <c r="J527" s="32" t="n">
        <v>1.0</v>
      </c>
      <c r="K527" s="33" t="n">
        <f>10190</f>
        <v>10190.0</v>
      </c>
      <c r="L527" s="34" t="s">
        <v>286</v>
      </c>
      <c r="M527" s="33" t="n">
        <f>10290</f>
        <v>10290.0</v>
      </c>
      <c r="N527" s="34" t="s">
        <v>286</v>
      </c>
      <c r="O527" s="33" t="n">
        <f>9839</f>
        <v>9839.0</v>
      </c>
      <c r="P527" s="34" t="s">
        <v>78</v>
      </c>
      <c r="Q527" s="33" t="n">
        <f>9926</f>
        <v>9926.0</v>
      </c>
      <c r="R527" s="34" t="s">
        <v>50</v>
      </c>
      <c r="S527" s="35" t="n">
        <f>9921.67</f>
        <v>9921.67</v>
      </c>
      <c r="T527" s="32" t="n">
        <f>104972</f>
        <v>104972.0</v>
      </c>
      <c r="U527" s="32" t="str">
        <f>"－"</f>
        <v>－</v>
      </c>
      <c r="V527" s="32" t="n">
        <f>1052724847</f>
        <v>1.052724847E9</v>
      </c>
      <c r="W527" s="32" t="str">
        <f>"－"</f>
        <v>－</v>
      </c>
      <c r="X527" s="36" t="n">
        <f>3</f>
        <v>3.0</v>
      </c>
    </row>
    <row r="528">
      <c r="A528" s="27" t="s">
        <v>42</v>
      </c>
      <c r="B528" s="27" t="s">
        <v>1641</v>
      </c>
      <c r="C528" s="27" t="s">
        <v>1642</v>
      </c>
      <c r="D528" s="27" t="s">
        <v>1643</v>
      </c>
      <c r="E528" s="28" t="s">
        <v>46</v>
      </c>
      <c r="F528" s="29" t="s">
        <v>46</v>
      </c>
      <c r="G528" s="30" t="s">
        <v>46</v>
      </c>
      <c r="H528" s="31"/>
      <c r="I528" s="31" t="s">
        <v>47</v>
      </c>
      <c r="J528" s="32" t="n">
        <v>1.0</v>
      </c>
      <c r="K528" s="33" t="n">
        <f>126300</f>
        <v>126300.0</v>
      </c>
      <c r="L528" s="34" t="s">
        <v>48</v>
      </c>
      <c r="M528" s="33" t="n">
        <f>127500</f>
        <v>127500.0</v>
      </c>
      <c r="N528" s="34" t="s">
        <v>48</v>
      </c>
      <c r="O528" s="33" t="n">
        <f>117700</f>
        <v>117700.0</v>
      </c>
      <c r="P528" s="34" t="s">
        <v>78</v>
      </c>
      <c r="Q528" s="33" t="n">
        <f>118900</f>
        <v>118900.0</v>
      </c>
      <c r="R528" s="34" t="s">
        <v>50</v>
      </c>
      <c r="S528" s="35" t="n">
        <f>121915.79</f>
        <v>121915.79</v>
      </c>
      <c r="T528" s="32" t="n">
        <f>851481</f>
        <v>851481.0</v>
      </c>
      <c r="U528" s="32" t="n">
        <f>139899</f>
        <v>139899.0</v>
      </c>
      <c r="V528" s="32" t="n">
        <f>103651436411</f>
        <v>1.03651436411E11</v>
      </c>
      <c r="W528" s="32" t="n">
        <f>17040570411</f>
        <v>1.7040570411E10</v>
      </c>
      <c r="X528" s="36" t="n">
        <f>19</f>
        <v>19.0</v>
      </c>
    </row>
    <row r="529">
      <c r="A529" s="27" t="s">
        <v>42</v>
      </c>
      <c r="B529" s="27" t="s">
        <v>1644</v>
      </c>
      <c r="C529" s="27" t="s">
        <v>1645</v>
      </c>
      <c r="D529" s="27" t="s">
        <v>1646</v>
      </c>
      <c r="E529" s="28" t="s">
        <v>46</v>
      </c>
      <c r="F529" s="29" t="s">
        <v>46</v>
      </c>
      <c r="G529" s="30" t="s">
        <v>46</v>
      </c>
      <c r="H529" s="31"/>
      <c r="I529" s="31" t="s">
        <v>47</v>
      </c>
      <c r="J529" s="32" t="n">
        <v>1.0</v>
      </c>
      <c r="K529" s="33" t="n">
        <f>117900</f>
        <v>117900.0</v>
      </c>
      <c r="L529" s="34" t="s">
        <v>48</v>
      </c>
      <c r="M529" s="33" t="n">
        <f>118900</f>
        <v>118900.0</v>
      </c>
      <c r="N529" s="34" t="s">
        <v>48</v>
      </c>
      <c r="O529" s="33" t="n">
        <f>108500</f>
        <v>108500.0</v>
      </c>
      <c r="P529" s="34" t="s">
        <v>78</v>
      </c>
      <c r="Q529" s="33" t="n">
        <f>108900</f>
        <v>108900.0</v>
      </c>
      <c r="R529" s="34" t="s">
        <v>50</v>
      </c>
      <c r="S529" s="35" t="n">
        <f>114331.58</f>
        <v>114331.58</v>
      </c>
      <c r="T529" s="32" t="n">
        <f>480023</f>
        <v>480023.0</v>
      </c>
      <c r="U529" s="32" t="n">
        <f>92714</f>
        <v>92714.0</v>
      </c>
      <c r="V529" s="32" t="n">
        <f>54872538428</f>
        <v>5.4872538428E10</v>
      </c>
      <c r="W529" s="32" t="n">
        <f>10586710628</f>
        <v>1.0586710628E10</v>
      </c>
      <c r="X529" s="36" t="n">
        <f>19</f>
        <v>19.0</v>
      </c>
    </row>
    <row r="530">
      <c r="A530" s="27" t="s">
        <v>42</v>
      </c>
      <c r="B530" s="27" t="s">
        <v>1647</v>
      </c>
      <c r="C530" s="27" t="s">
        <v>1648</v>
      </c>
      <c r="D530" s="27" t="s">
        <v>1649</v>
      </c>
      <c r="E530" s="28" t="s">
        <v>46</v>
      </c>
      <c r="F530" s="29" t="s">
        <v>46</v>
      </c>
      <c r="G530" s="30" t="s">
        <v>46</v>
      </c>
      <c r="H530" s="31"/>
      <c r="I530" s="31" t="s">
        <v>47</v>
      </c>
      <c r="J530" s="32" t="n">
        <v>1.0</v>
      </c>
      <c r="K530" s="33" t="n">
        <f>113000</f>
        <v>113000.0</v>
      </c>
      <c r="L530" s="34" t="s">
        <v>48</v>
      </c>
      <c r="M530" s="33" t="n">
        <f>115600</f>
        <v>115600.0</v>
      </c>
      <c r="N530" s="34" t="s">
        <v>49</v>
      </c>
      <c r="O530" s="33" t="n">
        <f>106900</f>
        <v>106900.0</v>
      </c>
      <c r="P530" s="34" t="s">
        <v>50</v>
      </c>
      <c r="Q530" s="33" t="n">
        <f>107100</f>
        <v>107100.0</v>
      </c>
      <c r="R530" s="34" t="s">
        <v>50</v>
      </c>
      <c r="S530" s="35" t="n">
        <f>111015.79</f>
        <v>111015.79</v>
      </c>
      <c r="T530" s="32" t="n">
        <f>575974</f>
        <v>575974.0</v>
      </c>
      <c r="U530" s="32" t="n">
        <f>236769</f>
        <v>236769.0</v>
      </c>
      <c r="V530" s="32" t="n">
        <f>64141749722</f>
        <v>6.4141749722E10</v>
      </c>
      <c r="W530" s="32" t="n">
        <f>26410305022</f>
        <v>2.6410305022E10</v>
      </c>
      <c r="X530" s="36" t="n">
        <f>19</f>
        <v>19.0</v>
      </c>
    </row>
    <row r="531">
      <c r="A531" s="27" t="s">
        <v>42</v>
      </c>
      <c r="B531" s="27" t="s">
        <v>1650</v>
      </c>
      <c r="C531" s="27" t="s">
        <v>1651</v>
      </c>
      <c r="D531" s="27" t="s">
        <v>1652</v>
      </c>
      <c r="E531" s="28" t="s">
        <v>46</v>
      </c>
      <c r="F531" s="29" t="s">
        <v>46</v>
      </c>
      <c r="G531" s="30" t="s">
        <v>46</v>
      </c>
      <c r="H531" s="31"/>
      <c r="I531" s="31" t="s">
        <v>47</v>
      </c>
      <c r="J531" s="32" t="n">
        <v>1.0</v>
      </c>
      <c r="K531" s="33" t="n">
        <f>97300</f>
        <v>97300.0</v>
      </c>
      <c r="L531" s="34" t="s">
        <v>48</v>
      </c>
      <c r="M531" s="33" t="n">
        <f>98800</f>
        <v>98800.0</v>
      </c>
      <c r="N531" s="34" t="s">
        <v>66</v>
      </c>
      <c r="O531" s="33" t="n">
        <f>92400</f>
        <v>92400.0</v>
      </c>
      <c r="P531" s="34" t="s">
        <v>78</v>
      </c>
      <c r="Q531" s="33" t="n">
        <f>92800</f>
        <v>92800.0</v>
      </c>
      <c r="R531" s="34" t="s">
        <v>50</v>
      </c>
      <c r="S531" s="35" t="n">
        <f>95784.21</f>
        <v>95784.21</v>
      </c>
      <c r="T531" s="32" t="n">
        <f>421003</f>
        <v>421003.0</v>
      </c>
      <c r="U531" s="32" t="n">
        <f>129841</f>
        <v>129841.0</v>
      </c>
      <c r="V531" s="32" t="n">
        <f>40385796526</f>
        <v>4.0385796526E10</v>
      </c>
      <c r="W531" s="32" t="n">
        <f>12504471126</f>
        <v>1.2504471126E10</v>
      </c>
      <c r="X531" s="36" t="n">
        <f>19</f>
        <v>19.0</v>
      </c>
    </row>
    <row r="532">
      <c r="A532" s="27" t="s">
        <v>42</v>
      </c>
      <c r="B532" s="27" t="s">
        <v>1653</v>
      </c>
      <c r="C532" s="27" t="s">
        <v>1654</v>
      </c>
      <c r="D532" s="27" t="s">
        <v>1655</v>
      </c>
      <c r="E532" s="28" t="s">
        <v>46</v>
      </c>
      <c r="F532" s="29" t="s">
        <v>46</v>
      </c>
      <c r="G532" s="30" t="s">
        <v>46</v>
      </c>
      <c r="H532" s="31"/>
      <c r="I532" s="31" t="s">
        <v>47</v>
      </c>
      <c r="J532" s="32" t="n">
        <v>1.0</v>
      </c>
      <c r="K532" s="33" t="n">
        <f>96600</f>
        <v>96600.0</v>
      </c>
      <c r="L532" s="34" t="s">
        <v>48</v>
      </c>
      <c r="M532" s="33" t="n">
        <f>97800</f>
        <v>97800.0</v>
      </c>
      <c r="N532" s="34" t="s">
        <v>82</v>
      </c>
      <c r="O532" s="33" t="n">
        <f>91700</f>
        <v>91700.0</v>
      </c>
      <c r="P532" s="34" t="s">
        <v>50</v>
      </c>
      <c r="Q532" s="33" t="n">
        <f>92000</f>
        <v>92000.0</v>
      </c>
      <c r="R532" s="34" t="s">
        <v>50</v>
      </c>
      <c r="S532" s="35" t="n">
        <f>94852.63</f>
        <v>94852.63</v>
      </c>
      <c r="T532" s="32" t="n">
        <f>176916</f>
        <v>176916.0</v>
      </c>
      <c r="U532" s="32" t="n">
        <f>37936</f>
        <v>37936.0</v>
      </c>
      <c r="V532" s="32" t="n">
        <f>16834551354</f>
        <v>1.6834551354E10</v>
      </c>
      <c r="W532" s="32" t="n">
        <f>3603601354</f>
        <v>3.603601354E9</v>
      </c>
      <c r="X532" s="36" t="n">
        <f>19</f>
        <v>19.0</v>
      </c>
    </row>
    <row r="533">
      <c r="A533" s="27" t="s">
        <v>42</v>
      </c>
      <c r="B533" s="27" t="s">
        <v>1656</v>
      </c>
      <c r="C533" s="27" t="s">
        <v>1657</v>
      </c>
      <c r="D533" s="27" t="s">
        <v>1658</v>
      </c>
      <c r="E533" s="28" t="s">
        <v>46</v>
      </c>
      <c r="F533" s="29" t="s">
        <v>46</v>
      </c>
      <c r="G533" s="30" t="s">
        <v>46</v>
      </c>
      <c r="H533" s="31"/>
      <c r="I533" s="31" t="s">
        <v>47</v>
      </c>
      <c r="J533" s="32" t="n">
        <v>1.0</v>
      </c>
      <c r="K533" s="33" t="n">
        <f>130100</f>
        <v>130100.0</v>
      </c>
      <c r="L533" s="34" t="s">
        <v>48</v>
      </c>
      <c r="M533" s="33" t="n">
        <f>130800</f>
        <v>130800.0</v>
      </c>
      <c r="N533" s="34" t="s">
        <v>48</v>
      </c>
      <c r="O533" s="33" t="n">
        <f>124800</f>
        <v>124800.0</v>
      </c>
      <c r="P533" s="34" t="s">
        <v>50</v>
      </c>
      <c r="Q533" s="33" t="n">
        <f>125500</f>
        <v>125500.0</v>
      </c>
      <c r="R533" s="34" t="s">
        <v>50</v>
      </c>
      <c r="S533" s="35" t="n">
        <f>127015.79</f>
        <v>127015.79</v>
      </c>
      <c r="T533" s="32" t="n">
        <f>69695</f>
        <v>69695.0</v>
      </c>
      <c r="U533" s="32" t="n">
        <f>14130</f>
        <v>14130.0</v>
      </c>
      <c r="V533" s="32" t="n">
        <f>8860990125</f>
        <v>8.860990125E9</v>
      </c>
      <c r="W533" s="32" t="n">
        <f>1794667425</f>
        <v>1.794667425E9</v>
      </c>
      <c r="X533" s="36" t="n">
        <f>19</f>
        <v>19.0</v>
      </c>
    </row>
    <row r="534">
      <c r="A534" s="27" t="s">
        <v>42</v>
      </c>
      <c r="B534" s="27" t="s">
        <v>1659</v>
      </c>
      <c r="C534" s="27" t="s">
        <v>1660</v>
      </c>
      <c r="D534" s="27" t="s">
        <v>1661</v>
      </c>
      <c r="E534" s="28" t="s">
        <v>46</v>
      </c>
      <c r="F534" s="29" t="s">
        <v>46</v>
      </c>
      <c r="G534" s="30" t="s">
        <v>46</v>
      </c>
      <c r="H534" s="31"/>
      <c r="I534" s="31" t="s">
        <v>47</v>
      </c>
      <c r="J534" s="32" t="n">
        <v>1.0</v>
      </c>
      <c r="K534" s="33" t="n">
        <f>184900</f>
        <v>184900.0</v>
      </c>
      <c r="L534" s="34" t="s">
        <v>48</v>
      </c>
      <c r="M534" s="33" t="n">
        <f>189700</f>
        <v>189700.0</v>
      </c>
      <c r="N534" s="34" t="s">
        <v>49</v>
      </c>
      <c r="O534" s="33" t="n">
        <f>180700</f>
        <v>180700.0</v>
      </c>
      <c r="P534" s="34" t="s">
        <v>286</v>
      </c>
      <c r="Q534" s="33" t="n">
        <f>181900</f>
        <v>181900.0</v>
      </c>
      <c r="R534" s="34" t="s">
        <v>50</v>
      </c>
      <c r="S534" s="35" t="n">
        <f>183578.95</f>
        <v>183578.95</v>
      </c>
      <c r="T534" s="32" t="n">
        <f>53001</f>
        <v>53001.0</v>
      </c>
      <c r="U534" s="32" t="n">
        <f>12634</f>
        <v>12634.0</v>
      </c>
      <c r="V534" s="32" t="n">
        <f>9739652646</f>
        <v>9.739652646E9</v>
      </c>
      <c r="W534" s="32" t="n">
        <f>2317025246</f>
        <v>2.317025246E9</v>
      </c>
      <c r="X534" s="36" t="n">
        <f>19</f>
        <v>19.0</v>
      </c>
    </row>
    <row r="535">
      <c r="A535" s="27" t="s">
        <v>42</v>
      </c>
      <c r="B535" s="27" t="s">
        <v>1662</v>
      </c>
      <c r="C535" s="27" t="s">
        <v>1663</v>
      </c>
      <c r="D535" s="27" t="s">
        <v>1664</v>
      </c>
      <c r="E535" s="28" t="s">
        <v>46</v>
      </c>
      <c r="F535" s="29" t="s">
        <v>46</v>
      </c>
      <c r="G535" s="30" t="s">
        <v>46</v>
      </c>
      <c r="H535" s="31"/>
      <c r="I535" s="31" t="s">
        <v>47</v>
      </c>
      <c r="J535" s="32" t="n">
        <v>1.0</v>
      </c>
      <c r="K535" s="33" t="n">
        <f>112100</f>
        <v>112100.0</v>
      </c>
      <c r="L535" s="34" t="s">
        <v>48</v>
      </c>
      <c r="M535" s="33" t="n">
        <f>112700</f>
        <v>112700.0</v>
      </c>
      <c r="N535" s="34" t="s">
        <v>48</v>
      </c>
      <c r="O535" s="33" t="n">
        <f>105700</f>
        <v>105700.0</v>
      </c>
      <c r="P535" s="34" t="s">
        <v>78</v>
      </c>
      <c r="Q535" s="33" t="n">
        <f>107300</f>
        <v>107300.0</v>
      </c>
      <c r="R535" s="34" t="s">
        <v>50</v>
      </c>
      <c r="S535" s="35" t="n">
        <f>110978.95</f>
        <v>110978.95</v>
      </c>
      <c r="T535" s="32" t="n">
        <f>148367</f>
        <v>148367.0</v>
      </c>
      <c r="U535" s="32" t="n">
        <f>25141</f>
        <v>25141.0</v>
      </c>
      <c r="V535" s="32" t="n">
        <f>16420687301</f>
        <v>1.6420687301E10</v>
      </c>
      <c r="W535" s="32" t="n">
        <f>2789497301</f>
        <v>2.789497301E9</v>
      </c>
      <c r="X535" s="36" t="n">
        <f>19</f>
        <v>19.0</v>
      </c>
    </row>
    <row r="536">
      <c r="A536" s="27" t="s">
        <v>42</v>
      </c>
      <c r="B536" s="27" t="s">
        <v>1665</v>
      </c>
      <c r="C536" s="27" t="s">
        <v>1666</v>
      </c>
      <c r="D536" s="27" t="s">
        <v>1667</v>
      </c>
      <c r="E536" s="28" t="s">
        <v>46</v>
      </c>
      <c r="F536" s="29" t="s">
        <v>46</v>
      </c>
      <c r="G536" s="30" t="s">
        <v>46</v>
      </c>
      <c r="H536" s="31"/>
      <c r="I536" s="31" t="s">
        <v>47</v>
      </c>
      <c r="J536" s="32" t="n">
        <v>1.0</v>
      </c>
      <c r="K536" s="33" t="n">
        <f>160900</f>
        <v>160900.0</v>
      </c>
      <c r="L536" s="34" t="s">
        <v>48</v>
      </c>
      <c r="M536" s="33" t="n">
        <f>161800</f>
        <v>161800.0</v>
      </c>
      <c r="N536" s="34" t="s">
        <v>48</v>
      </c>
      <c r="O536" s="33" t="n">
        <f>151900</f>
        <v>151900.0</v>
      </c>
      <c r="P536" s="34" t="s">
        <v>50</v>
      </c>
      <c r="Q536" s="33" t="n">
        <f>152100</f>
        <v>152100.0</v>
      </c>
      <c r="R536" s="34" t="s">
        <v>50</v>
      </c>
      <c r="S536" s="35" t="n">
        <f>156310.53</f>
        <v>156310.53</v>
      </c>
      <c r="T536" s="32" t="n">
        <f>191403</f>
        <v>191403.0</v>
      </c>
      <c r="U536" s="32" t="n">
        <f>41634</f>
        <v>41634.0</v>
      </c>
      <c r="V536" s="32" t="n">
        <f>29887418911</f>
        <v>2.9887418911E10</v>
      </c>
      <c r="W536" s="32" t="n">
        <f>6488142311</f>
        <v>6.488142311E9</v>
      </c>
      <c r="X536" s="36" t="n">
        <f>19</f>
        <v>19.0</v>
      </c>
    </row>
    <row r="537">
      <c r="A537" s="27" t="s">
        <v>42</v>
      </c>
      <c r="B537" s="27" t="s">
        <v>1668</v>
      </c>
      <c r="C537" s="27" t="s">
        <v>1669</v>
      </c>
      <c r="D537" s="27" t="s">
        <v>1670</v>
      </c>
      <c r="E537" s="28" t="s">
        <v>46</v>
      </c>
      <c r="F537" s="29" t="s">
        <v>46</v>
      </c>
      <c r="G537" s="30" t="s">
        <v>46</v>
      </c>
      <c r="H537" s="31"/>
      <c r="I537" s="31" t="s">
        <v>47</v>
      </c>
      <c r="J537" s="32" t="n">
        <v>1.0</v>
      </c>
      <c r="K537" s="33" t="n">
        <f>72400</f>
        <v>72400.0</v>
      </c>
      <c r="L537" s="34" t="s">
        <v>48</v>
      </c>
      <c r="M537" s="33" t="n">
        <f>73000</f>
        <v>73000.0</v>
      </c>
      <c r="N537" s="34" t="s">
        <v>66</v>
      </c>
      <c r="O537" s="33" t="n">
        <f>69000</f>
        <v>69000.0</v>
      </c>
      <c r="P537" s="34" t="s">
        <v>50</v>
      </c>
      <c r="Q537" s="33" t="n">
        <f>69200</f>
        <v>69200.0</v>
      </c>
      <c r="R537" s="34" t="s">
        <v>50</v>
      </c>
      <c r="S537" s="35" t="n">
        <f>71131.58</f>
        <v>71131.58</v>
      </c>
      <c r="T537" s="32" t="n">
        <f>138427</f>
        <v>138427.0</v>
      </c>
      <c r="U537" s="32" t="n">
        <f>38476</f>
        <v>38476.0</v>
      </c>
      <c r="V537" s="32" t="n">
        <f>9848929905</f>
        <v>9.848929905E9</v>
      </c>
      <c r="W537" s="32" t="n">
        <f>2733867805</f>
        <v>2.733867805E9</v>
      </c>
      <c r="X537" s="36" t="n">
        <f>19</f>
        <v>19.0</v>
      </c>
    </row>
    <row r="538">
      <c r="A538" s="27" t="s">
        <v>42</v>
      </c>
      <c r="B538" s="27" t="s">
        <v>1671</v>
      </c>
      <c r="C538" s="27" t="s">
        <v>1672</v>
      </c>
      <c r="D538" s="27" t="s">
        <v>1673</v>
      </c>
      <c r="E538" s="28" t="s">
        <v>46</v>
      </c>
      <c r="F538" s="29" t="s">
        <v>46</v>
      </c>
      <c r="G538" s="30" t="s">
        <v>46</v>
      </c>
      <c r="H538" s="31"/>
      <c r="I538" s="31" t="s">
        <v>47</v>
      </c>
      <c r="J538" s="32" t="n">
        <v>1.0</v>
      </c>
      <c r="K538" s="33" t="n">
        <f>62300</f>
        <v>62300.0</v>
      </c>
      <c r="L538" s="34" t="s">
        <v>48</v>
      </c>
      <c r="M538" s="33" t="n">
        <f>62800</f>
        <v>62800.0</v>
      </c>
      <c r="N538" s="34" t="s">
        <v>48</v>
      </c>
      <c r="O538" s="33" t="n">
        <f>59700</f>
        <v>59700.0</v>
      </c>
      <c r="P538" s="34" t="s">
        <v>78</v>
      </c>
      <c r="Q538" s="33" t="n">
        <f>59800</f>
        <v>59800.0</v>
      </c>
      <c r="R538" s="34" t="s">
        <v>50</v>
      </c>
      <c r="S538" s="35" t="n">
        <f>61215.79</f>
        <v>61215.79</v>
      </c>
      <c r="T538" s="32" t="n">
        <f>1635620</f>
        <v>1635620.0</v>
      </c>
      <c r="U538" s="32" t="n">
        <f>256936</f>
        <v>256936.0</v>
      </c>
      <c r="V538" s="32" t="n">
        <f>99838482537</f>
        <v>9.9838482537E10</v>
      </c>
      <c r="W538" s="32" t="n">
        <f>15467722137</f>
        <v>1.5467722137E10</v>
      </c>
      <c r="X538" s="36" t="n">
        <f>19</f>
        <v>19.0</v>
      </c>
    </row>
    <row r="539">
      <c r="A539" s="27" t="s">
        <v>42</v>
      </c>
      <c r="B539" s="27" t="s">
        <v>1674</v>
      </c>
      <c r="C539" s="27" t="s">
        <v>1675</v>
      </c>
      <c r="D539" s="27" t="s">
        <v>1676</v>
      </c>
      <c r="E539" s="28" t="s">
        <v>46</v>
      </c>
      <c r="F539" s="29" t="s">
        <v>46</v>
      </c>
      <c r="G539" s="30" t="s">
        <v>46</v>
      </c>
      <c r="H539" s="31"/>
      <c r="I539" s="31" t="s">
        <v>47</v>
      </c>
      <c r="J539" s="32" t="n">
        <v>1.0</v>
      </c>
      <c r="K539" s="33" t="n">
        <f>78200</f>
        <v>78200.0</v>
      </c>
      <c r="L539" s="34" t="s">
        <v>48</v>
      </c>
      <c r="M539" s="33" t="n">
        <f>78600</f>
        <v>78600.0</v>
      </c>
      <c r="N539" s="34" t="s">
        <v>48</v>
      </c>
      <c r="O539" s="33" t="n">
        <f>74700</f>
        <v>74700.0</v>
      </c>
      <c r="P539" s="34" t="s">
        <v>78</v>
      </c>
      <c r="Q539" s="33" t="n">
        <f>75000</f>
        <v>75000.0</v>
      </c>
      <c r="R539" s="34" t="s">
        <v>50</v>
      </c>
      <c r="S539" s="35" t="n">
        <f>76342.11</f>
        <v>76342.11</v>
      </c>
      <c r="T539" s="32" t="n">
        <f>239114</f>
        <v>239114.0</v>
      </c>
      <c r="U539" s="32" t="n">
        <f>47357</f>
        <v>47357.0</v>
      </c>
      <c r="V539" s="32" t="n">
        <f>18191328940</f>
        <v>1.819132894E10</v>
      </c>
      <c r="W539" s="32" t="n">
        <f>3601917640</f>
        <v>3.60191764E9</v>
      </c>
      <c r="X539" s="36" t="n">
        <f>19</f>
        <v>19.0</v>
      </c>
    </row>
    <row r="540">
      <c r="A540" s="27" t="s">
        <v>42</v>
      </c>
      <c r="B540" s="27" t="s">
        <v>1677</v>
      </c>
      <c r="C540" s="27" t="s">
        <v>1678</v>
      </c>
      <c r="D540" s="27" t="s">
        <v>1679</v>
      </c>
      <c r="E540" s="28" t="s">
        <v>46</v>
      </c>
      <c r="F540" s="29" t="s">
        <v>46</v>
      </c>
      <c r="G540" s="30" t="s">
        <v>46</v>
      </c>
      <c r="H540" s="31"/>
      <c r="I540" s="31" t="s">
        <v>47</v>
      </c>
      <c r="J540" s="32" t="n">
        <v>1.0</v>
      </c>
      <c r="K540" s="33" t="n">
        <f>132500</f>
        <v>132500.0</v>
      </c>
      <c r="L540" s="34" t="s">
        <v>48</v>
      </c>
      <c r="M540" s="33" t="n">
        <f>133200</f>
        <v>133200.0</v>
      </c>
      <c r="N540" s="34" t="s">
        <v>66</v>
      </c>
      <c r="O540" s="33" t="n">
        <f>128700</f>
        <v>128700.0</v>
      </c>
      <c r="P540" s="34" t="s">
        <v>50</v>
      </c>
      <c r="Q540" s="33" t="n">
        <f>129300</f>
        <v>129300.0</v>
      </c>
      <c r="R540" s="34" t="s">
        <v>50</v>
      </c>
      <c r="S540" s="35" t="n">
        <f>130557.89</f>
        <v>130557.89</v>
      </c>
      <c r="T540" s="32" t="n">
        <f>97248</f>
        <v>97248.0</v>
      </c>
      <c r="U540" s="32" t="n">
        <f>16336</f>
        <v>16336.0</v>
      </c>
      <c r="V540" s="32" t="n">
        <f>12691450466</f>
        <v>1.2691450466E10</v>
      </c>
      <c r="W540" s="32" t="n">
        <f>2131665466</f>
        <v>2.131665466E9</v>
      </c>
      <c r="X540" s="36" t="n">
        <f>19</f>
        <v>19.0</v>
      </c>
    </row>
    <row r="541">
      <c r="A541" s="27" t="s">
        <v>42</v>
      </c>
      <c r="B541" s="27" t="s">
        <v>1680</v>
      </c>
      <c r="C541" s="27" t="s">
        <v>1681</v>
      </c>
      <c r="D541" s="27" t="s">
        <v>1682</v>
      </c>
      <c r="E541" s="28" t="s">
        <v>46</v>
      </c>
      <c r="F541" s="29" t="s">
        <v>46</v>
      </c>
      <c r="G541" s="30" t="s">
        <v>46</v>
      </c>
      <c r="H541" s="31"/>
      <c r="I541" s="31" t="s">
        <v>47</v>
      </c>
      <c r="J541" s="32" t="n">
        <v>1.0</v>
      </c>
      <c r="K541" s="33" t="n">
        <f>94300</f>
        <v>94300.0</v>
      </c>
      <c r="L541" s="34" t="s">
        <v>48</v>
      </c>
      <c r="M541" s="33" t="n">
        <f>95100</f>
        <v>95100.0</v>
      </c>
      <c r="N541" s="34" t="s">
        <v>82</v>
      </c>
      <c r="O541" s="33" t="n">
        <f>90000</f>
        <v>90000.0</v>
      </c>
      <c r="P541" s="34" t="s">
        <v>50</v>
      </c>
      <c r="Q541" s="33" t="n">
        <f>90100</f>
        <v>90100.0</v>
      </c>
      <c r="R541" s="34" t="s">
        <v>50</v>
      </c>
      <c r="S541" s="35" t="n">
        <f>92715.79</f>
        <v>92715.79</v>
      </c>
      <c r="T541" s="32" t="n">
        <f>217286</f>
        <v>217286.0</v>
      </c>
      <c r="U541" s="32" t="n">
        <f>47719</f>
        <v>47719.0</v>
      </c>
      <c r="V541" s="32" t="n">
        <f>20054051513</f>
        <v>2.0054051513E10</v>
      </c>
      <c r="W541" s="32" t="n">
        <f>4398319413</f>
        <v>4.398319413E9</v>
      </c>
      <c r="X541" s="36" t="n">
        <f>19</f>
        <v>19.0</v>
      </c>
    </row>
    <row r="542">
      <c r="A542" s="27" t="s">
        <v>42</v>
      </c>
      <c r="B542" s="27" t="s">
        <v>1683</v>
      </c>
      <c r="C542" s="27" t="s">
        <v>1684</v>
      </c>
      <c r="D542" s="27" t="s">
        <v>1685</v>
      </c>
      <c r="E542" s="28" t="s">
        <v>46</v>
      </c>
      <c r="F542" s="29" t="s">
        <v>46</v>
      </c>
      <c r="G542" s="30" t="s">
        <v>46</v>
      </c>
      <c r="H542" s="31"/>
      <c r="I542" s="31" t="s">
        <v>47</v>
      </c>
      <c r="J542" s="32" t="n">
        <v>1.0</v>
      </c>
      <c r="K542" s="33" t="n">
        <f>176200</f>
        <v>176200.0</v>
      </c>
      <c r="L542" s="34" t="s">
        <v>48</v>
      </c>
      <c r="M542" s="33" t="n">
        <f>178500</f>
        <v>178500.0</v>
      </c>
      <c r="N542" s="34" t="s">
        <v>48</v>
      </c>
      <c r="O542" s="33" t="n">
        <f>168700</f>
        <v>168700.0</v>
      </c>
      <c r="P542" s="34" t="s">
        <v>50</v>
      </c>
      <c r="Q542" s="33" t="n">
        <f>169600</f>
        <v>169600.0</v>
      </c>
      <c r="R542" s="34" t="s">
        <v>50</v>
      </c>
      <c r="S542" s="35" t="n">
        <f>172678.95</f>
        <v>172678.95</v>
      </c>
      <c r="T542" s="32" t="n">
        <f>43244</f>
        <v>43244.0</v>
      </c>
      <c r="U542" s="32" t="n">
        <f>12604</f>
        <v>12604.0</v>
      </c>
      <c r="V542" s="32" t="n">
        <f>7481680775</f>
        <v>7.481680775E9</v>
      </c>
      <c r="W542" s="32" t="n">
        <f>2174132975</f>
        <v>2.174132975E9</v>
      </c>
      <c r="X542" s="36" t="n">
        <f>19</f>
        <v>19.0</v>
      </c>
    </row>
    <row r="543">
      <c r="A543" s="27" t="s">
        <v>42</v>
      </c>
      <c r="B543" s="27" t="s">
        <v>1686</v>
      </c>
      <c r="C543" s="27" t="s">
        <v>1687</v>
      </c>
      <c r="D543" s="27" t="s">
        <v>1688</v>
      </c>
      <c r="E543" s="28" t="s">
        <v>46</v>
      </c>
      <c r="F543" s="29" t="s">
        <v>46</v>
      </c>
      <c r="G543" s="30" t="s">
        <v>46</v>
      </c>
      <c r="H543" s="31"/>
      <c r="I543" s="31" t="s">
        <v>47</v>
      </c>
      <c r="J543" s="32" t="n">
        <v>1.0</v>
      </c>
      <c r="K543" s="33" t="n">
        <f>148900</f>
        <v>148900.0</v>
      </c>
      <c r="L543" s="34" t="s">
        <v>48</v>
      </c>
      <c r="M543" s="33" t="n">
        <f>150100</f>
        <v>150100.0</v>
      </c>
      <c r="N543" s="34" t="s">
        <v>48</v>
      </c>
      <c r="O543" s="33" t="n">
        <f>142700</f>
        <v>142700.0</v>
      </c>
      <c r="P543" s="34" t="s">
        <v>78</v>
      </c>
      <c r="Q543" s="33" t="n">
        <f>143300</f>
        <v>143300.0</v>
      </c>
      <c r="R543" s="34" t="s">
        <v>50</v>
      </c>
      <c r="S543" s="35" t="n">
        <f>146147.37</f>
        <v>146147.37</v>
      </c>
      <c r="T543" s="32" t="n">
        <f>253002</f>
        <v>253002.0</v>
      </c>
      <c r="U543" s="32" t="n">
        <f>52095</f>
        <v>52095.0</v>
      </c>
      <c r="V543" s="32" t="n">
        <f>36910124543</f>
        <v>3.6910124543E10</v>
      </c>
      <c r="W543" s="32" t="n">
        <f>7608714243</f>
        <v>7.608714243E9</v>
      </c>
      <c r="X543" s="36" t="n">
        <f>19</f>
        <v>19.0</v>
      </c>
    </row>
    <row r="544">
      <c r="A544" s="27" t="s">
        <v>42</v>
      </c>
      <c r="B544" s="27" t="s">
        <v>1689</v>
      </c>
      <c r="C544" s="27" t="s">
        <v>1690</v>
      </c>
      <c r="D544" s="27" t="s">
        <v>1691</v>
      </c>
      <c r="E544" s="28" t="s">
        <v>46</v>
      </c>
      <c r="F544" s="29" t="s">
        <v>46</v>
      </c>
      <c r="G544" s="30" t="s">
        <v>46</v>
      </c>
      <c r="H544" s="31"/>
      <c r="I544" s="31" t="s">
        <v>47</v>
      </c>
      <c r="J544" s="32" t="n">
        <v>1.0</v>
      </c>
      <c r="K544" s="33" t="n">
        <f>97100</f>
        <v>97100.0</v>
      </c>
      <c r="L544" s="34" t="s">
        <v>48</v>
      </c>
      <c r="M544" s="33" t="n">
        <f>98700</f>
        <v>98700.0</v>
      </c>
      <c r="N544" s="34" t="s">
        <v>157</v>
      </c>
      <c r="O544" s="33" t="n">
        <f>91100</f>
        <v>91100.0</v>
      </c>
      <c r="P544" s="34" t="s">
        <v>49</v>
      </c>
      <c r="Q544" s="33" t="n">
        <f>93600</f>
        <v>93600.0</v>
      </c>
      <c r="R544" s="34" t="s">
        <v>50</v>
      </c>
      <c r="S544" s="35" t="n">
        <f>93742.11</f>
        <v>93742.11</v>
      </c>
      <c r="T544" s="32" t="n">
        <f>116782</f>
        <v>116782.0</v>
      </c>
      <c r="U544" s="32" t="n">
        <f>33267</f>
        <v>33267.0</v>
      </c>
      <c r="V544" s="32" t="n">
        <f>10976669630</f>
        <v>1.097666963E10</v>
      </c>
      <c r="W544" s="32" t="n">
        <f>3118998730</f>
        <v>3.11899873E9</v>
      </c>
      <c r="X544" s="36" t="n">
        <f>19</f>
        <v>19.0</v>
      </c>
    </row>
    <row r="545">
      <c r="A545" s="27" t="s">
        <v>42</v>
      </c>
      <c r="B545" s="27" t="s">
        <v>1692</v>
      </c>
      <c r="C545" s="27" t="s">
        <v>1693</v>
      </c>
      <c r="D545" s="27" t="s">
        <v>1694</v>
      </c>
      <c r="E545" s="28" t="s">
        <v>46</v>
      </c>
      <c r="F545" s="29" t="s">
        <v>46</v>
      </c>
      <c r="G545" s="30" t="s">
        <v>46</v>
      </c>
      <c r="H545" s="31"/>
      <c r="I545" s="31" t="s">
        <v>47</v>
      </c>
      <c r="J545" s="32" t="n">
        <v>1.0</v>
      </c>
      <c r="K545" s="33" t="n">
        <f>321000</f>
        <v>321000.0</v>
      </c>
      <c r="L545" s="34" t="s">
        <v>48</v>
      </c>
      <c r="M545" s="33" t="n">
        <f>321500</f>
        <v>321500.0</v>
      </c>
      <c r="N545" s="34" t="s">
        <v>48</v>
      </c>
      <c r="O545" s="33" t="n">
        <f>299500</f>
        <v>299500.0</v>
      </c>
      <c r="P545" s="34" t="s">
        <v>49</v>
      </c>
      <c r="Q545" s="33" t="n">
        <f>302500</f>
        <v>302500.0</v>
      </c>
      <c r="R545" s="34" t="s">
        <v>50</v>
      </c>
      <c r="S545" s="35" t="n">
        <f>306973.68</f>
        <v>306973.68</v>
      </c>
      <c r="T545" s="32" t="n">
        <f>56517</f>
        <v>56517.0</v>
      </c>
      <c r="U545" s="32" t="n">
        <f>15181</f>
        <v>15181.0</v>
      </c>
      <c r="V545" s="32" t="n">
        <f>17303706471</f>
        <v>1.7303706471E10</v>
      </c>
      <c r="W545" s="32" t="n">
        <f>4650877771</f>
        <v>4.650877771E9</v>
      </c>
      <c r="X545" s="36" t="n">
        <f>19</f>
        <v>19.0</v>
      </c>
    </row>
    <row r="546">
      <c r="A546" s="27" t="s">
        <v>42</v>
      </c>
      <c r="B546" s="27" t="s">
        <v>1695</v>
      </c>
      <c r="C546" s="27" t="s">
        <v>1696</v>
      </c>
      <c r="D546" s="27" t="s">
        <v>1697</v>
      </c>
      <c r="E546" s="28" t="s">
        <v>46</v>
      </c>
      <c r="F546" s="29" t="s">
        <v>46</v>
      </c>
      <c r="G546" s="30" t="s">
        <v>46</v>
      </c>
      <c r="H546" s="31"/>
      <c r="I546" s="31" t="s">
        <v>47</v>
      </c>
      <c r="J546" s="32" t="n">
        <v>1.0</v>
      </c>
      <c r="K546" s="33" t="n">
        <f>136500</f>
        <v>136500.0</v>
      </c>
      <c r="L546" s="34" t="s">
        <v>48</v>
      </c>
      <c r="M546" s="33" t="n">
        <f>138800</f>
        <v>138800.0</v>
      </c>
      <c r="N546" s="34" t="s">
        <v>49</v>
      </c>
      <c r="O546" s="33" t="n">
        <f>129400</f>
        <v>129400.0</v>
      </c>
      <c r="P546" s="34" t="s">
        <v>50</v>
      </c>
      <c r="Q546" s="33" t="n">
        <f>130300</f>
        <v>130300.0</v>
      </c>
      <c r="R546" s="34" t="s">
        <v>50</v>
      </c>
      <c r="S546" s="35" t="n">
        <f>133957.89</f>
        <v>133957.89</v>
      </c>
      <c r="T546" s="32" t="n">
        <f>41349</f>
        <v>41349.0</v>
      </c>
      <c r="U546" s="32" t="n">
        <f>7314</f>
        <v>7314.0</v>
      </c>
      <c r="V546" s="32" t="n">
        <f>5549000912</f>
        <v>5.549000912E9</v>
      </c>
      <c r="W546" s="32" t="n">
        <f>979335312</f>
        <v>9.79335312E8</v>
      </c>
      <c r="X546" s="36" t="n">
        <f>19</f>
        <v>19.0</v>
      </c>
    </row>
    <row r="547">
      <c r="A547" s="27" t="s">
        <v>42</v>
      </c>
      <c r="B547" s="27" t="s">
        <v>1698</v>
      </c>
      <c r="C547" s="27" t="s">
        <v>1699</v>
      </c>
      <c r="D547" s="27" t="s">
        <v>1700</v>
      </c>
      <c r="E547" s="28" t="s">
        <v>46</v>
      </c>
      <c r="F547" s="29" t="s">
        <v>46</v>
      </c>
      <c r="G547" s="30" t="s">
        <v>46</v>
      </c>
      <c r="H547" s="31"/>
      <c r="I547" s="31" t="s">
        <v>414</v>
      </c>
      <c r="J547" s="32" t="n">
        <v>1.0</v>
      </c>
      <c r="K547" s="33" t="n">
        <f>189000</f>
        <v>189000.0</v>
      </c>
      <c r="L547" s="34" t="s">
        <v>48</v>
      </c>
      <c r="M547" s="33" t="n">
        <f>191200</f>
        <v>191200.0</v>
      </c>
      <c r="N547" s="34" t="s">
        <v>114</v>
      </c>
      <c r="O547" s="33" t="n">
        <f>182000</f>
        <v>182000.0</v>
      </c>
      <c r="P547" s="34" t="s">
        <v>98</v>
      </c>
      <c r="Q547" s="33" t="n">
        <f>184800</f>
        <v>184800.0</v>
      </c>
      <c r="R547" s="34" t="s">
        <v>50</v>
      </c>
      <c r="S547" s="35" t="n">
        <f>185726.32</f>
        <v>185726.32</v>
      </c>
      <c r="T547" s="32" t="n">
        <f>20467</f>
        <v>20467.0</v>
      </c>
      <c r="U547" s="32" t="n">
        <f>2621</f>
        <v>2621.0</v>
      </c>
      <c r="V547" s="32" t="n">
        <f>3812736208</f>
        <v>3.812736208E9</v>
      </c>
      <c r="W547" s="32" t="n">
        <f>486769508</f>
        <v>4.86769508E8</v>
      </c>
      <c r="X547" s="36" t="n">
        <f>19</f>
        <v>19.0</v>
      </c>
    </row>
    <row r="548">
      <c r="A548" s="27" t="s">
        <v>42</v>
      </c>
      <c r="B548" s="27" t="s">
        <v>1701</v>
      </c>
      <c r="C548" s="27" t="s">
        <v>1702</v>
      </c>
      <c r="D548" s="27" t="s">
        <v>1703</v>
      </c>
      <c r="E548" s="28" t="s">
        <v>46</v>
      </c>
      <c r="F548" s="29" t="s">
        <v>46</v>
      </c>
      <c r="G548" s="30" t="s">
        <v>46</v>
      </c>
      <c r="H548" s="31"/>
      <c r="I548" s="31" t="s">
        <v>47</v>
      </c>
      <c r="J548" s="32" t="n">
        <v>1.0</v>
      </c>
      <c r="K548" s="33" t="n">
        <f>116800</f>
        <v>116800.0</v>
      </c>
      <c r="L548" s="34" t="s">
        <v>48</v>
      </c>
      <c r="M548" s="33" t="n">
        <f>118300</f>
        <v>118300.0</v>
      </c>
      <c r="N548" s="34" t="s">
        <v>49</v>
      </c>
      <c r="O548" s="33" t="n">
        <f>109800</f>
        <v>109800.0</v>
      </c>
      <c r="P548" s="34" t="s">
        <v>114</v>
      </c>
      <c r="Q548" s="33" t="n">
        <f>111000</f>
        <v>111000.0</v>
      </c>
      <c r="R548" s="34" t="s">
        <v>50</v>
      </c>
      <c r="S548" s="35" t="n">
        <f>114315.79</f>
        <v>114315.79</v>
      </c>
      <c r="T548" s="32" t="n">
        <f>361661</f>
        <v>361661.0</v>
      </c>
      <c r="U548" s="32" t="n">
        <f>101438</f>
        <v>101438.0</v>
      </c>
      <c r="V548" s="32" t="n">
        <f>41172015022</f>
        <v>4.1172015022E10</v>
      </c>
      <c r="W548" s="32" t="n">
        <f>11645823422</f>
        <v>1.1645823422E10</v>
      </c>
      <c r="X548" s="36" t="n">
        <f>19</f>
        <v>19.0</v>
      </c>
    </row>
    <row r="549">
      <c r="A549" s="27" t="s">
        <v>42</v>
      </c>
      <c r="B549" s="27" t="s">
        <v>1704</v>
      </c>
      <c r="C549" s="27" t="s">
        <v>1705</v>
      </c>
      <c r="D549" s="27" t="s">
        <v>1706</v>
      </c>
      <c r="E549" s="28" t="s">
        <v>46</v>
      </c>
      <c r="F549" s="29" t="s">
        <v>46</v>
      </c>
      <c r="G549" s="30" t="s">
        <v>46</v>
      </c>
      <c r="H549" s="31"/>
      <c r="I549" s="31" t="s">
        <v>47</v>
      </c>
      <c r="J549" s="32" t="n">
        <v>1.0</v>
      </c>
      <c r="K549" s="33" t="n">
        <f>83000</f>
        <v>83000.0</v>
      </c>
      <c r="L549" s="34" t="s">
        <v>48</v>
      </c>
      <c r="M549" s="33" t="n">
        <f>85200</f>
        <v>85200.0</v>
      </c>
      <c r="N549" s="34" t="s">
        <v>270</v>
      </c>
      <c r="O549" s="33" t="n">
        <f>81300</f>
        <v>81300.0</v>
      </c>
      <c r="P549" s="34" t="s">
        <v>50</v>
      </c>
      <c r="Q549" s="33" t="n">
        <f>81300</f>
        <v>81300.0</v>
      </c>
      <c r="R549" s="34" t="s">
        <v>50</v>
      </c>
      <c r="S549" s="35" t="n">
        <f>83347.37</f>
        <v>83347.37</v>
      </c>
      <c r="T549" s="32" t="n">
        <f>553506</f>
        <v>553506.0</v>
      </c>
      <c r="U549" s="32" t="n">
        <f>116821</f>
        <v>116821.0</v>
      </c>
      <c r="V549" s="32" t="n">
        <f>46130986815</f>
        <v>4.6130986815E10</v>
      </c>
      <c r="W549" s="32" t="n">
        <f>9733963815</f>
        <v>9.733963815E9</v>
      </c>
      <c r="X549" s="36" t="n">
        <f>19</f>
        <v>19.0</v>
      </c>
    </row>
    <row r="550">
      <c r="A550" s="27" t="s">
        <v>42</v>
      </c>
      <c r="B550" s="27" t="s">
        <v>1707</v>
      </c>
      <c r="C550" s="27" t="s">
        <v>1708</v>
      </c>
      <c r="D550" s="27" t="s">
        <v>1709</v>
      </c>
      <c r="E550" s="28" t="s">
        <v>46</v>
      </c>
      <c r="F550" s="29" t="s">
        <v>46</v>
      </c>
      <c r="G550" s="30" t="s">
        <v>46</v>
      </c>
      <c r="H550" s="31"/>
      <c r="I550" s="31" t="s">
        <v>47</v>
      </c>
      <c r="J550" s="32" t="n">
        <v>1.0</v>
      </c>
      <c r="K550" s="33" t="n">
        <f>94500</f>
        <v>94500.0</v>
      </c>
      <c r="L550" s="34" t="s">
        <v>48</v>
      </c>
      <c r="M550" s="33" t="n">
        <f>95300</f>
        <v>95300.0</v>
      </c>
      <c r="N550" s="34" t="s">
        <v>66</v>
      </c>
      <c r="O550" s="33" t="n">
        <f>88100</f>
        <v>88100.0</v>
      </c>
      <c r="P550" s="34" t="s">
        <v>50</v>
      </c>
      <c r="Q550" s="33" t="n">
        <f>89000</f>
        <v>89000.0</v>
      </c>
      <c r="R550" s="34" t="s">
        <v>50</v>
      </c>
      <c r="S550" s="35" t="n">
        <f>92736.84</f>
        <v>92736.84</v>
      </c>
      <c r="T550" s="32" t="n">
        <f>213050</f>
        <v>213050.0</v>
      </c>
      <c r="U550" s="32" t="n">
        <f>51646</f>
        <v>51646.0</v>
      </c>
      <c r="V550" s="32" t="n">
        <f>19693011826</f>
        <v>1.9693011826E10</v>
      </c>
      <c r="W550" s="32" t="n">
        <f>4782585626</f>
        <v>4.782585626E9</v>
      </c>
      <c r="X550" s="36" t="n">
        <f>19</f>
        <v>19.0</v>
      </c>
    </row>
    <row r="551">
      <c r="A551" s="27" t="s">
        <v>42</v>
      </c>
      <c r="B551" s="27" t="s">
        <v>1710</v>
      </c>
      <c r="C551" s="27" t="s">
        <v>1711</v>
      </c>
      <c r="D551" s="27" t="s">
        <v>1712</v>
      </c>
      <c r="E551" s="28" t="s">
        <v>46</v>
      </c>
      <c r="F551" s="29" t="s">
        <v>46</v>
      </c>
      <c r="G551" s="30" t="s">
        <v>46</v>
      </c>
      <c r="H551" s="31"/>
      <c r="I551" s="31" t="s">
        <v>47</v>
      </c>
      <c r="J551" s="32" t="n">
        <v>1.0</v>
      </c>
      <c r="K551" s="33" t="n">
        <f>138300</f>
        <v>138300.0</v>
      </c>
      <c r="L551" s="34" t="s">
        <v>48</v>
      </c>
      <c r="M551" s="33" t="n">
        <f>139900</f>
        <v>139900.0</v>
      </c>
      <c r="N551" s="34" t="s">
        <v>82</v>
      </c>
      <c r="O551" s="33" t="n">
        <f>130000</f>
        <v>130000.0</v>
      </c>
      <c r="P551" s="34" t="s">
        <v>50</v>
      </c>
      <c r="Q551" s="33" t="n">
        <f>130600</f>
        <v>130600.0</v>
      </c>
      <c r="R551" s="34" t="s">
        <v>50</v>
      </c>
      <c r="S551" s="35" t="n">
        <f>134026.32</f>
        <v>134026.32</v>
      </c>
      <c r="T551" s="32" t="n">
        <f>72146</f>
        <v>72146.0</v>
      </c>
      <c r="U551" s="32" t="n">
        <f>17458</f>
        <v>17458.0</v>
      </c>
      <c r="V551" s="32" t="n">
        <f>9679356236</f>
        <v>9.679356236E9</v>
      </c>
      <c r="W551" s="32" t="n">
        <f>2343899736</f>
        <v>2.343899736E9</v>
      </c>
      <c r="X551" s="36" t="n">
        <f>19</f>
        <v>19.0</v>
      </c>
    </row>
    <row r="552">
      <c r="A552" s="27" t="s">
        <v>42</v>
      </c>
      <c r="B552" s="27" t="s">
        <v>1713</v>
      </c>
      <c r="C552" s="27" t="s">
        <v>1714</v>
      </c>
      <c r="D552" s="27" t="s">
        <v>1715</v>
      </c>
      <c r="E552" s="28" t="s">
        <v>46</v>
      </c>
      <c r="F552" s="29" t="s">
        <v>46</v>
      </c>
      <c r="G552" s="30" t="s">
        <v>46</v>
      </c>
      <c r="H552" s="31"/>
      <c r="I552" s="31" t="s">
        <v>414</v>
      </c>
      <c r="J552" s="32" t="n">
        <v>1.0</v>
      </c>
      <c r="K552" s="33" t="n">
        <f>36800</f>
        <v>36800.0</v>
      </c>
      <c r="L552" s="34" t="s">
        <v>48</v>
      </c>
      <c r="M552" s="33" t="n">
        <f>36800</f>
        <v>36800.0</v>
      </c>
      <c r="N552" s="34" t="s">
        <v>48</v>
      </c>
      <c r="O552" s="33" t="n">
        <f>29850</f>
        <v>29850.0</v>
      </c>
      <c r="P552" s="34" t="s">
        <v>508</v>
      </c>
      <c r="Q552" s="33" t="n">
        <f>30650</f>
        <v>30650.0</v>
      </c>
      <c r="R552" s="34" t="s">
        <v>50</v>
      </c>
      <c r="S552" s="35" t="n">
        <f>31607.89</f>
        <v>31607.89</v>
      </c>
      <c r="T552" s="32" t="n">
        <f>14038</f>
        <v>14038.0</v>
      </c>
      <c r="U552" s="32" t="n">
        <f>837</f>
        <v>837.0</v>
      </c>
      <c r="V552" s="32" t="n">
        <f>451842765</f>
        <v>4.51842765E8</v>
      </c>
      <c r="W552" s="32" t="n">
        <f>27282525</f>
        <v>2.7282525E7</v>
      </c>
      <c r="X552" s="36" t="n">
        <f>19</f>
        <v>19.0</v>
      </c>
    </row>
    <row r="553">
      <c r="A553" s="27" t="s">
        <v>42</v>
      </c>
      <c r="B553" s="27" t="s">
        <v>1716</v>
      </c>
      <c r="C553" s="27" t="s">
        <v>1717</v>
      </c>
      <c r="D553" s="27" t="s">
        <v>1718</v>
      </c>
      <c r="E553" s="28" t="s">
        <v>46</v>
      </c>
      <c r="F553" s="29" t="s">
        <v>46</v>
      </c>
      <c r="G553" s="30" t="s">
        <v>46</v>
      </c>
      <c r="H553" s="31"/>
      <c r="I553" s="31" t="s">
        <v>47</v>
      </c>
      <c r="J553" s="32" t="n">
        <v>1.0</v>
      </c>
      <c r="K553" s="33" t="n">
        <f>76800</f>
        <v>76800.0</v>
      </c>
      <c r="L553" s="34" t="s">
        <v>48</v>
      </c>
      <c r="M553" s="33" t="n">
        <f>77200</f>
        <v>77200.0</v>
      </c>
      <c r="N553" s="34" t="s">
        <v>48</v>
      </c>
      <c r="O553" s="33" t="n">
        <f>73900</f>
        <v>73900.0</v>
      </c>
      <c r="P553" s="34" t="s">
        <v>78</v>
      </c>
      <c r="Q553" s="33" t="n">
        <f>74500</f>
        <v>74500.0</v>
      </c>
      <c r="R553" s="34" t="s">
        <v>50</v>
      </c>
      <c r="S553" s="35" t="n">
        <f>75421.05</f>
        <v>75421.05</v>
      </c>
      <c r="T553" s="32" t="n">
        <f>22964</f>
        <v>22964.0</v>
      </c>
      <c r="U553" s="32" t="n">
        <f>927</f>
        <v>927.0</v>
      </c>
      <c r="V553" s="32" t="n">
        <f>1726545095</f>
        <v>1.726545095E9</v>
      </c>
      <c r="W553" s="32" t="n">
        <f>69032495</f>
        <v>6.9032495E7</v>
      </c>
      <c r="X553" s="36" t="n">
        <f>19</f>
        <v>19.0</v>
      </c>
    </row>
    <row r="554">
      <c r="A554" s="27" t="s">
        <v>42</v>
      </c>
      <c r="B554" s="27" t="s">
        <v>1719</v>
      </c>
      <c r="C554" s="27" t="s">
        <v>1720</v>
      </c>
      <c r="D554" s="27" t="s">
        <v>1721</v>
      </c>
      <c r="E554" s="28" t="s">
        <v>46</v>
      </c>
      <c r="F554" s="29" t="s">
        <v>46</v>
      </c>
      <c r="G554" s="30" t="s">
        <v>46</v>
      </c>
      <c r="H554" s="31"/>
      <c r="I554" s="31" t="s">
        <v>414</v>
      </c>
      <c r="J554" s="32" t="n">
        <v>1.0</v>
      </c>
      <c r="K554" s="33" t="n">
        <f>41900</f>
        <v>41900.0</v>
      </c>
      <c r="L554" s="34" t="s">
        <v>48</v>
      </c>
      <c r="M554" s="33" t="n">
        <f>42000</f>
        <v>42000.0</v>
      </c>
      <c r="N554" s="34" t="s">
        <v>48</v>
      </c>
      <c r="O554" s="33" t="n">
        <f>38650</f>
        <v>38650.0</v>
      </c>
      <c r="P554" s="34" t="s">
        <v>217</v>
      </c>
      <c r="Q554" s="33" t="n">
        <f>38900</f>
        <v>38900.0</v>
      </c>
      <c r="R554" s="34" t="s">
        <v>50</v>
      </c>
      <c r="S554" s="35" t="n">
        <f>39850</f>
        <v>39850.0</v>
      </c>
      <c r="T554" s="32" t="n">
        <f>11282</f>
        <v>11282.0</v>
      </c>
      <c r="U554" s="32" t="n">
        <f>105</f>
        <v>105.0</v>
      </c>
      <c r="V554" s="32" t="n">
        <f>453089850</f>
        <v>4.5308985E8</v>
      </c>
      <c r="W554" s="32" t="n">
        <f>4110500</f>
        <v>4110500.0</v>
      </c>
      <c r="X554" s="36" t="n">
        <f>19</f>
        <v>19.0</v>
      </c>
    </row>
    <row r="555">
      <c r="A555" s="27" t="s">
        <v>42</v>
      </c>
      <c r="B555" s="27" t="s">
        <v>1722</v>
      </c>
      <c r="C555" s="27" t="s">
        <v>1723</v>
      </c>
      <c r="D555" s="27" t="s">
        <v>1724</v>
      </c>
      <c r="E555" s="28" t="s">
        <v>46</v>
      </c>
      <c r="F555" s="29" t="s">
        <v>46</v>
      </c>
      <c r="G555" s="30" t="s">
        <v>46</v>
      </c>
      <c r="H555" s="31"/>
      <c r="I555" s="31" t="s">
        <v>47</v>
      </c>
      <c r="J555" s="32" t="n">
        <v>1.0</v>
      </c>
      <c r="K555" s="33" t="n">
        <f>46500</f>
        <v>46500.0</v>
      </c>
      <c r="L555" s="34" t="s">
        <v>48</v>
      </c>
      <c r="M555" s="33" t="n">
        <f>46550</f>
        <v>46550.0</v>
      </c>
      <c r="N555" s="34" t="s">
        <v>48</v>
      </c>
      <c r="O555" s="33" t="n">
        <f>43850</f>
        <v>43850.0</v>
      </c>
      <c r="P555" s="34" t="s">
        <v>78</v>
      </c>
      <c r="Q555" s="33" t="n">
        <f>43900</f>
        <v>43900.0</v>
      </c>
      <c r="R555" s="34" t="s">
        <v>50</v>
      </c>
      <c r="S555" s="35" t="n">
        <f>44973.68</f>
        <v>44973.68</v>
      </c>
      <c r="T555" s="32" t="n">
        <f>40584</f>
        <v>40584.0</v>
      </c>
      <c r="U555" s="32" t="n">
        <f>888</f>
        <v>888.0</v>
      </c>
      <c r="V555" s="32" t="n">
        <f>1829548561</f>
        <v>1.829548561E9</v>
      </c>
      <c r="W555" s="32" t="n">
        <f>39646461</f>
        <v>3.9646461E7</v>
      </c>
      <c r="X555" s="36" t="n">
        <f>19</f>
        <v>19.0</v>
      </c>
    </row>
  </sheetData>
  <mergeCells count="3">
    <mergeCell ref="N1:X3"/>
    <mergeCell ref="A2:M2"/>
    <mergeCell ref="A3:M3"/>
  </mergeCells>
  <phoneticPr fontId="3"/>
  <printOptions horizontalCentered="1"/>
  <pageMargins left="0.39370078740157483" right="0.39370078740157483" top="0.39370078740157483" bottom="0.59055118110236227" header="0.27559055118110237" footer="0.27559055118110237"/>
  <pageSetup paperSize="9" scale="32" fitToHeight="0" orientation="landscape" r:id="rId1"/>
  <headerFooter>
    <oddFooter>&amp;C&amp;P/&amp;N&amp;RCopyright (c) Tokyo Stock Exchange, Inc.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BO_EM0004</vt:lpstr>
      <vt:lpstr>BO_EM0004!Print_Titles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2018-10-04T04:21:09Z</dcterms:created>
  <dcterms:modified xsi:type="dcterms:W3CDTF">2020-05-11T08:48:14Z</dcterms:modified>
</cp:coreProperties>
</file>